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hav\Google Drive\RFR\Ryerson Formula Racing\RF-18\Engineering\Vehicle Dynamics\Suspension\Tire Study GC\"/>
    </mc:Choice>
  </mc:AlternateContent>
  <xr:revisionPtr revIDLastSave="0" documentId="13_ncr:1_{C42BC701-5F7F-4E9B-9F1D-B363A879335B}" xr6:coauthVersionLast="33" xr6:coauthVersionMax="33" xr10:uidLastSave="{00000000-0000-0000-0000-000000000000}"/>
  <bookViews>
    <workbookView xWindow="0" yWindow="0" windowWidth="28800" windowHeight="12225" activeTab="3" xr2:uid="{00000000-000D-0000-FFFF-FFFF00000000}"/>
  </bookViews>
  <sheets>
    <sheet name="Seprate Lat Long" sheetId="1" r:id="rId1"/>
    <sheet name="Lat with Long" sheetId="5" r:id="rId2"/>
    <sheet name="Long with Lat (not needed)" sheetId="6" r:id="rId3"/>
    <sheet name="Skidpad Versus Weight" sheetId="7" r:id="rId4"/>
  </sheets>
  <calcPr calcId="179017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7" l="1"/>
  <c r="F27" i="7"/>
  <c r="P27" i="7"/>
  <c r="F14" i="7" l="1"/>
  <c r="F13" i="7"/>
  <c r="C145" i="7" l="1"/>
  <c r="C215" i="7"/>
  <c r="B215" i="7"/>
  <c r="C201" i="7"/>
  <c r="B201" i="7"/>
  <c r="C187" i="7"/>
  <c r="B187" i="7"/>
  <c r="C173" i="7"/>
  <c r="B173" i="7"/>
  <c r="C159" i="7"/>
  <c r="B159" i="7"/>
  <c r="C144" i="7"/>
  <c r="B145" i="7"/>
  <c r="C131" i="7"/>
  <c r="B131" i="7"/>
  <c r="C117" i="7"/>
  <c r="B117" i="7"/>
  <c r="C103" i="7"/>
  <c r="B103" i="7"/>
  <c r="C89" i="7"/>
  <c r="B89" i="7"/>
  <c r="C75" i="7"/>
  <c r="B75" i="7"/>
  <c r="C61" i="7"/>
  <c r="B61" i="7"/>
  <c r="C47" i="7"/>
  <c r="B47" i="7"/>
  <c r="C33" i="7"/>
  <c r="B33" i="7"/>
  <c r="C19" i="7"/>
  <c r="B19" i="7"/>
  <c r="B18" i="7"/>
  <c r="C4" i="7"/>
  <c r="B5" i="7"/>
  <c r="C5" i="7"/>
  <c r="D5" i="7"/>
  <c r="E5" i="7"/>
  <c r="F5" i="7"/>
  <c r="I22" i="7" l="1"/>
  <c r="E44" i="7"/>
  <c r="D44" i="7"/>
  <c r="C30" i="7"/>
  <c r="C44" i="7" s="1"/>
  <c r="D30" i="7"/>
  <c r="E30" i="7"/>
  <c r="F30" i="7"/>
  <c r="F44" i="7" s="1"/>
  <c r="B30" i="7"/>
  <c r="F58" i="7" l="1"/>
  <c r="C58" i="7"/>
  <c r="D58" i="7"/>
  <c r="B44" i="7"/>
  <c r="E58" i="7"/>
  <c r="I18" i="1"/>
  <c r="D72" i="7" l="1"/>
  <c r="E72" i="7"/>
  <c r="C72" i="7"/>
  <c r="B58" i="7"/>
  <c r="F72" i="7"/>
  <c r="K3" i="1"/>
  <c r="B72" i="7" l="1"/>
  <c r="F86" i="7"/>
  <c r="D86" i="7"/>
  <c r="C86" i="7"/>
  <c r="E86" i="7"/>
  <c r="K24" i="1"/>
  <c r="K25" i="1"/>
  <c r="K23" i="1"/>
  <c r="I24" i="1"/>
  <c r="I25" i="1"/>
  <c r="I23" i="1"/>
  <c r="G24" i="1"/>
  <c r="G25" i="1"/>
  <c r="G23" i="1"/>
  <c r="B10" i="5"/>
  <c r="K5" i="5" s="1"/>
  <c r="H57" i="5"/>
  <c r="H58" i="5"/>
  <c r="H59" i="5"/>
  <c r="H60" i="5"/>
  <c r="H61" i="5"/>
  <c r="H55" i="5"/>
  <c r="H56" i="5"/>
  <c r="B11" i="6"/>
  <c r="T35" i="6"/>
  <c r="R35" i="6"/>
  <c r="P35" i="6"/>
  <c r="T34" i="6"/>
  <c r="R34" i="6"/>
  <c r="P34" i="6"/>
  <c r="T33" i="6"/>
  <c r="R33" i="6"/>
  <c r="P33" i="6"/>
  <c r="Z17" i="6"/>
  <c r="X17" i="6"/>
  <c r="V17" i="6"/>
  <c r="I17" i="6"/>
  <c r="H17" i="6"/>
  <c r="E17" i="6"/>
  <c r="Z16" i="6"/>
  <c r="X16" i="6"/>
  <c r="V16" i="6"/>
  <c r="I16" i="6"/>
  <c r="H16" i="6"/>
  <c r="E16" i="6"/>
  <c r="Z15" i="6"/>
  <c r="X15" i="6"/>
  <c r="V15" i="6"/>
  <c r="I15" i="6"/>
  <c r="H15" i="6"/>
  <c r="E15" i="6"/>
  <c r="Z14" i="6"/>
  <c r="X14" i="6"/>
  <c r="V14" i="6"/>
  <c r="S14" i="6"/>
  <c r="Q14" i="6"/>
  <c r="I14" i="6"/>
  <c r="H14" i="6"/>
  <c r="E14" i="6"/>
  <c r="V13" i="6"/>
  <c r="H13" i="6"/>
  <c r="E13" i="6"/>
  <c r="B9" i="6"/>
  <c r="E5" i="6" s="1"/>
  <c r="C8" i="6"/>
  <c r="K5" i="6"/>
  <c r="K3" i="6"/>
  <c r="E3" i="6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21" i="5"/>
  <c r="T35" i="5"/>
  <c r="R35" i="5"/>
  <c r="P35" i="5"/>
  <c r="T34" i="5"/>
  <c r="R34" i="5"/>
  <c r="P34" i="5"/>
  <c r="T33" i="5"/>
  <c r="R33" i="5"/>
  <c r="P33" i="5"/>
  <c r="Z17" i="5"/>
  <c r="X17" i="5"/>
  <c r="V17" i="5"/>
  <c r="I17" i="5"/>
  <c r="H17" i="5"/>
  <c r="E17" i="5"/>
  <c r="Z16" i="5"/>
  <c r="X16" i="5"/>
  <c r="V16" i="5"/>
  <c r="I16" i="5"/>
  <c r="H16" i="5"/>
  <c r="E16" i="5"/>
  <c r="Z15" i="5"/>
  <c r="X15" i="5"/>
  <c r="V15" i="5"/>
  <c r="I15" i="5"/>
  <c r="H15" i="5"/>
  <c r="E15" i="5"/>
  <c r="Z14" i="5"/>
  <c r="X14" i="5"/>
  <c r="V14" i="5"/>
  <c r="S14" i="5"/>
  <c r="Q14" i="5"/>
  <c r="I14" i="5"/>
  <c r="H14" i="5"/>
  <c r="E14" i="5"/>
  <c r="V13" i="5"/>
  <c r="H13" i="5"/>
  <c r="E13" i="5"/>
  <c r="B9" i="5"/>
  <c r="F10" i="5" s="1"/>
  <c r="C8" i="5"/>
  <c r="F8" i="5"/>
  <c r="C3" i="5" s="1"/>
  <c r="D8" i="5" s="1"/>
  <c r="T34" i="1"/>
  <c r="T35" i="1"/>
  <c r="T33" i="1"/>
  <c r="R34" i="1"/>
  <c r="R35" i="1"/>
  <c r="R33" i="1"/>
  <c r="P34" i="1"/>
  <c r="P35" i="1"/>
  <c r="P33" i="1"/>
  <c r="S14" i="1"/>
  <c r="Q14" i="1"/>
  <c r="Z15" i="1"/>
  <c r="Z16" i="1"/>
  <c r="Z17" i="1"/>
  <c r="Z14" i="1"/>
  <c r="X15" i="1"/>
  <c r="X16" i="1"/>
  <c r="X17" i="1"/>
  <c r="X14" i="1"/>
  <c r="V14" i="1"/>
  <c r="V15" i="1"/>
  <c r="V16" i="1"/>
  <c r="V17" i="1"/>
  <c r="V13" i="1"/>
  <c r="H16" i="1"/>
  <c r="H17" i="1"/>
  <c r="H15" i="1"/>
  <c r="H14" i="1"/>
  <c r="H13" i="1"/>
  <c r="D100" i="7" l="1"/>
  <c r="F100" i="7"/>
  <c r="E100" i="7"/>
  <c r="B86" i="7"/>
  <c r="C100" i="7"/>
  <c r="H3" i="5"/>
  <c r="M3" i="5" s="1"/>
  <c r="F5" i="6"/>
  <c r="F3" i="6"/>
  <c r="I3" i="6" s="1"/>
  <c r="H3" i="6"/>
  <c r="C9" i="6"/>
  <c r="H5" i="6" s="1"/>
  <c r="K3" i="5"/>
  <c r="F3" i="5"/>
  <c r="D3" i="5"/>
  <c r="I3" i="5" s="1"/>
  <c r="C5" i="5"/>
  <c r="D9" i="5" s="1"/>
  <c r="G10" i="5"/>
  <c r="G8" i="5"/>
  <c r="C9" i="5"/>
  <c r="I15" i="1"/>
  <c r="I16" i="1"/>
  <c r="I17" i="1"/>
  <c r="I14" i="1"/>
  <c r="E14" i="1"/>
  <c r="E15" i="1"/>
  <c r="E16" i="1"/>
  <c r="E17" i="1"/>
  <c r="E13" i="1"/>
  <c r="K5" i="1"/>
  <c r="B9" i="1"/>
  <c r="B100" i="7" l="1"/>
  <c r="B88" i="7"/>
  <c r="B92" i="7" s="1"/>
  <c r="B93" i="7" s="1"/>
  <c r="B94" i="7" s="1"/>
  <c r="E114" i="7"/>
  <c r="C114" i="7"/>
  <c r="F114" i="7"/>
  <c r="E5" i="1"/>
  <c r="B4" i="7"/>
  <c r="B22" i="7"/>
  <c r="B23" i="7" s="1"/>
  <c r="B24" i="7" s="1"/>
  <c r="B34" i="7"/>
  <c r="B35" i="7" s="1"/>
  <c r="B39" i="7" s="1"/>
  <c r="B40" i="7" s="1"/>
  <c r="C31" i="7" s="1"/>
  <c r="C32" i="7" s="1"/>
  <c r="C36" i="7" s="1"/>
  <c r="C37" i="7" s="1"/>
  <c r="C38" i="7" s="1"/>
  <c r="B32" i="7"/>
  <c r="B36" i="7" s="1"/>
  <c r="B37" i="7" s="1"/>
  <c r="B38" i="7" s="1"/>
  <c r="B8" i="7"/>
  <c r="B48" i="7"/>
  <c r="B49" i="7" s="1"/>
  <c r="B46" i="7"/>
  <c r="B50" i="7" s="1"/>
  <c r="B51" i="7" s="1"/>
  <c r="B52" i="7" s="1"/>
  <c r="B60" i="7"/>
  <c r="B64" i="7" s="1"/>
  <c r="B65" i="7" s="1"/>
  <c r="B66" i="7" s="1"/>
  <c r="D114" i="7"/>
  <c r="B74" i="7"/>
  <c r="B78" i="7" s="1"/>
  <c r="M3" i="6"/>
  <c r="P3" i="6"/>
  <c r="S3" i="6" s="1"/>
  <c r="T3" i="6" s="1"/>
  <c r="N3" i="6"/>
  <c r="Q3" i="6"/>
  <c r="M5" i="6"/>
  <c r="P5" i="6"/>
  <c r="I5" i="6"/>
  <c r="S5" i="6"/>
  <c r="H5" i="5"/>
  <c r="M5" i="5" s="1"/>
  <c r="N3" i="5"/>
  <c r="K8" i="5" s="1"/>
  <c r="D5" i="5"/>
  <c r="I5" i="5" s="1"/>
  <c r="N5" i="5" s="1"/>
  <c r="F5" i="5"/>
  <c r="G3" i="5"/>
  <c r="S8" i="5" s="1"/>
  <c r="P5" i="1"/>
  <c r="S5" i="1" s="1"/>
  <c r="T5" i="1" s="1"/>
  <c r="C9" i="1"/>
  <c r="H5" i="1" s="1"/>
  <c r="M5" i="1" s="1"/>
  <c r="F5" i="1"/>
  <c r="E3" i="1"/>
  <c r="H3" i="1" s="1"/>
  <c r="C8" i="1"/>
  <c r="B53" i="7" l="1"/>
  <c r="B54" i="7" s="1"/>
  <c r="C45" i="7" s="1"/>
  <c r="C46" i="7" s="1"/>
  <c r="C50" i="7" s="1"/>
  <c r="C51" i="7" s="1"/>
  <c r="C52" i="7" s="1"/>
  <c r="C128" i="7"/>
  <c r="B76" i="7"/>
  <c r="B77" i="7" s="1"/>
  <c r="C62" i="7"/>
  <c r="C63" i="7" s="1"/>
  <c r="C20" i="7"/>
  <c r="C21" i="7" s="1"/>
  <c r="C104" i="7"/>
  <c r="C105" i="7" s="1"/>
  <c r="K8" i="6"/>
  <c r="C76" i="7"/>
  <c r="C77" i="7" s="1"/>
  <c r="C48" i="7"/>
  <c r="C49" i="7" s="1"/>
  <c r="E128" i="7"/>
  <c r="B9" i="7"/>
  <c r="B10" i="7"/>
  <c r="C90" i="7"/>
  <c r="C91" i="7" s="1"/>
  <c r="B114" i="7"/>
  <c r="B102" i="7"/>
  <c r="B106" i="7" s="1"/>
  <c r="B107" i="7" s="1"/>
  <c r="B108" i="7" s="1"/>
  <c r="B104" i="7"/>
  <c r="B105" i="7" s="1"/>
  <c r="B20" i="7"/>
  <c r="B21" i="7" s="1"/>
  <c r="B25" i="7" s="1"/>
  <c r="B26" i="7" s="1"/>
  <c r="C17" i="7" s="1"/>
  <c r="C18" i="7" s="1"/>
  <c r="C22" i="7" s="1"/>
  <c r="C23" i="7" s="1"/>
  <c r="C24" i="7" s="1"/>
  <c r="C34" i="7"/>
  <c r="C35" i="7"/>
  <c r="C39" i="7" s="1"/>
  <c r="C40" i="7" s="1"/>
  <c r="D31" i="7" s="1"/>
  <c r="D32" i="7" s="1"/>
  <c r="B79" i="7"/>
  <c r="B80" i="7"/>
  <c r="D128" i="7"/>
  <c r="F128" i="7"/>
  <c r="S8" i="6"/>
  <c r="N5" i="6"/>
  <c r="K9" i="6" s="1"/>
  <c r="Q5" i="6"/>
  <c r="U8" i="6"/>
  <c r="T5" i="6"/>
  <c r="N8" i="6"/>
  <c r="J8" i="6"/>
  <c r="L8" i="6"/>
  <c r="M8" i="6" s="1"/>
  <c r="L8" i="5"/>
  <c r="M8" i="5" s="1"/>
  <c r="J8" i="5"/>
  <c r="N8" i="5"/>
  <c r="K9" i="5"/>
  <c r="G5" i="5"/>
  <c r="S9" i="5" s="1"/>
  <c r="U8" i="5"/>
  <c r="P3" i="1"/>
  <c r="S3" i="1" s="1"/>
  <c r="T3" i="1" s="1"/>
  <c r="Q5" i="1"/>
  <c r="S9" i="1" s="1"/>
  <c r="I5" i="1"/>
  <c r="F3" i="1"/>
  <c r="I3" i="1" s="1"/>
  <c r="N3" i="1" s="1"/>
  <c r="M3" i="1"/>
  <c r="B109" i="7" l="1"/>
  <c r="B110" i="7" s="1"/>
  <c r="C101" i="7" s="1"/>
  <c r="C102" i="7" s="1"/>
  <c r="C106" i="7" s="1"/>
  <c r="C107" i="7" s="1"/>
  <c r="C108" i="7" s="1"/>
  <c r="C109" i="7" s="1"/>
  <c r="C110" i="7" s="1"/>
  <c r="D101" i="7" s="1"/>
  <c r="D102" i="7" s="1"/>
  <c r="C53" i="7"/>
  <c r="C54" i="7" s="1"/>
  <c r="D45" i="7" s="1"/>
  <c r="D46" i="7" s="1"/>
  <c r="D36" i="7"/>
  <c r="D37" i="7" s="1"/>
  <c r="D38" i="7" s="1"/>
  <c r="D33" i="7"/>
  <c r="C25" i="7"/>
  <c r="C26" i="7" s="1"/>
  <c r="D17" i="7" s="1"/>
  <c r="D18" i="7" s="1"/>
  <c r="B6" i="7"/>
  <c r="B7" i="7" s="1"/>
  <c r="B11" i="7" s="1"/>
  <c r="B12" i="7" s="1"/>
  <c r="C3" i="7" s="1"/>
  <c r="C118" i="7"/>
  <c r="C119" i="7" s="1"/>
  <c r="C142" i="7"/>
  <c r="B62" i="7"/>
  <c r="B63" i="7" s="1"/>
  <c r="B67" i="7" s="1"/>
  <c r="B68" i="7" s="1"/>
  <c r="C59" i="7" s="1"/>
  <c r="C60" i="7" s="1"/>
  <c r="C64" i="7" s="1"/>
  <c r="C65" i="7" s="1"/>
  <c r="C66" i="7" s="1"/>
  <c r="C67" i="7" s="1"/>
  <c r="C68" i="7" s="1"/>
  <c r="D59" i="7" s="1"/>
  <c r="D60" i="7" s="1"/>
  <c r="B81" i="7"/>
  <c r="B82" i="7" s="1"/>
  <c r="C73" i="7" s="1"/>
  <c r="C74" i="7" s="1"/>
  <c r="C78" i="7" s="1"/>
  <c r="C79" i="7" s="1"/>
  <c r="C80" i="7" s="1"/>
  <c r="C81" i="7" s="1"/>
  <c r="C82" i="7" s="1"/>
  <c r="D73" i="7" s="1"/>
  <c r="D74" i="7" s="1"/>
  <c r="B90" i="7"/>
  <c r="B91" i="7" s="1"/>
  <c r="B95" i="7" s="1"/>
  <c r="B96" i="7" s="1"/>
  <c r="C87" i="7" s="1"/>
  <c r="C88" i="7" s="1"/>
  <c r="C92" i="7" s="1"/>
  <c r="C93" i="7" s="1"/>
  <c r="C94" i="7" s="1"/>
  <c r="C95" i="7" s="1"/>
  <c r="C96" i="7" s="1"/>
  <c r="D87" i="7" s="1"/>
  <c r="D88" i="7" s="1"/>
  <c r="E142" i="7"/>
  <c r="D142" i="7"/>
  <c r="F142" i="7"/>
  <c r="C6" i="7"/>
  <c r="C7" i="7" s="1"/>
  <c r="B128" i="7"/>
  <c r="B116" i="7"/>
  <c r="B120" i="7" s="1"/>
  <c r="B121" i="7" s="1"/>
  <c r="B122" i="7" s="1"/>
  <c r="D34" i="7"/>
  <c r="D35" i="7" s="1"/>
  <c r="D39" i="7" s="1"/>
  <c r="D40" i="7" s="1"/>
  <c r="E31" i="7" s="1"/>
  <c r="E32" i="7" s="1"/>
  <c r="S9" i="6"/>
  <c r="X8" i="6" s="1"/>
  <c r="X9" i="6"/>
  <c r="U9" i="6"/>
  <c r="Y8" i="6"/>
  <c r="N9" i="6"/>
  <c r="J9" i="6"/>
  <c r="L9" i="6"/>
  <c r="M9" i="6" s="1"/>
  <c r="J9" i="5"/>
  <c r="N9" i="5"/>
  <c r="L9" i="5"/>
  <c r="M9" i="5" s="1"/>
  <c r="Y8" i="5"/>
  <c r="X8" i="5"/>
  <c r="X9" i="5"/>
  <c r="U9" i="5"/>
  <c r="Z8" i="5"/>
  <c r="X9" i="1"/>
  <c r="U9" i="1"/>
  <c r="Q3" i="1"/>
  <c r="S8" i="1" s="1"/>
  <c r="Y8" i="1" s="1"/>
  <c r="N5" i="1"/>
  <c r="K9" i="1" s="1"/>
  <c r="K8" i="1"/>
  <c r="D106" i="7" l="1"/>
  <c r="D107" i="7" s="1"/>
  <c r="D108" i="7" s="1"/>
  <c r="D109" i="7" s="1"/>
  <c r="D110" i="7" s="1"/>
  <c r="E101" i="7" s="1"/>
  <c r="E102" i="7" s="1"/>
  <c r="D103" i="7"/>
  <c r="D104" i="7" s="1"/>
  <c r="D105" i="7" s="1"/>
  <c r="D92" i="7"/>
  <c r="D93" i="7" s="1"/>
  <c r="D94" i="7" s="1"/>
  <c r="D89" i="7"/>
  <c r="D90" i="7" s="1"/>
  <c r="D91" i="7" s="1"/>
  <c r="D78" i="7"/>
  <c r="D79" i="7" s="1"/>
  <c r="D80" i="7" s="1"/>
  <c r="D75" i="7"/>
  <c r="D76" i="7" s="1"/>
  <c r="D77" i="7" s="1"/>
  <c r="D64" i="7"/>
  <c r="D65" i="7" s="1"/>
  <c r="D66" i="7" s="1"/>
  <c r="D67" i="7" s="1"/>
  <c r="D68" i="7" s="1"/>
  <c r="E59" i="7" s="1"/>
  <c r="E60" i="7" s="1"/>
  <c r="D61" i="7"/>
  <c r="D62" i="7" s="1"/>
  <c r="D63" i="7" s="1"/>
  <c r="D50" i="7"/>
  <c r="D51" i="7" s="1"/>
  <c r="D52" i="7" s="1"/>
  <c r="D47" i="7"/>
  <c r="E36" i="7"/>
  <c r="E37" i="7" s="1"/>
  <c r="E38" i="7" s="1"/>
  <c r="E39" i="7" s="1"/>
  <c r="E40" i="7" s="1"/>
  <c r="F41" i="7" s="1"/>
  <c r="F42" i="7" s="1"/>
  <c r="E33" i="7"/>
  <c r="E34" i="7" s="1"/>
  <c r="E35" i="7" s="1"/>
  <c r="D22" i="7"/>
  <c r="D23" i="7" s="1"/>
  <c r="D24" i="7" s="1"/>
  <c r="D19" i="7"/>
  <c r="D20" i="7" s="1"/>
  <c r="D21" i="7" s="1"/>
  <c r="D25" i="7" s="1"/>
  <c r="D26" i="7" s="1"/>
  <c r="E17" i="7" s="1"/>
  <c r="E18" i="7" s="1"/>
  <c r="C8" i="7"/>
  <c r="C9" i="7" s="1"/>
  <c r="B118" i="7"/>
  <c r="B119" i="7" s="1"/>
  <c r="B123" i="7" s="1"/>
  <c r="B124" i="7" s="1"/>
  <c r="C115" i="7" s="1"/>
  <c r="C116" i="7" s="1"/>
  <c r="C120" i="7" s="1"/>
  <c r="C121" i="7" s="1"/>
  <c r="C122" i="7" s="1"/>
  <c r="C123" i="7" s="1"/>
  <c r="C124" i="7" s="1"/>
  <c r="D115" i="7" s="1"/>
  <c r="D116" i="7" s="1"/>
  <c r="Z8" i="6"/>
  <c r="D156" i="7"/>
  <c r="C156" i="7"/>
  <c r="F156" i="7"/>
  <c r="B132" i="7"/>
  <c r="B133" i="7" s="1"/>
  <c r="B130" i="7"/>
  <c r="B134" i="7" s="1"/>
  <c r="B135" i="7" s="1"/>
  <c r="B136" i="7" s="1"/>
  <c r="B142" i="7"/>
  <c r="C132" i="7"/>
  <c r="C133" i="7" s="1"/>
  <c r="E156" i="7"/>
  <c r="X8" i="1"/>
  <c r="U8" i="1"/>
  <c r="Z8" i="1"/>
  <c r="L9" i="1"/>
  <c r="M9" i="1" s="1"/>
  <c r="N9" i="1"/>
  <c r="J9" i="1"/>
  <c r="N8" i="1"/>
  <c r="J8" i="1"/>
  <c r="L8" i="1"/>
  <c r="M8" i="1" s="1"/>
  <c r="B137" i="7" l="1"/>
  <c r="B138" i="7" s="1"/>
  <c r="C129" i="7" s="1"/>
  <c r="C130" i="7" s="1"/>
  <c r="C134" i="7" s="1"/>
  <c r="C135" i="7" s="1"/>
  <c r="D120" i="7"/>
  <c r="D121" i="7" s="1"/>
  <c r="D122" i="7" s="1"/>
  <c r="D117" i="7"/>
  <c r="E106" i="7"/>
  <c r="E107" i="7" s="1"/>
  <c r="E108" i="7" s="1"/>
  <c r="E103" i="7"/>
  <c r="D95" i="7"/>
  <c r="D96" i="7" s="1"/>
  <c r="E87" i="7" s="1"/>
  <c r="E88" i="7" s="1"/>
  <c r="D81" i="7"/>
  <c r="D82" i="7" s="1"/>
  <c r="E73" i="7" s="1"/>
  <c r="E64" i="7"/>
  <c r="E65" i="7" s="1"/>
  <c r="E66" i="7" s="1"/>
  <c r="E67" i="7" s="1"/>
  <c r="E68" i="7" s="1"/>
  <c r="F69" i="7" s="1"/>
  <c r="F70" i="7" s="1"/>
  <c r="E61" i="7"/>
  <c r="E62" i="7" s="1"/>
  <c r="E63" i="7" s="1"/>
  <c r="D48" i="7"/>
  <c r="D49" i="7" s="1"/>
  <c r="D53" i="7" s="1"/>
  <c r="D54" i="7" s="1"/>
  <c r="E45" i="7" s="1"/>
  <c r="F31" i="7"/>
  <c r="F32" i="7" s="1"/>
  <c r="E22" i="7"/>
  <c r="E23" i="7" s="1"/>
  <c r="E24" i="7" s="1"/>
  <c r="E25" i="7" s="1"/>
  <c r="E26" i="7" s="1"/>
  <c r="F28" i="7" s="1"/>
  <c r="U38" i="7" s="1"/>
  <c r="E19" i="7"/>
  <c r="E20" i="7" s="1"/>
  <c r="E21" i="7" s="1"/>
  <c r="C10" i="7"/>
  <c r="C11" i="7" s="1"/>
  <c r="C12" i="7" s="1"/>
  <c r="D3" i="7" s="1"/>
  <c r="D4" i="7" s="1"/>
  <c r="D8" i="7" s="1"/>
  <c r="D9" i="7" s="1"/>
  <c r="D6" i="7"/>
  <c r="D7" i="7" s="1"/>
  <c r="C160" i="7"/>
  <c r="C161" i="7" s="1"/>
  <c r="C170" i="7"/>
  <c r="C146" i="7"/>
  <c r="C147" i="7" s="1"/>
  <c r="F170" i="7"/>
  <c r="D170" i="7"/>
  <c r="B144" i="7"/>
  <c r="B148" i="7" s="1"/>
  <c r="B149" i="7" s="1"/>
  <c r="B150" i="7" s="1"/>
  <c r="B156" i="7"/>
  <c r="E170" i="7"/>
  <c r="C136" i="7" l="1"/>
  <c r="C137" i="7" s="1"/>
  <c r="C138" i="7" s="1"/>
  <c r="D129" i="7" s="1"/>
  <c r="D130" i="7" s="1"/>
  <c r="D118" i="7"/>
  <c r="D119" i="7" s="1"/>
  <c r="D123" i="7" s="1"/>
  <c r="D124" i="7" s="1"/>
  <c r="E115" i="7" s="1"/>
  <c r="E104" i="7"/>
  <c r="E105" i="7" s="1"/>
  <c r="E109" i="7" s="1"/>
  <c r="E110" i="7" s="1"/>
  <c r="E92" i="7"/>
  <c r="E93" i="7" s="1"/>
  <c r="E94" i="7" s="1"/>
  <c r="E89" i="7"/>
  <c r="E90" i="7" s="1"/>
  <c r="E91" i="7" s="1"/>
  <c r="E74" i="7"/>
  <c r="F59" i="7"/>
  <c r="F60" i="7" s="1"/>
  <c r="E46" i="7"/>
  <c r="F36" i="7"/>
  <c r="F37" i="7" s="1"/>
  <c r="F38" i="7" s="1"/>
  <c r="F33" i="7"/>
  <c r="F17" i="7"/>
  <c r="F18" i="7" s="1"/>
  <c r="D10" i="7"/>
  <c r="D11" i="7" s="1"/>
  <c r="D12" i="7" s="1"/>
  <c r="E3" i="7" s="1"/>
  <c r="E4" i="7" s="1"/>
  <c r="B158" i="7"/>
  <c r="B162" i="7" s="1"/>
  <c r="B163" i="7" s="1"/>
  <c r="B164" i="7" s="1"/>
  <c r="B170" i="7"/>
  <c r="F184" i="7"/>
  <c r="D184" i="7"/>
  <c r="C184" i="7"/>
  <c r="E184" i="7"/>
  <c r="B146" i="7"/>
  <c r="B147" i="7" s="1"/>
  <c r="B151" i="7" s="1"/>
  <c r="B152" i="7" s="1"/>
  <c r="C143" i="7" s="1"/>
  <c r="C148" i="7" s="1"/>
  <c r="C149" i="7" s="1"/>
  <c r="C150" i="7" s="1"/>
  <c r="C151" i="7" s="1"/>
  <c r="C152" i="7" s="1"/>
  <c r="D143" i="7" s="1"/>
  <c r="D144" i="7" l="1"/>
  <c r="D134" i="7"/>
  <c r="D135" i="7" s="1"/>
  <c r="D136" i="7" s="1"/>
  <c r="D131" i="7"/>
  <c r="E116" i="7"/>
  <c r="F111" i="7"/>
  <c r="F112" i="7" s="1"/>
  <c r="F101" i="7"/>
  <c r="F102" i="7" s="1"/>
  <c r="E95" i="7"/>
  <c r="E96" i="7" s="1"/>
  <c r="E78" i="7"/>
  <c r="E79" i="7" s="1"/>
  <c r="E80" i="7" s="1"/>
  <c r="E75" i="7"/>
  <c r="F64" i="7"/>
  <c r="F65" i="7" s="1"/>
  <c r="F66" i="7" s="1"/>
  <c r="F61" i="7"/>
  <c r="F62" i="7" s="1"/>
  <c r="F63" i="7" s="1"/>
  <c r="E50" i="7"/>
  <c r="E51" i="7" s="1"/>
  <c r="E52" i="7" s="1"/>
  <c r="E47" i="7"/>
  <c r="E48" i="7" s="1"/>
  <c r="E49" i="7" s="1"/>
  <c r="F34" i="7"/>
  <c r="F35" i="7"/>
  <c r="F39" i="7"/>
  <c r="F40" i="7" s="1"/>
  <c r="F22" i="7"/>
  <c r="F23" i="7" s="1"/>
  <c r="F24" i="7" s="1"/>
  <c r="F19" i="7"/>
  <c r="F20" i="7" s="1"/>
  <c r="F21" i="7" s="1"/>
  <c r="E8" i="7"/>
  <c r="E198" i="7"/>
  <c r="F198" i="7"/>
  <c r="C198" i="7"/>
  <c r="B160" i="7"/>
  <c r="B161" i="7" s="1"/>
  <c r="B165" i="7" s="1"/>
  <c r="B166" i="7" s="1"/>
  <c r="C157" i="7" s="1"/>
  <c r="C158" i="7" s="1"/>
  <c r="C162" i="7" s="1"/>
  <c r="C163" i="7" s="1"/>
  <c r="C164" i="7" s="1"/>
  <c r="C165" i="7" s="1"/>
  <c r="C166" i="7" s="1"/>
  <c r="D157" i="7" s="1"/>
  <c r="D158" i="7" s="1"/>
  <c r="C174" i="7"/>
  <c r="C175" i="7" s="1"/>
  <c r="B172" i="7"/>
  <c r="B176" i="7" s="1"/>
  <c r="B184" i="7"/>
  <c r="D198" i="7"/>
  <c r="D148" i="7" l="1"/>
  <c r="D149" i="7" s="1"/>
  <c r="D150" i="7" s="1"/>
  <c r="D151" i="7" s="1"/>
  <c r="D152" i="7" s="1"/>
  <c r="E143" i="7" s="1"/>
  <c r="E144" i="7" s="1"/>
  <c r="D145" i="7"/>
  <c r="D146" i="7" s="1"/>
  <c r="D147" i="7" s="1"/>
  <c r="D162" i="7"/>
  <c r="D163" i="7" s="1"/>
  <c r="D164" i="7" s="1"/>
  <c r="D159" i="7"/>
  <c r="D132" i="7"/>
  <c r="D133" i="7" s="1"/>
  <c r="D137" i="7" s="1"/>
  <c r="D138" i="7" s="1"/>
  <c r="E129" i="7" s="1"/>
  <c r="E120" i="7"/>
  <c r="E121" i="7" s="1"/>
  <c r="E122" i="7" s="1"/>
  <c r="E123" i="7" s="1"/>
  <c r="E124" i="7" s="1"/>
  <c r="E117" i="7"/>
  <c r="E118" i="7" s="1"/>
  <c r="E119" i="7" s="1"/>
  <c r="F106" i="7"/>
  <c r="F107" i="7" s="1"/>
  <c r="F108" i="7" s="1"/>
  <c r="F103" i="7"/>
  <c r="F97" i="7"/>
  <c r="F98" i="7" s="1"/>
  <c r="F87" i="7"/>
  <c r="F88" i="7" s="1"/>
  <c r="E76" i="7"/>
  <c r="E77" i="7" s="1"/>
  <c r="E81" i="7" s="1"/>
  <c r="E82" i="7" s="1"/>
  <c r="F67" i="7"/>
  <c r="F68" i="7" s="1"/>
  <c r="E53" i="7"/>
  <c r="E54" i="7" s="1"/>
  <c r="F25" i="7"/>
  <c r="F26" i="7" s="1"/>
  <c r="E6" i="7"/>
  <c r="E7" i="7" s="1"/>
  <c r="E9" i="7"/>
  <c r="E10" i="7" s="1"/>
  <c r="B186" i="7"/>
  <c r="B190" i="7" s="1"/>
  <c r="B191" i="7" s="1"/>
  <c r="B192" i="7" s="1"/>
  <c r="B198" i="7"/>
  <c r="C212" i="7"/>
  <c r="F212" i="7"/>
  <c r="C188" i="7"/>
  <c r="C189" i="7" s="1"/>
  <c r="B177" i="7"/>
  <c r="B178" i="7"/>
  <c r="E212" i="7"/>
  <c r="B174" i="7"/>
  <c r="B175" i="7" s="1"/>
  <c r="B179" i="7" s="1"/>
  <c r="B180" i="7" s="1"/>
  <c r="C171" i="7" s="1"/>
  <c r="C172" i="7" s="1"/>
  <c r="C176" i="7" s="1"/>
  <c r="C177" i="7" s="1"/>
  <c r="C178" i="7" s="1"/>
  <c r="C179" i="7" s="1"/>
  <c r="C180" i="7" s="1"/>
  <c r="D171" i="7" s="1"/>
  <c r="D172" i="7" s="1"/>
  <c r="D212" i="7"/>
  <c r="E148" i="7" l="1"/>
  <c r="E149" i="7" s="1"/>
  <c r="E150" i="7" s="1"/>
  <c r="E151" i="7" s="1"/>
  <c r="E152" i="7" s="1"/>
  <c r="F153" i="7" s="1"/>
  <c r="F154" i="7" s="1"/>
  <c r="E145" i="7"/>
  <c r="E146" i="7" s="1"/>
  <c r="E147" i="7" s="1"/>
  <c r="D176" i="7"/>
  <c r="D177" i="7" s="1"/>
  <c r="D178" i="7" s="1"/>
  <c r="D179" i="7" s="1"/>
  <c r="D180" i="7" s="1"/>
  <c r="E171" i="7" s="1"/>
  <c r="E172" i="7" s="1"/>
  <c r="D173" i="7"/>
  <c r="D174" i="7" s="1"/>
  <c r="D175" i="7" s="1"/>
  <c r="D160" i="7"/>
  <c r="D161" i="7" s="1"/>
  <c r="D165" i="7" s="1"/>
  <c r="D166" i="7" s="1"/>
  <c r="E157" i="7" s="1"/>
  <c r="E130" i="7"/>
  <c r="F125" i="7"/>
  <c r="F126" i="7" s="1"/>
  <c r="F115" i="7"/>
  <c r="F116" i="7" s="1"/>
  <c r="F104" i="7"/>
  <c r="F105" i="7" s="1"/>
  <c r="F109" i="7" s="1"/>
  <c r="F110" i="7" s="1"/>
  <c r="F92" i="7"/>
  <c r="F93" i="7" s="1"/>
  <c r="F94" i="7" s="1"/>
  <c r="F95" i="7" s="1"/>
  <c r="F96" i="7" s="1"/>
  <c r="F89" i="7"/>
  <c r="F90" i="7" s="1"/>
  <c r="F91" i="7" s="1"/>
  <c r="F83" i="7"/>
  <c r="F84" i="7" s="1"/>
  <c r="F73" i="7"/>
  <c r="F74" i="7" s="1"/>
  <c r="F55" i="7"/>
  <c r="F56" i="7" s="1"/>
  <c r="F45" i="7"/>
  <c r="F46" i="7" s="1"/>
  <c r="E11" i="7"/>
  <c r="E12" i="7" s="1"/>
  <c r="C216" i="7"/>
  <c r="C217" i="7" s="1"/>
  <c r="C202" i="7"/>
  <c r="C203" i="7" s="1"/>
  <c r="B200" i="7"/>
  <c r="B204" i="7" s="1"/>
  <c r="B205" i="7" s="1"/>
  <c r="B206" i="7" s="1"/>
  <c r="B212" i="7"/>
  <c r="B188" i="7"/>
  <c r="B189" i="7" s="1"/>
  <c r="B193" i="7" s="1"/>
  <c r="B194" i="7" s="1"/>
  <c r="C185" i="7" s="1"/>
  <c r="C186" i="7" s="1"/>
  <c r="C190" i="7" s="1"/>
  <c r="C191" i="7" s="1"/>
  <c r="C192" i="7" s="1"/>
  <c r="C193" i="7" s="1"/>
  <c r="C194" i="7" s="1"/>
  <c r="D185" i="7" s="1"/>
  <c r="D186" i="7" s="1"/>
  <c r="F143" i="7" l="1"/>
  <c r="F144" i="7" s="1"/>
  <c r="D190" i="7"/>
  <c r="D191" i="7" s="1"/>
  <c r="D192" i="7" s="1"/>
  <c r="D187" i="7"/>
  <c r="D188" i="7" s="1"/>
  <c r="D189" i="7" s="1"/>
  <c r="E176" i="7"/>
  <c r="E177" i="7" s="1"/>
  <c r="E178" i="7" s="1"/>
  <c r="E179" i="7" s="1"/>
  <c r="E180" i="7" s="1"/>
  <c r="F181" i="7" s="1"/>
  <c r="F182" i="7" s="1"/>
  <c r="E173" i="7"/>
  <c r="E174" i="7" s="1"/>
  <c r="E175" i="7" s="1"/>
  <c r="E158" i="7"/>
  <c r="E134" i="7"/>
  <c r="E135" i="7" s="1"/>
  <c r="E136" i="7" s="1"/>
  <c r="E137" i="7" s="1"/>
  <c r="E138" i="7" s="1"/>
  <c r="E131" i="7"/>
  <c r="E132" i="7" s="1"/>
  <c r="E133" i="7" s="1"/>
  <c r="F120" i="7"/>
  <c r="F121" i="7" s="1"/>
  <c r="F122" i="7" s="1"/>
  <c r="F123" i="7" s="1"/>
  <c r="F124" i="7" s="1"/>
  <c r="F117" i="7"/>
  <c r="F118" i="7" s="1"/>
  <c r="F119" i="7" s="1"/>
  <c r="F78" i="7"/>
  <c r="F79" i="7" s="1"/>
  <c r="F80" i="7" s="1"/>
  <c r="F75" i="7"/>
  <c r="F76" i="7" s="1"/>
  <c r="F77" i="7" s="1"/>
  <c r="F50" i="7"/>
  <c r="F51" i="7" s="1"/>
  <c r="F52" i="7" s="1"/>
  <c r="F47" i="7"/>
  <c r="F3" i="7"/>
  <c r="F4" i="7" s="1"/>
  <c r="B214" i="7"/>
  <c r="B218" i="7" s="1"/>
  <c r="B219" i="7" s="1"/>
  <c r="B220" i="7" s="1"/>
  <c r="B202" i="7"/>
  <c r="B203" i="7" s="1"/>
  <c r="B207" i="7" s="1"/>
  <c r="B208" i="7" s="1"/>
  <c r="C199" i="7" s="1"/>
  <c r="C200" i="7" s="1"/>
  <c r="C204" i="7" s="1"/>
  <c r="C205" i="7" s="1"/>
  <c r="C206" i="7" s="1"/>
  <c r="C207" i="7" s="1"/>
  <c r="C208" i="7" s="1"/>
  <c r="D199" i="7" s="1"/>
  <c r="D200" i="7" s="1"/>
  <c r="F148" i="7" l="1"/>
  <c r="F149" i="7" s="1"/>
  <c r="F150" i="7" s="1"/>
  <c r="F145" i="7"/>
  <c r="F146" i="7" s="1"/>
  <c r="F147" i="7" s="1"/>
  <c r="D204" i="7"/>
  <c r="D205" i="7" s="1"/>
  <c r="D206" i="7" s="1"/>
  <c r="D201" i="7"/>
  <c r="D193" i="7"/>
  <c r="D194" i="7" s="1"/>
  <c r="E185" i="7" s="1"/>
  <c r="E186" i="7" s="1"/>
  <c r="F171" i="7"/>
  <c r="F172" i="7" s="1"/>
  <c r="E162" i="7"/>
  <c r="E163" i="7" s="1"/>
  <c r="E164" i="7" s="1"/>
  <c r="E159" i="7"/>
  <c r="F139" i="7"/>
  <c r="F140" i="7" s="1"/>
  <c r="F129" i="7"/>
  <c r="F130" i="7" s="1"/>
  <c r="F81" i="7"/>
  <c r="F82" i="7" s="1"/>
  <c r="F48" i="7"/>
  <c r="F49" i="7" s="1"/>
  <c r="F53" i="7" s="1"/>
  <c r="F54" i="7" s="1"/>
  <c r="F8" i="7"/>
  <c r="F9" i="7" s="1"/>
  <c r="F10" i="7" s="1"/>
  <c r="F6" i="7"/>
  <c r="F7" i="7" s="1"/>
  <c r="B216" i="7"/>
  <c r="B217" i="7" s="1"/>
  <c r="B221" i="7" s="1"/>
  <c r="B222" i="7" s="1"/>
  <c r="C213" i="7" s="1"/>
  <c r="C214" i="7" s="1"/>
  <c r="C218" i="7" s="1"/>
  <c r="C219" i="7" s="1"/>
  <c r="C220" i="7" s="1"/>
  <c r="C221" i="7" s="1"/>
  <c r="C222" i="7" s="1"/>
  <c r="D213" i="7" s="1"/>
  <c r="D214" i="7" s="1"/>
  <c r="F151" i="7" l="1"/>
  <c r="F152" i="7" s="1"/>
  <c r="D218" i="7"/>
  <c r="D219" i="7" s="1"/>
  <c r="D220" i="7" s="1"/>
  <c r="D221" i="7" s="1"/>
  <c r="D222" i="7" s="1"/>
  <c r="E213" i="7" s="1"/>
  <c r="E214" i="7" s="1"/>
  <c r="D215" i="7"/>
  <c r="D216" i="7" s="1"/>
  <c r="D217" i="7" s="1"/>
  <c r="D202" i="7"/>
  <c r="D203" i="7" s="1"/>
  <c r="D207" i="7" s="1"/>
  <c r="D208" i="7" s="1"/>
  <c r="E199" i="7" s="1"/>
  <c r="E190" i="7"/>
  <c r="E191" i="7" s="1"/>
  <c r="E192" i="7" s="1"/>
  <c r="E193" i="7" s="1"/>
  <c r="E194" i="7" s="1"/>
  <c r="F195" i="7" s="1"/>
  <c r="F196" i="7" s="1"/>
  <c r="E187" i="7"/>
  <c r="E188" i="7" s="1"/>
  <c r="E189" i="7" s="1"/>
  <c r="F176" i="7"/>
  <c r="F177" i="7" s="1"/>
  <c r="F178" i="7" s="1"/>
  <c r="F179" i="7" s="1"/>
  <c r="F180" i="7" s="1"/>
  <c r="F173" i="7"/>
  <c r="F174" i="7" s="1"/>
  <c r="F175" i="7" s="1"/>
  <c r="E160" i="7"/>
  <c r="E161" i="7" s="1"/>
  <c r="E165" i="7" s="1"/>
  <c r="E166" i="7" s="1"/>
  <c r="F134" i="7"/>
  <c r="F135" i="7" s="1"/>
  <c r="F136" i="7" s="1"/>
  <c r="F131" i="7"/>
  <c r="F11" i="7"/>
  <c r="F12" i="7" s="1"/>
  <c r="E218" i="7" l="1"/>
  <c r="E219" i="7" s="1"/>
  <c r="E220" i="7" s="1"/>
  <c r="E215" i="7"/>
  <c r="E216" i="7" s="1"/>
  <c r="E217" i="7" s="1"/>
  <c r="E200" i="7"/>
  <c r="F185" i="7"/>
  <c r="F186" i="7" s="1"/>
  <c r="F167" i="7"/>
  <c r="F168" i="7" s="1"/>
  <c r="F157" i="7"/>
  <c r="F158" i="7" s="1"/>
  <c r="F132" i="7"/>
  <c r="F133" i="7" s="1"/>
  <c r="F137" i="7" s="1"/>
  <c r="F138" i="7" s="1"/>
  <c r="E221" i="7" l="1"/>
  <c r="E222" i="7" s="1"/>
  <c r="E204" i="7"/>
  <c r="E205" i="7" s="1"/>
  <c r="E206" i="7" s="1"/>
  <c r="E201" i="7"/>
  <c r="E202" i="7" s="1"/>
  <c r="E203" i="7" s="1"/>
  <c r="F190" i="7"/>
  <c r="F191" i="7" s="1"/>
  <c r="F192" i="7" s="1"/>
  <c r="F187" i="7"/>
  <c r="F162" i="7"/>
  <c r="F163" i="7" s="1"/>
  <c r="F164" i="7" s="1"/>
  <c r="F159" i="7"/>
  <c r="F223" i="7" l="1"/>
  <c r="F224" i="7" s="1"/>
  <c r="F213" i="7"/>
  <c r="F214" i="7" s="1"/>
  <c r="E207" i="7"/>
  <c r="E208" i="7" s="1"/>
  <c r="F188" i="7"/>
  <c r="F189" i="7" s="1"/>
  <c r="F193" i="7" s="1"/>
  <c r="F194" i="7" s="1"/>
  <c r="F160" i="7"/>
  <c r="F161" i="7" s="1"/>
  <c r="F165" i="7" s="1"/>
  <c r="F166" i="7" s="1"/>
  <c r="F218" i="7" l="1"/>
  <c r="F219" i="7" s="1"/>
  <c r="F220" i="7" s="1"/>
  <c r="F215" i="7"/>
  <c r="F216" i="7" s="1"/>
  <c r="F217" i="7" s="1"/>
  <c r="F209" i="7"/>
  <c r="F210" i="7" s="1"/>
  <c r="F199" i="7"/>
  <c r="F200" i="7" s="1"/>
  <c r="F221" i="7" l="1"/>
  <c r="F222" i="7" s="1"/>
  <c r="F204" i="7"/>
  <c r="F205" i="7" s="1"/>
  <c r="F206" i="7" s="1"/>
  <c r="F201" i="7"/>
  <c r="F202" i="7" s="1"/>
  <c r="F203" i="7" s="1"/>
  <c r="F207" i="7" l="1"/>
  <c r="F208" i="7" s="1"/>
</calcChain>
</file>

<file path=xl/sharedStrings.xml><?xml version="1.0" encoding="utf-8"?>
<sst xmlns="http://schemas.openxmlformats.org/spreadsheetml/2006/main" count="536" uniqueCount="97">
  <si>
    <t>Load transfer Calculator</t>
  </si>
  <si>
    <t>Length</t>
  </si>
  <si>
    <t>CG height</t>
  </si>
  <si>
    <t xml:space="preserve">CG  % front </t>
  </si>
  <si>
    <t>Lat G</t>
  </si>
  <si>
    <t>Long G</t>
  </si>
  <si>
    <t>Next step</t>
  </si>
  <si>
    <t>Radius</t>
  </si>
  <si>
    <t>Req steer</t>
  </si>
  <si>
    <t>L SA</t>
  </si>
  <si>
    <t>R SA</t>
  </si>
  <si>
    <t>FR</t>
  </si>
  <si>
    <t>FL</t>
  </si>
  <si>
    <t>RR</t>
  </si>
  <si>
    <t>RL</t>
  </si>
  <si>
    <t>Lat Coeff vs Load (max) for 12psi 7.5 7 rim</t>
  </si>
  <si>
    <t xml:space="preserve">Load </t>
  </si>
  <si>
    <t>NFY</t>
  </si>
  <si>
    <t>NFX</t>
  </si>
  <si>
    <t>Coeff Lat</t>
  </si>
  <si>
    <t>Coeff Long</t>
  </si>
  <si>
    <t xml:space="preserve">FR </t>
  </si>
  <si>
    <t xml:space="preserve">Weight </t>
  </si>
  <si>
    <t>% Rear</t>
  </si>
  <si>
    <t>Initial Loads</t>
  </si>
  <si>
    <t>Loads under lat accel</t>
  </si>
  <si>
    <t>%</t>
  </si>
  <si>
    <t>Simple ver (assuming 0 camber, same roll rate)</t>
  </si>
  <si>
    <t>(Taken from data, just peaks)</t>
  </si>
  <si>
    <t>R</t>
  </si>
  <si>
    <t>F</t>
  </si>
  <si>
    <t xml:space="preserve">Max Force </t>
  </si>
  <si>
    <t>(Base, 480+150lb driver)</t>
  </si>
  <si>
    <t xml:space="preserve">Mass </t>
  </si>
  <si>
    <t>G (limiting)</t>
  </si>
  <si>
    <t>G front</t>
  </si>
  <si>
    <t xml:space="preserve">Force req to match other end </t>
  </si>
  <si>
    <t>Req adj Coeff</t>
  </si>
  <si>
    <t>Max theoretical accel each end</t>
  </si>
  <si>
    <t xml:space="preserve">Color coded matching pairs. </t>
  </si>
  <si>
    <t>M No driver</t>
  </si>
  <si>
    <t>Track F</t>
  </si>
  <si>
    <t>Track R</t>
  </si>
  <si>
    <t>% improvement from base</t>
  </si>
  <si>
    <t>8in rim</t>
  </si>
  <si>
    <t>Diff %</t>
  </si>
  <si>
    <t>Loads under Long accel</t>
  </si>
  <si>
    <t>Long Load sensitivity 12psi 7.5 7 rim</t>
  </si>
  <si>
    <t>Load</t>
  </si>
  <si>
    <t>Braking</t>
  </si>
  <si>
    <t>Accel</t>
  </si>
  <si>
    <t>Each end accel</t>
  </si>
  <si>
    <t>Full car accel</t>
  </si>
  <si>
    <t>Pos is accel, neg is brake</t>
  </si>
  <si>
    <t>Brake force distribution (relevant for neg long force value)</t>
  </si>
  <si>
    <t>Not relevant</t>
  </si>
  <si>
    <t>Mass</t>
  </si>
  <si>
    <t>Car</t>
  </si>
  <si>
    <t>Brake</t>
  </si>
  <si>
    <t>Base</t>
  </si>
  <si>
    <t>% improved</t>
  </si>
  <si>
    <t>Corner</t>
  </si>
  <si>
    <t>Weigth bias comparo</t>
  </si>
  <si>
    <t>Wheelbase comparo</t>
  </si>
  <si>
    <t>Loads under lat while Long accel</t>
  </si>
  <si>
    <t>(cornering while accelerating partially, eg entery)</t>
  </si>
  <si>
    <t>LAT</t>
  </si>
  <si>
    <t>LONG</t>
  </si>
  <si>
    <t>Static</t>
  </si>
  <si>
    <t>Under braking</t>
  </si>
  <si>
    <t xml:space="preserve">Entering corner, grip </t>
  </si>
  <si>
    <t>Lat</t>
  </si>
  <si>
    <t>Braking (neg)</t>
  </si>
  <si>
    <t>Corner exit lat</t>
  </si>
  <si>
    <t>Corner exit</t>
  </si>
  <si>
    <t>Pythagorian corner exit</t>
  </si>
  <si>
    <t>Pythagorian entery</t>
  </si>
  <si>
    <t>(assuming proportional brake bias - not considering friction circle of tire itself, only variation of accel)</t>
  </si>
  <si>
    <t>% ttl</t>
  </si>
  <si>
    <t>Outside Lateral Co-eff</t>
  </si>
  <si>
    <t>Skidpad points</t>
  </si>
  <si>
    <t>Total Mass (lb)</t>
  </si>
  <si>
    <t>Input Lat Acceleration (G)</t>
  </si>
  <si>
    <t>Rear Load Transfer (lb)</t>
  </si>
  <si>
    <t>Outside Vertical Load (lb)</t>
  </si>
  <si>
    <t>Outside Lateral Force (lb)</t>
  </si>
  <si>
    <t>Inside Vertical Load (lb)</t>
  </si>
  <si>
    <t>Inside  Lateral Co-eff (lb)</t>
  </si>
  <si>
    <t>Inside  Lateral Force (lb)</t>
  </si>
  <si>
    <t>Skidpad Time (s)</t>
  </si>
  <si>
    <t>Total rear Axle Lateral Force</t>
  </si>
  <si>
    <t>Output Lat Acceleration  (G)</t>
  </si>
  <si>
    <t>2017 (Correlation)</t>
  </si>
  <si>
    <t>Fined tuned fudge factor in co-efficient calculation to correlate to 2017 RFR result</t>
  </si>
  <si>
    <t>Final Function</t>
  </si>
  <si>
    <t>Vehicle Mass</t>
  </si>
  <si>
    <t>Skidpad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</si>
</sst>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0" borderId="5" xfId="0" applyBorder="1"/>
    <xf numFmtId="0" fontId="0" fillId="0" borderId="7" xfId="0" applyBorder="1"/>
    <xf numFmtId="0" fontId="0" fillId="4" borderId="7" xfId="0" applyFill="1" applyBorder="1"/>
    <xf numFmtId="0" fontId="0" fillId="5" borderId="7" xfId="0" applyFill="1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0" fillId="0" borderId="7" xfId="0" applyFill="1" applyBorder="1"/>
    <xf numFmtId="0" fontId="0" fillId="4" borderId="0" xfId="0" applyFill="1" applyBorder="1"/>
    <xf numFmtId="0" fontId="2" fillId="0" borderId="0" xfId="0" applyFont="1"/>
    <xf numFmtId="10" fontId="0" fillId="0" borderId="0" xfId="0" applyNumberFormat="1"/>
    <xf numFmtId="0" fontId="0" fillId="0" borderId="2" xfId="0" applyFill="1" applyBorder="1"/>
    <xf numFmtId="0" fontId="0" fillId="3" borderId="7" xfId="0" applyFill="1" applyBorder="1"/>
    <xf numFmtId="0" fontId="1" fillId="0" borderId="1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2" xfId="0" applyFont="1" applyBorder="1"/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4" fillId="7" borderId="0" xfId="2"/>
    <xf numFmtId="0" fontId="3" fillId="6" borderId="0" xfId="1"/>
    <xf numFmtId="166" fontId="0" fillId="0" borderId="0" xfId="0" applyNumberFormat="1" applyAlignment="1">
      <alignment horizontal="left" indent="3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 Load</a:t>
            </a:r>
            <a:r>
              <a:rPr lang="en-US" baseline="0"/>
              <a:t> sensitivity R25B 7.5x10-7 </a:t>
            </a:r>
            <a:endParaRPr lang="en-US"/>
          </a:p>
        </c:rich>
      </c:tx>
      <c:layout>
        <c:manualLayout>
          <c:xMode val="edge"/>
          <c:yMode val="edge"/>
          <c:x val="0.33908772614810911"/>
          <c:y val="2.46028385089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08855188752814E-2"/>
          <c:y val="0.11853647593590556"/>
          <c:w val="0.9287198286539734"/>
          <c:h val="0.74170312858993181"/>
        </c:manualLayout>
      </c:layout>
      <c:scatterChart>
        <c:scatterStyle val="smoothMarker"/>
        <c:varyColors val="0"/>
        <c:ser>
          <c:idx val="0"/>
          <c:order val="0"/>
          <c:tx>
            <c:v>7in Rim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100"/>
            <c:backward val="50"/>
            <c:dispRSqr val="1"/>
            <c:dispEq val="1"/>
            <c:trendlineLbl>
              <c:layout>
                <c:manualLayout>
                  <c:x val="5.2539370078740159E-3"/>
                  <c:y val="0.2716732283464566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'Seprate Lat Long'!$A$24:$A$28</c:f>
              <c:numCache>
                <c:formatCode>General</c:formatCode>
                <c:ptCount val="5"/>
                <c:pt idx="0">
                  <c:v>43.92</c:v>
                </c:pt>
                <c:pt idx="1">
                  <c:v>97.93</c:v>
                </c:pt>
                <c:pt idx="2">
                  <c:v>149.4</c:v>
                </c:pt>
                <c:pt idx="3">
                  <c:v>201.89</c:v>
                </c:pt>
                <c:pt idx="4">
                  <c:v>246.74</c:v>
                </c:pt>
              </c:numCache>
            </c:numRef>
          </c:xVal>
          <c:yVal>
            <c:numRef>
              <c:f>'Seprate Lat Long'!$B$24:$B$28</c:f>
              <c:numCache>
                <c:formatCode>General</c:formatCode>
                <c:ptCount val="5"/>
                <c:pt idx="0">
                  <c:v>3.38</c:v>
                </c:pt>
                <c:pt idx="1">
                  <c:v>3.05</c:v>
                </c:pt>
                <c:pt idx="2">
                  <c:v>2.96</c:v>
                </c:pt>
                <c:pt idx="3">
                  <c:v>2.9</c:v>
                </c:pt>
                <c:pt idx="4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B-497C-A30C-8B7D1D883F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0399800"/>
        <c:axId val="9603945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8in rim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'Seprate Lat Long'!$A$24:$A$28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43.92</c:v>
                      </c:pt>
                      <c:pt idx="1">
                        <c:v>97.93</c:v>
                      </c:pt>
                      <c:pt idx="2">
                        <c:v>149.4</c:v>
                      </c:pt>
                      <c:pt idx="3">
                        <c:v>201.89</c:v>
                      </c:pt>
                      <c:pt idx="4">
                        <c:v>246.74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'Seprate Lat Long'!$C$24:$C$28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3.35</c:v>
                      </c:pt>
                      <c:pt idx="1">
                        <c:v>3.01</c:v>
                      </c:pt>
                      <c:pt idx="2">
                        <c:v>2.9</c:v>
                      </c:pt>
                      <c:pt idx="3">
                        <c:v>2.78</c:v>
                      </c:pt>
                      <c:pt idx="4">
                        <c:v>2.7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C0B-497C-A30C-8B7D1D883F93}"/>
                  </c:ext>
                </c:extLst>
              </c15:ser>
            </c15:filteredScatterSeries>
          </c:ext>
        </c:extLst>
      </c:scatterChart>
      <c:valAx>
        <c:axId val="96039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 Load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94552"/>
        <c:crosses val="autoZero"/>
        <c:crossBetween val="midCat"/>
      </c:valAx>
      <c:valAx>
        <c:axId val="9603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 Coeff</a:t>
                </a:r>
                <a:r>
                  <a:rPr lang="en-CA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9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G's</a:t>
            </a:r>
            <a:r>
              <a:rPr lang="en-CA" baseline="0"/>
              <a:t> vs Wheelbase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Long'!$P$12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'Seprate Lat Long'!$O$13:$O$14</c:f>
              <c:numCache>
                <c:formatCode>General</c:formatCode>
                <c:ptCount val="2"/>
                <c:pt idx="0">
                  <c:v>63</c:v>
                </c:pt>
                <c:pt idx="1">
                  <c:v>60</c:v>
                </c:pt>
              </c:numCache>
            </c:numRef>
          </c:xVal>
          <c:yVal>
            <c:numRef>
              <c:f>'Seprate Lat Long'!$P$13:$P$14</c:f>
              <c:numCache>
                <c:formatCode>General</c:formatCode>
                <c:ptCount val="2"/>
                <c:pt idx="0">
                  <c:v>2.3879999999999999</c:v>
                </c:pt>
                <c:pt idx="1">
                  <c:v>2.4129999999999998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9-4535-B904-533A635C00CD}"/>
            </c:ext>
          </c:extLst>
        </c:ser>
        <c:ser>
          <c:idx val="1"/>
          <c:order val="1"/>
          <c:tx>
            <c:strRef>
              <c:f>'Seprate Lat Long'!$R$12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'Seprate Lat Long'!$O$13:$O$14</c:f>
              <c:numCache>
                <c:formatCode>General</c:formatCode>
                <c:ptCount val="2"/>
                <c:pt idx="0">
                  <c:v>63</c:v>
                </c:pt>
                <c:pt idx="1">
                  <c:v>60</c:v>
                </c:pt>
              </c:numCache>
            </c:numRef>
          </c:xVal>
          <c:yVal>
            <c:numRef>
              <c:f>'Seprate Lat Long'!$R$13:$R$14</c:f>
              <c:numCache>
                <c:formatCode>General</c:formatCode>
                <c:ptCount val="2"/>
                <c:pt idx="0">
                  <c:v>3.109</c:v>
                </c:pt>
                <c:pt idx="1">
                  <c:v>3.097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E9-4535-B904-533A635C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41208"/>
        <c:axId val="1122937928"/>
      </c:scatterChart>
      <c:valAx>
        <c:axId val="112294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37928"/>
        <c:crosses val="autoZero"/>
        <c:crossBetween val="midCat"/>
      </c:valAx>
      <c:valAx>
        <c:axId val="1122937928"/>
        <c:scaling>
          <c:orientation val="minMax"/>
          <c:max val="3.25"/>
          <c:min val="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4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Lat Max</a:t>
            </a:r>
            <a:r>
              <a:rPr lang="en-CA" baseline="0"/>
              <a:t> G vs Trail Braking - Corner Entry </a:t>
            </a:r>
            <a:endParaRPr lang="en-CA"/>
          </a:p>
        </c:rich>
      </c:tx>
      <c:layout>
        <c:manualLayout>
          <c:xMode val="edge"/>
          <c:yMode val="edge"/>
          <c:x val="0.2124615816152752"/>
          <c:y val="1.369863506224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66241242745423E-2"/>
          <c:y val="0.14967720656015665"/>
          <c:w val="0.91627430159016388"/>
          <c:h val="0.699885194398961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 with Long'!$L$20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 with Long'!$K$21:$K$35</c:f>
              <c:numCache>
                <c:formatCode>General</c:formatCode>
                <c:ptCount val="15"/>
                <c:pt idx="0">
                  <c:v>-1.4</c:v>
                </c:pt>
                <c:pt idx="1">
                  <c:v>-1.3</c:v>
                </c:pt>
                <c:pt idx="2">
                  <c:v>-1.2</c:v>
                </c:pt>
                <c:pt idx="3">
                  <c:v>-1.1000000000000001</c:v>
                </c:pt>
                <c:pt idx="4">
                  <c:v>-1</c:v>
                </c:pt>
                <c:pt idx="5">
                  <c:v>-0.90000000000000102</c:v>
                </c:pt>
                <c:pt idx="6">
                  <c:v>-0.80000000000000104</c:v>
                </c:pt>
                <c:pt idx="7">
                  <c:v>-0.70000000000000095</c:v>
                </c:pt>
                <c:pt idx="8">
                  <c:v>-0.60000000000000098</c:v>
                </c:pt>
                <c:pt idx="9">
                  <c:v>-0.500000000000001</c:v>
                </c:pt>
                <c:pt idx="10">
                  <c:v>-0.40000000000000102</c:v>
                </c:pt>
                <c:pt idx="11">
                  <c:v>-0.3</c:v>
                </c:pt>
                <c:pt idx="12">
                  <c:v>-0.2</c:v>
                </c:pt>
                <c:pt idx="13">
                  <c:v>-9.9999999999999895E-2</c:v>
                </c:pt>
                <c:pt idx="14">
                  <c:v>0</c:v>
                </c:pt>
              </c:numCache>
            </c:numRef>
          </c:xVal>
          <c:yVal>
            <c:numRef>
              <c:f>'Lat with Long'!$L$21:$L$35</c:f>
              <c:numCache>
                <c:formatCode>General</c:formatCode>
                <c:ptCount val="15"/>
                <c:pt idx="0">
                  <c:v>2.8439999999999999</c:v>
                </c:pt>
                <c:pt idx="1">
                  <c:v>2.8540000000000001</c:v>
                </c:pt>
                <c:pt idx="2">
                  <c:v>2.8610000000000002</c:v>
                </c:pt>
                <c:pt idx="3">
                  <c:v>2.8650000000000002</c:v>
                </c:pt>
                <c:pt idx="4">
                  <c:v>2.8660000000000001</c:v>
                </c:pt>
                <c:pt idx="5">
                  <c:v>2.8662999999999998</c:v>
                </c:pt>
                <c:pt idx="6">
                  <c:v>2.8656999999999999</c:v>
                </c:pt>
                <c:pt idx="7">
                  <c:v>2.8650000000000002</c:v>
                </c:pt>
                <c:pt idx="8">
                  <c:v>2.8650000000000002</c:v>
                </c:pt>
                <c:pt idx="9">
                  <c:v>2.8658000000000001</c:v>
                </c:pt>
                <c:pt idx="10">
                  <c:v>2.8673999999999999</c:v>
                </c:pt>
                <c:pt idx="11">
                  <c:v>2.8693399999999998</c:v>
                </c:pt>
                <c:pt idx="12">
                  <c:v>2.87</c:v>
                </c:pt>
                <c:pt idx="13">
                  <c:v>2.8679999999999999</c:v>
                </c:pt>
                <c:pt idx="14">
                  <c:v>2.8597000000000001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4-4693-A735-57CD61D6ACF2}"/>
            </c:ext>
          </c:extLst>
        </c:ser>
        <c:ser>
          <c:idx val="1"/>
          <c:order val="1"/>
          <c:tx>
            <c:strRef>
              <c:f>'Lat with Long'!$M$20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 with Long'!$K$21:$K$35</c:f>
              <c:numCache>
                <c:formatCode>General</c:formatCode>
                <c:ptCount val="15"/>
                <c:pt idx="0">
                  <c:v>-1.4</c:v>
                </c:pt>
                <c:pt idx="1">
                  <c:v>-1.3</c:v>
                </c:pt>
                <c:pt idx="2">
                  <c:v>-1.2</c:v>
                </c:pt>
                <c:pt idx="3">
                  <c:v>-1.1000000000000001</c:v>
                </c:pt>
                <c:pt idx="4">
                  <c:v>-1</c:v>
                </c:pt>
                <c:pt idx="5">
                  <c:v>-0.90000000000000102</c:v>
                </c:pt>
                <c:pt idx="6">
                  <c:v>-0.80000000000000104</c:v>
                </c:pt>
                <c:pt idx="7">
                  <c:v>-0.70000000000000095</c:v>
                </c:pt>
                <c:pt idx="8">
                  <c:v>-0.60000000000000098</c:v>
                </c:pt>
                <c:pt idx="9">
                  <c:v>-0.500000000000001</c:v>
                </c:pt>
                <c:pt idx="10">
                  <c:v>-0.40000000000000102</c:v>
                </c:pt>
                <c:pt idx="11">
                  <c:v>-0.3</c:v>
                </c:pt>
                <c:pt idx="12">
                  <c:v>-0.2</c:v>
                </c:pt>
                <c:pt idx="13">
                  <c:v>-9.9999999999999895E-2</c:v>
                </c:pt>
                <c:pt idx="14">
                  <c:v>0</c:v>
                </c:pt>
              </c:numCache>
            </c:numRef>
          </c:xVal>
          <c:yVal>
            <c:numRef>
              <c:f>'Lat with Long'!$M$21:$M$35</c:f>
              <c:numCache>
                <c:formatCode>General</c:formatCode>
                <c:ptCount val="15"/>
                <c:pt idx="0">
                  <c:v>3.093</c:v>
                </c:pt>
                <c:pt idx="1">
                  <c:v>3.0710000000000002</c:v>
                </c:pt>
                <c:pt idx="2">
                  <c:v>3.0539999999999998</c:v>
                </c:pt>
                <c:pt idx="3">
                  <c:v>3.0402999999999998</c:v>
                </c:pt>
                <c:pt idx="4">
                  <c:v>3.028</c:v>
                </c:pt>
                <c:pt idx="5">
                  <c:v>3.0162</c:v>
                </c:pt>
                <c:pt idx="6">
                  <c:v>3.0009999999999999</c:v>
                </c:pt>
                <c:pt idx="7">
                  <c:v>2.9830000000000001</c:v>
                </c:pt>
                <c:pt idx="8">
                  <c:v>2.9594999999999998</c:v>
                </c:pt>
                <c:pt idx="9" formatCode="#,##0.000">
                  <c:v>2.9289999999999998</c:v>
                </c:pt>
                <c:pt idx="10">
                  <c:v>2.8921999999999999</c:v>
                </c:pt>
                <c:pt idx="11">
                  <c:v>2.8486600000000002</c:v>
                </c:pt>
                <c:pt idx="12">
                  <c:v>2.7989999999999999</c:v>
                </c:pt>
                <c:pt idx="13">
                  <c:v>2.7456</c:v>
                </c:pt>
                <c:pt idx="14">
                  <c:v>2.6898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4-4693-A735-57CD61D6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00096"/>
        <c:axId val="673798456"/>
      </c:scatterChart>
      <c:valAx>
        <c:axId val="6738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Braking Accel</a:t>
                </a:r>
                <a:r>
                  <a:rPr lang="en-CA" baseline="0"/>
                  <a:t> (G)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98456"/>
        <c:crosses val="autoZero"/>
        <c:crossBetween val="midCat"/>
      </c:valAx>
      <c:valAx>
        <c:axId val="6737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</a:t>
                </a:r>
                <a:r>
                  <a:rPr lang="en-CA" baseline="0"/>
                  <a:t> Accel (G)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0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823479126177934E-2"/>
          <c:y val="0.75030210745969494"/>
          <c:w val="0.14508925888080784"/>
          <c:h val="6.8099771882255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Lat Max G</a:t>
            </a:r>
            <a:r>
              <a:rPr lang="en-CA" baseline="0"/>
              <a:t> vs Long Accel - Corner Exit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700866010717"/>
          <c:y val="0.16994272623138604"/>
          <c:w val="0.82213218563985657"/>
          <c:h val="0.705070216738371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 with Long'!$J$54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 with Long'!$I$55:$I$61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'Lat with Long'!$J$55:$J$61</c:f>
              <c:numCache>
                <c:formatCode>General</c:formatCode>
                <c:ptCount val="7"/>
                <c:pt idx="0">
                  <c:v>2.859</c:v>
                </c:pt>
                <c:pt idx="1">
                  <c:v>2.948</c:v>
                </c:pt>
                <c:pt idx="2">
                  <c:v>3.0070000000000001</c:v>
                </c:pt>
                <c:pt idx="3">
                  <c:v>3.048</c:v>
                </c:pt>
                <c:pt idx="4">
                  <c:v>3.0920000000000001</c:v>
                </c:pt>
                <c:pt idx="5">
                  <c:v>3.1665999999999999</c:v>
                </c:pt>
                <c:pt idx="6">
                  <c:v>3.2789999999999999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F-4923-86E1-484258FB5F10}"/>
            </c:ext>
          </c:extLst>
        </c:ser>
        <c:ser>
          <c:idx val="1"/>
          <c:order val="1"/>
          <c:tx>
            <c:strRef>
              <c:f>'Lat with Long'!$K$54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 with Long'!$I$55:$I$61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'Lat with Long'!$K$55:$K$61</c:f>
              <c:numCache>
                <c:formatCode>#,##0.0000</c:formatCode>
                <c:ptCount val="7"/>
                <c:pt idx="0" formatCode="General">
                  <c:v>2.6890000000000001</c:v>
                </c:pt>
                <c:pt idx="1">
                  <c:v>2.7303999999999999</c:v>
                </c:pt>
                <c:pt idx="2" formatCode="General">
                  <c:v>2.7536</c:v>
                </c:pt>
                <c:pt idx="3" formatCode="General">
                  <c:v>2.7770000000000001</c:v>
                </c:pt>
                <c:pt idx="4" formatCode="General">
                  <c:v>2.794</c:v>
                </c:pt>
                <c:pt idx="5" formatCode="General">
                  <c:v>2.7907000000000002</c:v>
                </c:pt>
                <c:pt idx="6" formatCode="General">
                  <c:v>2.7574999999999998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F-4923-86E1-484258FB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51840"/>
        <c:axId val="964348888"/>
      </c:scatterChart>
      <c:valAx>
        <c:axId val="9643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Long</a:t>
                </a:r>
                <a:r>
                  <a:rPr lang="en-CA" baseline="0"/>
                  <a:t> Accel (G)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48888"/>
        <c:crosses val="autoZero"/>
        <c:crossBetween val="midCat"/>
      </c:valAx>
      <c:valAx>
        <c:axId val="9643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</a:t>
                </a:r>
                <a:r>
                  <a:rPr lang="en-CA" baseline="0"/>
                  <a:t> Max Accel (G)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3.3277870216306155E-2"/>
              <c:y val="0.33377204138142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44801097034252"/>
          <c:y val="0.76231331908253741"/>
          <c:w val="0.18975067800385184"/>
          <c:h val="7.7320128798333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Pythagorian Corner</a:t>
            </a:r>
            <a:r>
              <a:rPr lang="en-CA" baseline="0"/>
              <a:t> E</a:t>
            </a:r>
            <a:r>
              <a:rPr lang="en-CA"/>
              <a:t>xit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'Lat with Long'!$J$66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 with Long'!$I$67:$I$73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'Lat with Long'!$J$67:$J$73</c:f>
              <c:numCache>
                <c:formatCode>General</c:formatCode>
                <c:ptCount val="7"/>
                <c:pt idx="0">
                  <c:v>2.8597000000000001</c:v>
                </c:pt>
                <c:pt idx="1">
                  <c:v>2.8919999999999999</c:v>
                </c:pt>
                <c:pt idx="2">
                  <c:v>2.9165999999999999</c:v>
                </c:pt>
                <c:pt idx="3">
                  <c:v>2.9350000000000001</c:v>
                </c:pt>
                <c:pt idx="4">
                  <c:v>2.9620000000000002</c:v>
                </c:pt>
                <c:pt idx="5">
                  <c:v>3.0396000000000001</c:v>
                </c:pt>
                <c:pt idx="6">
                  <c:v>3.2789999999999999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0-4DC6-9412-58F3A687E321}"/>
            </c:ext>
          </c:extLst>
        </c:ser>
        <c:ser>
          <c:idx val="1"/>
          <c:order val="1"/>
          <c:tx>
            <c:strRef>
              <c:f>'Lat with Long'!$K$66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 with Long'!$I$67:$I$73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'Lat with Long'!$K$67:$K$73</c:f>
              <c:numCache>
                <c:formatCode>General</c:formatCode>
                <c:ptCount val="7"/>
                <c:pt idx="0">
                  <c:v>2.6898599999999999</c:v>
                </c:pt>
                <c:pt idx="1">
                  <c:v>2.6579999999999999</c:v>
                </c:pt>
                <c:pt idx="2">
                  <c:v>2.6377000000000002</c:v>
                </c:pt>
                <c:pt idx="3">
                  <c:v>2.6309999999999998</c:v>
                </c:pt>
                <c:pt idx="4">
                  <c:v>2.6440000000000001</c:v>
                </c:pt>
                <c:pt idx="5">
                  <c:v>2.6833</c:v>
                </c:pt>
                <c:pt idx="6">
                  <c:v>2.7574999999999998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0-4DC6-9412-58F3A687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14192"/>
        <c:axId val="948814520"/>
      </c:scatterChart>
      <c:valAx>
        <c:axId val="9488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Long Accel (G)</a:t>
                </a:r>
              </a:p>
            </c:rich>
          </c:tx>
          <c:layout>
            <c:manualLayout>
              <c:xMode val="edge"/>
              <c:yMode val="edge"/>
              <c:x val="0.48388687270996283"/>
              <c:y val="0.76595575037656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14520"/>
        <c:crosses val="autoZero"/>
        <c:crossBetween val="midCat"/>
      </c:valAx>
      <c:valAx>
        <c:axId val="9488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 Max Accel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1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Pythagorian Corner Entry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52486433357636E-2"/>
          <c:y val="0.15013155231734468"/>
          <c:w val="0.89022785829836326"/>
          <c:h val="0.73540406720562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 with Long'!$C$21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 with Long'!$B$22:$B$28</c:f>
              <c:numCache>
                <c:formatCode>General</c:formatCode>
                <c:ptCount val="7"/>
                <c:pt idx="0">
                  <c:v>-1.5</c:v>
                </c:pt>
                <c:pt idx="1">
                  <c:v>-1.25</c:v>
                </c:pt>
                <c:pt idx="2">
                  <c:v>-1</c:v>
                </c:pt>
                <c:pt idx="3">
                  <c:v>-0.75</c:v>
                </c:pt>
                <c:pt idx="4">
                  <c:v>-0.5</c:v>
                </c:pt>
                <c:pt idx="5">
                  <c:v>-0.25</c:v>
                </c:pt>
                <c:pt idx="6">
                  <c:v>0</c:v>
                </c:pt>
              </c:numCache>
            </c:numRef>
          </c:xVal>
          <c:yVal>
            <c:numRef>
              <c:f>'Lat with Long'!$C$22:$C$28</c:f>
              <c:numCache>
                <c:formatCode>General</c:formatCode>
                <c:ptCount val="7"/>
                <c:pt idx="0">
                  <c:v>2.831</c:v>
                </c:pt>
                <c:pt idx="1">
                  <c:v>2.7829999999999999</c:v>
                </c:pt>
                <c:pt idx="2">
                  <c:v>2.7631000000000001</c:v>
                </c:pt>
                <c:pt idx="3">
                  <c:v>2.7679999999999998</c:v>
                </c:pt>
                <c:pt idx="4">
                  <c:v>2.79</c:v>
                </c:pt>
                <c:pt idx="5">
                  <c:v>2.8237000000000001</c:v>
                </c:pt>
                <c:pt idx="6">
                  <c:v>2.859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B-4CF5-A8AD-657A75E8BB2C}"/>
            </c:ext>
          </c:extLst>
        </c:ser>
        <c:ser>
          <c:idx val="1"/>
          <c:order val="1"/>
          <c:tx>
            <c:strRef>
              <c:f>'Lat with Long'!$D$21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 with Long'!$B$22:$B$28</c:f>
              <c:numCache>
                <c:formatCode>General</c:formatCode>
                <c:ptCount val="7"/>
                <c:pt idx="0">
                  <c:v>-1.5</c:v>
                </c:pt>
                <c:pt idx="1">
                  <c:v>-1.25</c:v>
                </c:pt>
                <c:pt idx="2">
                  <c:v>-1</c:v>
                </c:pt>
                <c:pt idx="3">
                  <c:v>-0.75</c:v>
                </c:pt>
                <c:pt idx="4">
                  <c:v>-0.5</c:v>
                </c:pt>
                <c:pt idx="5">
                  <c:v>-0.25</c:v>
                </c:pt>
                <c:pt idx="6">
                  <c:v>0</c:v>
                </c:pt>
              </c:numCache>
            </c:numRef>
          </c:xVal>
          <c:yVal>
            <c:numRef>
              <c:f>'Lat with Long'!$D$22:$D$28</c:f>
              <c:numCache>
                <c:formatCode>General</c:formatCode>
                <c:ptCount val="7"/>
                <c:pt idx="0">
                  <c:v>3.1193</c:v>
                </c:pt>
                <c:pt idx="1">
                  <c:v>3.02</c:v>
                </c:pt>
                <c:pt idx="2">
                  <c:v>2.9281000000000001</c:v>
                </c:pt>
                <c:pt idx="3">
                  <c:v>2.8490000000000002</c:v>
                </c:pt>
                <c:pt idx="4">
                  <c:v>2.7845</c:v>
                </c:pt>
                <c:pt idx="5">
                  <c:v>2.7317999999999998</c:v>
                </c:pt>
                <c:pt idx="6">
                  <c:v>2.6890000000000001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AB-4CF5-A8AD-657A75E8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27968"/>
        <c:axId val="948830920"/>
      </c:scatterChart>
      <c:valAx>
        <c:axId val="9488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Braking Accel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0920"/>
        <c:crosses val="autoZero"/>
        <c:crossBetween val="midCat"/>
      </c:valAx>
      <c:valAx>
        <c:axId val="9488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 Accel</a:t>
                </a:r>
                <a:r>
                  <a:rPr lang="en-CA" baseline="0"/>
                  <a:t> (G)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5934188376577"/>
          <c:y val="0.78192625739633181"/>
          <c:w val="0.19022545034247701"/>
          <c:h val="6.8306489011277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 Load</a:t>
            </a:r>
            <a:r>
              <a:rPr lang="en-US" baseline="0"/>
              <a:t> sensitivity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7in Rim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100"/>
            <c:backward val="50"/>
            <c:dispRSqr val="1"/>
            <c:dispEq val="1"/>
            <c:trendlineLbl>
              <c:layout>
                <c:manualLayout>
                  <c:x val="5.2539370078740159E-3"/>
                  <c:y val="0.2716732283464566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'Seprate Lat Long'!$A$24:$A$28</c:f>
              <c:numCache>
                <c:formatCode>General</c:formatCode>
                <c:ptCount val="5"/>
                <c:pt idx="0">
                  <c:v>43.92</c:v>
                </c:pt>
                <c:pt idx="1">
                  <c:v>97.93</c:v>
                </c:pt>
                <c:pt idx="2">
                  <c:v>149.4</c:v>
                </c:pt>
                <c:pt idx="3">
                  <c:v>201.89</c:v>
                </c:pt>
                <c:pt idx="4">
                  <c:v>246.74</c:v>
                </c:pt>
              </c:numCache>
            </c:numRef>
          </c:xVal>
          <c:yVal>
            <c:numRef>
              <c:f>'Seprate Lat Long'!$B$24:$B$28</c:f>
              <c:numCache>
                <c:formatCode>General</c:formatCode>
                <c:ptCount val="5"/>
                <c:pt idx="0">
                  <c:v>3.38</c:v>
                </c:pt>
                <c:pt idx="1">
                  <c:v>3.05</c:v>
                </c:pt>
                <c:pt idx="2">
                  <c:v>2.96</c:v>
                </c:pt>
                <c:pt idx="3">
                  <c:v>2.9</c:v>
                </c:pt>
                <c:pt idx="4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0D-4B5A-8056-8516CB82FC60}"/>
            </c:ext>
          </c:extLst>
        </c:ser>
        <c:ser>
          <c:idx val="1"/>
          <c:order val="1"/>
          <c:tx>
            <c:v>8in rim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'Seprate Lat Long'!$A$24:$A$28</c:f>
              <c:numCache>
                <c:formatCode>General</c:formatCode>
                <c:ptCount val="5"/>
                <c:pt idx="0">
                  <c:v>43.92</c:v>
                </c:pt>
                <c:pt idx="1">
                  <c:v>97.93</c:v>
                </c:pt>
                <c:pt idx="2">
                  <c:v>149.4</c:v>
                </c:pt>
                <c:pt idx="3">
                  <c:v>201.89</c:v>
                </c:pt>
                <c:pt idx="4">
                  <c:v>246.74</c:v>
                </c:pt>
              </c:numCache>
            </c:numRef>
          </c:xVal>
          <c:yVal>
            <c:numRef>
              <c:f>'Seprate Lat Long'!$C$24:$C$28</c:f>
              <c:numCache>
                <c:formatCode>General</c:formatCode>
                <c:ptCount val="5"/>
                <c:pt idx="0">
                  <c:v>3.35</c:v>
                </c:pt>
                <c:pt idx="1">
                  <c:v>3.01</c:v>
                </c:pt>
                <c:pt idx="2">
                  <c:v>2.9</c:v>
                </c:pt>
                <c:pt idx="3">
                  <c:v>2.78</c:v>
                </c:pt>
                <c:pt idx="4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0D-4B5A-8056-8516CB82FC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0399800"/>
        <c:axId val="960394552"/>
      </c:scatterChart>
      <c:valAx>
        <c:axId val="96039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94552"/>
        <c:crosses val="autoZero"/>
        <c:crossBetween val="midCat"/>
      </c:valAx>
      <c:valAx>
        <c:axId val="9603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9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Skidpad</a:t>
            </a:r>
            <a:r>
              <a:rPr lang="en-US" baseline="0"/>
              <a:t> G vs Car mass (fixed driver mass)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Long'!$F$12</c:f>
              <c:strCache>
                <c:ptCount val="1"/>
                <c:pt idx="0">
                  <c:v>G (limiting)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00"/>
            <c:backward val="50"/>
            <c:dispRSqr val="0"/>
            <c:dispEq val="0"/>
          </c:trendline>
          <c:xVal>
            <c:numRef>
              <c:f>'Seprate Lat Long'!$E$13:$E$17</c:f>
              <c:numCache>
                <c:formatCode>General</c:formatCode>
                <c:ptCount val="5"/>
                <c:pt idx="0">
                  <c:v>480</c:v>
                </c:pt>
                <c:pt idx="1">
                  <c:v>430</c:v>
                </c:pt>
                <c:pt idx="2">
                  <c:v>380</c:v>
                </c:pt>
                <c:pt idx="3">
                  <c:v>330</c:v>
                </c:pt>
                <c:pt idx="4">
                  <c:v>280</c:v>
                </c:pt>
              </c:numCache>
            </c:numRef>
          </c:xVal>
          <c:yVal>
            <c:numRef>
              <c:f>'Seprate Lat Long'!$F$13:$F$17</c:f>
              <c:numCache>
                <c:formatCode>General</c:formatCode>
                <c:ptCount val="5"/>
                <c:pt idx="0">
                  <c:v>2.69</c:v>
                </c:pt>
                <c:pt idx="1">
                  <c:v>2.77</c:v>
                </c:pt>
                <c:pt idx="2">
                  <c:v>2.85</c:v>
                </c:pt>
                <c:pt idx="3">
                  <c:v>2.915</c:v>
                </c:pt>
                <c:pt idx="4">
                  <c:v>2.9660000000000002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10-439C-8851-84BB51C5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53040"/>
        <c:axId val="265952056"/>
      </c:scatterChart>
      <c:valAx>
        <c:axId val="265953040"/>
        <c:scaling>
          <c:orientation val="minMax"/>
          <c:max val="580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2056"/>
        <c:crosses val="autoZero"/>
        <c:crossBetween val="midCat"/>
      </c:valAx>
      <c:valAx>
        <c:axId val="265952056"/>
        <c:scaling>
          <c:orientation val="minMax"/>
          <c:max val="3.25"/>
          <c:min val="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Load sensitivity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Long'!$B$49</c:f>
              <c:strCache>
                <c:ptCount val="1"/>
                <c:pt idx="0">
                  <c:v>NFX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50"/>
            <c:backward val="20"/>
            <c:dispRSqr val="1"/>
            <c:dispEq val="1"/>
            <c:trendlineLbl>
              <c:layout>
                <c:manualLayout>
                  <c:x val="-0.15429039507316489"/>
                  <c:y val="0.148791736586205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'Seprate Lat Long'!$A$50:$A$55</c:f>
              <c:numCache>
                <c:formatCode>General</c:formatCode>
                <c:ptCount val="6"/>
                <c:pt idx="1">
                  <c:v>54</c:v>
                </c:pt>
                <c:pt idx="2">
                  <c:v>132.19999999999999</c:v>
                </c:pt>
                <c:pt idx="3">
                  <c:v>176.11</c:v>
                </c:pt>
                <c:pt idx="4">
                  <c:v>223.4</c:v>
                </c:pt>
                <c:pt idx="5">
                  <c:v>246.71</c:v>
                </c:pt>
              </c:numCache>
            </c:numRef>
          </c:xVal>
          <c:yVal>
            <c:numRef>
              <c:f>'Seprate Lat Long'!$B$50:$B$55</c:f>
              <c:numCache>
                <c:formatCode>General</c:formatCode>
                <c:ptCount val="6"/>
                <c:pt idx="1">
                  <c:v>3.64</c:v>
                </c:pt>
                <c:pt idx="2">
                  <c:v>3.26</c:v>
                </c:pt>
                <c:pt idx="3">
                  <c:v>3.13</c:v>
                </c:pt>
                <c:pt idx="4">
                  <c:v>3.03</c:v>
                </c:pt>
                <c:pt idx="5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F5-4A4F-A56D-617CB0253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13736"/>
        <c:axId val="1123105536"/>
      </c:scatterChart>
      <c:valAx>
        <c:axId val="112311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05536"/>
        <c:crosses val="autoZero"/>
        <c:crossBetween val="midCat"/>
      </c:valAx>
      <c:valAx>
        <c:axId val="11231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1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Accel/Braking</a:t>
            </a:r>
            <a:r>
              <a:rPr lang="en-CA" baseline="0"/>
              <a:t> Gs vs Car Mass</a:t>
            </a:r>
            <a:endParaRPr lang="en-CA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Long'!$W$12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50"/>
            <c:backward val="50"/>
            <c:dispRSqr val="1"/>
            <c:dispEq val="1"/>
            <c:trendlineLbl>
              <c:layout>
                <c:manualLayout>
                  <c:x val="-0.17215704286964129"/>
                  <c:y val="4.7933070866141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'Seprate Lat Long'!$V$13:$V$17</c:f>
              <c:numCache>
                <c:formatCode>General</c:formatCode>
                <c:ptCount val="5"/>
                <c:pt idx="0">
                  <c:v>480</c:v>
                </c:pt>
                <c:pt idx="1">
                  <c:v>430</c:v>
                </c:pt>
                <c:pt idx="2">
                  <c:v>380</c:v>
                </c:pt>
                <c:pt idx="3">
                  <c:v>330</c:v>
                </c:pt>
                <c:pt idx="4">
                  <c:v>280</c:v>
                </c:pt>
              </c:numCache>
            </c:numRef>
          </c:xVal>
          <c:yVal>
            <c:numRef>
              <c:f>'Seprate Lat Long'!$W$13:$W$17</c:f>
              <c:numCache>
                <c:formatCode>General</c:formatCode>
                <c:ptCount val="5"/>
                <c:pt idx="0">
                  <c:v>2.3879999999999999</c:v>
                </c:pt>
                <c:pt idx="1">
                  <c:v>2.452</c:v>
                </c:pt>
                <c:pt idx="2">
                  <c:v>2.504</c:v>
                </c:pt>
                <c:pt idx="3">
                  <c:v>2.5485000000000002</c:v>
                </c:pt>
                <c:pt idx="4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B-418B-9070-B6AE785D9128}"/>
            </c:ext>
          </c:extLst>
        </c:ser>
        <c:ser>
          <c:idx val="1"/>
          <c:order val="1"/>
          <c:tx>
            <c:strRef>
              <c:f>'Seprate Lat Long'!$Y$12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50"/>
            <c:backward val="50"/>
            <c:dispRSqr val="1"/>
            <c:dispEq val="1"/>
            <c:trendlineLbl>
              <c:layout>
                <c:manualLayout>
                  <c:x val="1.6162292213473317E-2"/>
                  <c:y val="7.5154564012831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'Seprate Lat Long'!$V$13:$V$17</c:f>
              <c:numCache>
                <c:formatCode>General</c:formatCode>
                <c:ptCount val="5"/>
                <c:pt idx="0">
                  <c:v>480</c:v>
                </c:pt>
                <c:pt idx="1">
                  <c:v>430</c:v>
                </c:pt>
                <c:pt idx="2">
                  <c:v>380</c:v>
                </c:pt>
                <c:pt idx="3">
                  <c:v>330</c:v>
                </c:pt>
                <c:pt idx="4">
                  <c:v>280</c:v>
                </c:pt>
              </c:numCache>
            </c:numRef>
          </c:xVal>
          <c:yVal>
            <c:numRef>
              <c:f>'Seprate Lat Long'!$Y$13:$Y$17</c:f>
              <c:numCache>
                <c:formatCode>General</c:formatCode>
                <c:ptCount val="5"/>
                <c:pt idx="0">
                  <c:v>3.02</c:v>
                </c:pt>
                <c:pt idx="1">
                  <c:v>3.09</c:v>
                </c:pt>
                <c:pt idx="2">
                  <c:v>3.15</c:v>
                </c:pt>
                <c:pt idx="3">
                  <c:v>3.2</c:v>
                </c:pt>
                <c:pt idx="4">
                  <c:v>3.2469999999999999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CB-418B-9070-B6AE785D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247112"/>
        <c:axId val="1141247440"/>
      </c:scatterChart>
      <c:valAx>
        <c:axId val="1141247112"/>
        <c:scaling>
          <c:orientation val="minMax"/>
          <c:max val="530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47440"/>
        <c:crosses val="autoZero"/>
        <c:crossBetween val="midCat"/>
      </c:valAx>
      <c:valAx>
        <c:axId val="1141247440"/>
        <c:scaling>
          <c:orientation val="minMax"/>
          <c:max val="3.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4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G's</a:t>
            </a:r>
            <a:r>
              <a:rPr lang="en-CA" baseline="0"/>
              <a:t> vs Rear weight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Long'!$O$31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'Seprate Lat Long'!$N$32:$N$35</c:f>
              <c:numCache>
                <c:formatCode>General</c:formatCode>
                <c:ptCount val="4"/>
                <c:pt idx="0">
                  <c:v>0.5</c:v>
                </c:pt>
                <c:pt idx="1">
                  <c:v>0.54</c:v>
                </c:pt>
                <c:pt idx="2">
                  <c:v>0.6</c:v>
                </c:pt>
                <c:pt idx="3">
                  <c:v>0.65</c:v>
                </c:pt>
              </c:numCache>
            </c:numRef>
          </c:xVal>
          <c:yVal>
            <c:numRef>
              <c:f>'Seprate Lat Long'!$O$32:$O$35</c:f>
              <c:numCache>
                <c:formatCode>General</c:formatCode>
                <c:ptCount val="4"/>
                <c:pt idx="0">
                  <c:v>3.07</c:v>
                </c:pt>
                <c:pt idx="1">
                  <c:v>3.11</c:v>
                </c:pt>
                <c:pt idx="2">
                  <c:v>3.1469999999999998</c:v>
                </c:pt>
                <c:pt idx="3">
                  <c:v>3.1659999999999999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F-45EA-A2F4-C66FEDF304DD}"/>
            </c:ext>
          </c:extLst>
        </c:ser>
        <c:ser>
          <c:idx val="1"/>
          <c:order val="1"/>
          <c:tx>
            <c:v>Accel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'Seprate Lat Long'!$N$32:$N$35</c:f>
              <c:numCache>
                <c:formatCode>General</c:formatCode>
                <c:ptCount val="4"/>
                <c:pt idx="0">
                  <c:v>0.5</c:v>
                </c:pt>
                <c:pt idx="1">
                  <c:v>0.54</c:v>
                </c:pt>
                <c:pt idx="2">
                  <c:v>0.6</c:v>
                </c:pt>
                <c:pt idx="3">
                  <c:v>0.65</c:v>
                </c:pt>
              </c:numCache>
            </c:numRef>
          </c:xVal>
          <c:yVal>
            <c:numRef>
              <c:f>'Seprate Lat Long'!$Q$32:$Q$35</c:f>
              <c:numCache>
                <c:formatCode>General</c:formatCode>
                <c:ptCount val="4"/>
                <c:pt idx="0">
                  <c:v>2.31</c:v>
                </c:pt>
                <c:pt idx="1">
                  <c:v>2.38</c:v>
                </c:pt>
                <c:pt idx="2">
                  <c:v>2.48</c:v>
                </c:pt>
                <c:pt idx="3">
                  <c:v>2.5390000000000001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BF-45EA-A2F4-C66FEDF304DD}"/>
            </c:ext>
          </c:extLst>
        </c:ser>
        <c:ser>
          <c:idx val="2"/>
          <c:order val="2"/>
          <c:tx>
            <c:v>Corner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'Seprate Lat Long'!$N$32:$N$35</c:f>
              <c:numCache>
                <c:formatCode>General</c:formatCode>
                <c:ptCount val="4"/>
                <c:pt idx="0">
                  <c:v>0.5</c:v>
                </c:pt>
                <c:pt idx="1">
                  <c:v>0.54</c:v>
                </c:pt>
                <c:pt idx="2">
                  <c:v>0.6</c:v>
                </c:pt>
                <c:pt idx="3">
                  <c:v>0.65</c:v>
                </c:pt>
              </c:numCache>
            </c:numRef>
          </c:xVal>
          <c:yVal>
            <c:numRef>
              <c:f>'Seprate Lat Long'!$S$32:$S$35</c:f>
              <c:numCache>
                <c:formatCode>General</c:formatCode>
                <c:ptCount val="4"/>
                <c:pt idx="0">
                  <c:v>2.77</c:v>
                </c:pt>
                <c:pt idx="1">
                  <c:v>2.69</c:v>
                </c:pt>
                <c:pt idx="2">
                  <c:v>2.5859999999999999</c:v>
                </c:pt>
                <c:pt idx="3">
                  <c:v>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BF-45EA-A2F4-C66FEDF3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94584"/>
        <c:axId val="1117496224"/>
      </c:scatterChart>
      <c:valAx>
        <c:axId val="111749458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Precent rear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96224"/>
        <c:crosses val="autoZero"/>
        <c:crossBetween val="midCat"/>
      </c:valAx>
      <c:valAx>
        <c:axId val="1117496224"/>
        <c:scaling>
          <c:orientation val="minMax"/>
          <c:max val="3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</a:t>
                </a:r>
                <a:r>
                  <a:rPr lang="en-CA" baseline="0"/>
                  <a:t> force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9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Skidpad</a:t>
            </a:r>
            <a:r>
              <a:rPr lang="en-US" baseline="0"/>
              <a:t> G vs Car mass (fixed driver mass)</a:t>
            </a:r>
            <a:endParaRPr lang="en-US"/>
          </a:p>
        </c:rich>
      </c:tx>
      <c:layout>
        <c:manualLayout>
          <c:xMode val="edge"/>
          <c:yMode val="edge"/>
          <c:x val="0.115593005549878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Long'!$F$12</c:f>
              <c:strCache>
                <c:ptCount val="1"/>
                <c:pt idx="0">
                  <c:v>G (limiting)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"/>
            <c:backward val="50"/>
            <c:dispRSqr val="0"/>
            <c:dispEq val="0"/>
          </c:trendline>
          <c:xVal>
            <c:numRef>
              <c:f>'Seprate Lat Long'!$E$13:$E$17</c:f>
              <c:numCache>
                <c:formatCode>General</c:formatCode>
                <c:ptCount val="5"/>
                <c:pt idx="0">
                  <c:v>480</c:v>
                </c:pt>
                <c:pt idx="1">
                  <c:v>430</c:v>
                </c:pt>
                <c:pt idx="2">
                  <c:v>380</c:v>
                </c:pt>
                <c:pt idx="3">
                  <c:v>330</c:v>
                </c:pt>
                <c:pt idx="4">
                  <c:v>280</c:v>
                </c:pt>
              </c:numCache>
            </c:numRef>
          </c:xVal>
          <c:yVal>
            <c:numRef>
              <c:f>'Seprate Lat Long'!$F$13:$F$17</c:f>
              <c:numCache>
                <c:formatCode>General</c:formatCode>
                <c:ptCount val="5"/>
                <c:pt idx="0">
                  <c:v>2.69</c:v>
                </c:pt>
                <c:pt idx="1">
                  <c:v>2.77</c:v>
                </c:pt>
                <c:pt idx="2">
                  <c:v>2.85</c:v>
                </c:pt>
                <c:pt idx="3">
                  <c:v>2.915</c:v>
                </c:pt>
                <c:pt idx="4">
                  <c:v>2.9660000000000002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C-4269-851B-A884492A3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53040"/>
        <c:axId val="265952056"/>
      </c:scatterChart>
      <c:valAx>
        <c:axId val="265953040"/>
        <c:scaling>
          <c:orientation val="minMax"/>
          <c:max val="580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Car</a:t>
                </a:r>
                <a:r>
                  <a:rPr lang="en-CA" baseline="0"/>
                  <a:t> mass (lb)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2056"/>
        <c:crosses val="autoZero"/>
        <c:crossBetween val="midCat"/>
      </c:valAx>
      <c:valAx>
        <c:axId val="265952056"/>
        <c:scaling>
          <c:orientation val="minMax"/>
          <c:max val="3.25"/>
          <c:min val="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 accel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G's</a:t>
            </a:r>
            <a:r>
              <a:rPr lang="en-CA" baseline="0"/>
              <a:t> vs Wheelbase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Long'!$P$12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'Seprate Lat Long'!$O$13:$O$14</c:f>
              <c:numCache>
                <c:formatCode>General</c:formatCode>
                <c:ptCount val="2"/>
                <c:pt idx="0">
                  <c:v>63</c:v>
                </c:pt>
                <c:pt idx="1">
                  <c:v>60</c:v>
                </c:pt>
              </c:numCache>
            </c:numRef>
          </c:xVal>
          <c:yVal>
            <c:numRef>
              <c:f>'Seprate Lat Long'!$P$13:$P$14</c:f>
              <c:numCache>
                <c:formatCode>General</c:formatCode>
                <c:ptCount val="2"/>
                <c:pt idx="0">
                  <c:v>2.3879999999999999</c:v>
                </c:pt>
                <c:pt idx="1">
                  <c:v>2.4129999999999998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133-88E8-D49D488E4826}"/>
            </c:ext>
          </c:extLst>
        </c:ser>
        <c:ser>
          <c:idx val="1"/>
          <c:order val="1"/>
          <c:tx>
            <c:strRef>
              <c:f>'Seprate Lat Long'!$R$12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'Seprate Lat Long'!$O$13:$O$14</c:f>
              <c:numCache>
                <c:formatCode>General</c:formatCode>
                <c:ptCount val="2"/>
                <c:pt idx="0">
                  <c:v>63</c:v>
                </c:pt>
                <c:pt idx="1">
                  <c:v>60</c:v>
                </c:pt>
              </c:numCache>
            </c:numRef>
          </c:xVal>
          <c:yVal>
            <c:numRef>
              <c:f>'Seprate Lat Long'!$R$13:$R$14</c:f>
              <c:numCache>
                <c:formatCode>General</c:formatCode>
                <c:ptCount val="2"/>
                <c:pt idx="0">
                  <c:v>3.109</c:v>
                </c:pt>
                <c:pt idx="1">
                  <c:v>3.097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4-4133-88E8-D49D488E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41208"/>
        <c:axId val="1122937928"/>
      </c:scatterChart>
      <c:valAx>
        <c:axId val="112294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37928"/>
        <c:crosses val="autoZero"/>
        <c:crossBetween val="midCat"/>
      </c:valAx>
      <c:valAx>
        <c:axId val="1122937928"/>
        <c:scaling>
          <c:orientation val="minMax"/>
          <c:max val="3.25"/>
          <c:min val="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4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Mass on Skidpad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5319448750141918E-3"/>
                  <c:y val="5.0179211469534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B9-4EDA-885E-7A21E13CE8B9}"/>
                </c:ext>
              </c:extLst>
            </c:dLbl>
            <c:dLbl>
              <c:idx val="1"/>
              <c:layout>
                <c:manualLayout>
                  <c:x val="0"/>
                  <c:y val="-2.867383512544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B9-4EDA-885E-7A21E13CE8B9}"/>
                </c:ext>
              </c:extLst>
            </c:dLbl>
            <c:dLbl>
              <c:idx val="2"/>
              <c:layout>
                <c:manualLayout>
                  <c:x val="-3.2659724375071262E-3"/>
                  <c:y val="6.0931899641577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B9-4EDA-885E-7A21E13CE8B9}"/>
                </c:ext>
              </c:extLst>
            </c:dLbl>
            <c:dLbl>
              <c:idx val="3"/>
              <c:layout>
                <c:manualLayout>
                  <c:x val="-1.6329862187535479E-3"/>
                  <c:y val="-3.2258064516129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B9-4EDA-885E-7A21E13CE8B9}"/>
                </c:ext>
              </c:extLst>
            </c:dLbl>
            <c:dLbl>
              <c:idx val="4"/>
              <c:layout>
                <c:manualLayout>
                  <c:x val="3.2659724375070959E-3"/>
                  <c:y val="9.6774193548387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B9-4EDA-885E-7A21E13CE8B9}"/>
                </c:ext>
              </c:extLst>
            </c:dLbl>
            <c:dLbl>
              <c:idx val="5"/>
              <c:layout>
                <c:manualLayout>
                  <c:x val="0"/>
                  <c:y val="-4.301075268817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B9-4EDA-885E-7A21E13CE8B9}"/>
                </c:ext>
              </c:extLst>
            </c:dLbl>
            <c:dLbl>
              <c:idx val="6"/>
              <c:layout>
                <c:manualLayout>
                  <c:x val="-4.898958656260644E-3"/>
                  <c:y val="7.5268817204301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B9-4EDA-885E-7A21E13CE8B9}"/>
                </c:ext>
              </c:extLst>
            </c:dLbl>
            <c:dLbl>
              <c:idx val="7"/>
              <c:layout>
                <c:manualLayout>
                  <c:x val="-4.8989586562607637E-3"/>
                  <c:y val="-5.3763440860215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B9-4EDA-885E-7A21E13CE8B9}"/>
                </c:ext>
              </c:extLst>
            </c:dLbl>
            <c:dLbl>
              <c:idx val="8"/>
              <c:layout>
                <c:manualLayout>
                  <c:x val="3.2659724375069762E-3"/>
                  <c:y val="9.6774193548387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B9-4EDA-885E-7A21E13CE8B9}"/>
                </c:ext>
              </c:extLst>
            </c:dLbl>
            <c:dLbl>
              <c:idx val="9"/>
              <c:layout>
                <c:manualLayout>
                  <c:x val="0"/>
                  <c:y val="-4.301075268817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1B9-4EDA-885E-7A21E13CE8B9}"/>
                </c:ext>
              </c:extLst>
            </c:dLbl>
            <c:dLbl>
              <c:idx val="10"/>
              <c:layout>
                <c:manualLayout>
                  <c:x val="1.6329862187535479E-3"/>
                  <c:y val="8.960573476702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1B9-4EDA-885E-7A21E13CE8B9}"/>
                </c:ext>
              </c:extLst>
            </c:dLbl>
            <c:dLbl>
              <c:idx val="11"/>
              <c:layout>
                <c:manualLayout>
                  <c:x val="-3.265972437507216E-3"/>
                  <c:y val="-4.30107526881720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B9-4EDA-885E-7A21E13CE8B9}"/>
                </c:ext>
              </c:extLst>
            </c:dLbl>
            <c:dLbl>
              <c:idx val="12"/>
              <c:layout>
                <c:manualLayout>
                  <c:x val="-6.5319448750141918E-3"/>
                  <c:y val="9.6774193548387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B9-4EDA-885E-7A21E13CE8B9}"/>
                </c:ext>
              </c:extLst>
            </c:dLbl>
            <c:dLbl>
              <c:idx val="13"/>
              <c:layout>
                <c:manualLayout>
                  <c:x val="-2.4494793281303221E-2"/>
                  <c:y val="-6.0931899641577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B9-4EDA-885E-7A21E13CE8B9}"/>
                </c:ext>
              </c:extLst>
            </c:dLbl>
            <c:dLbl>
              <c:idx val="14"/>
              <c:layout>
                <c:manualLayout>
                  <c:x val="0"/>
                  <c:y val="1.7921146953405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B9-4EDA-885E-7A21E13CE8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16784706711175"/>
                  <c:y val="0.23201563514238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('Skidpad Versus Weight'!$F$16,'Skidpad Versus Weight'!$F$30,'Skidpad Versus Weight'!$F$44,'Skidpad Versus Weight'!$F$58,'Skidpad Versus Weight'!$F$72,'Skidpad Versus Weight'!$F$86,'Skidpad Versus Weight'!$F$100,'Skidpad Versus Weight'!$F$114,'Skidpad Versus Weight'!$F$128,'Skidpad Versus Weight'!$F$142,'Skidpad Versus Weight'!$F$156,'Skidpad Versus Weight'!$F$170,'Skidpad Versus Weight'!$F$184,'Skidpad Versus Weight'!$F$198,'Skidpad Versus Weight'!$F$212)</c:f>
              <c:numCache>
                <c:formatCode>General</c:formatCode>
                <c:ptCount val="15"/>
                <c:pt idx="0">
                  <c:v>570</c:v>
                </c:pt>
                <c:pt idx="1">
                  <c:v>580</c:v>
                </c:pt>
                <c:pt idx="2">
                  <c:v>590</c:v>
                </c:pt>
                <c:pt idx="3">
                  <c:v>600</c:v>
                </c:pt>
                <c:pt idx="4">
                  <c:v>610</c:v>
                </c:pt>
                <c:pt idx="5">
                  <c:v>620</c:v>
                </c:pt>
                <c:pt idx="6">
                  <c:v>630</c:v>
                </c:pt>
                <c:pt idx="7">
                  <c:v>640</c:v>
                </c:pt>
                <c:pt idx="8">
                  <c:v>650</c:v>
                </c:pt>
                <c:pt idx="9">
                  <c:v>660</c:v>
                </c:pt>
                <c:pt idx="10">
                  <c:v>670</c:v>
                </c:pt>
                <c:pt idx="11">
                  <c:v>680</c:v>
                </c:pt>
                <c:pt idx="12">
                  <c:v>690</c:v>
                </c:pt>
                <c:pt idx="13">
                  <c:v>700</c:v>
                </c:pt>
                <c:pt idx="14">
                  <c:v>710</c:v>
                </c:pt>
              </c:numCache>
            </c:numRef>
          </c:xVal>
          <c:yVal>
            <c:numRef>
              <c:f>('Skidpad Versus Weight'!$F$28,'Skidpad Versus Weight'!$F$42,'Skidpad Versus Weight'!$F$56,'Skidpad Versus Weight'!$F$70,'Skidpad Versus Weight'!$F$84,'Skidpad Versus Weight'!$F$98,'Skidpad Versus Weight'!$F$112,'Skidpad Versus Weight'!$F$126,'Skidpad Versus Weight'!$F$140,'Skidpad Versus Weight'!$F$154,'Skidpad Versus Weight'!$F$168,'Skidpad Versus Weight'!$F$182,'Skidpad Versus Weight'!$F$196,'Skidpad Versus Weight'!$F$210,'Skidpad Versus Weight'!$F$224)</c:f>
              <c:numCache>
                <c:formatCode>General</c:formatCode>
                <c:ptCount val="15"/>
                <c:pt idx="0">
                  <c:v>27.080308173233774</c:v>
                </c:pt>
                <c:pt idx="1">
                  <c:v>26.474422325442713</c:v>
                </c:pt>
                <c:pt idx="2">
                  <c:v>25.856764346584235</c:v>
                </c:pt>
                <c:pt idx="3">
                  <c:v>25.22883882889964</c:v>
                </c:pt>
                <c:pt idx="4">
                  <c:v>24.592226225298255</c:v>
                </c:pt>
                <c:pt idx="5">
                  <c:v>23.948573546329769</c:v>
                </c:pt>
                <c:pt idx="6">
                  <c:v>23.299586437625166</c:v>
                </c:pt>
                <c:pt idx="7">
                  <c:v>22.647022758045772</c:v>
                </c:pt>
                <c:pt idx="8">
                  <c:v>21.992687772043258</c:v>
                </c:pt>
                <c:pt idx="9">
                  <c:v>21.338431068968255</c:v>
                </c:pt>
                <c:pt idx="10">
                  <c:v>20.686145328553231</c:v>
                </c:pt>
                <c:pt idx="11">
                  <c:v>20.03776706697878</c:v>
                </c:pt>
                <c:pt idx="12">
                  <c:v>19.395279523585764</c:v>
                </c:pt>
                <c:pt idx="13">
                  <c:v>18.76071788668223</c:v>
                </c:pt>
                <c:pt idx="14">
                  <c:v>18.136177110929609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7-493C-8CD9-A2B83678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37104"/>
        <c:axId val="329332840"/>
      </c:scatterChart>
      <c:valAx>
        <c:axId val="329337104"/>
        <c:scaling>
          <c:orientation val="minMax"/>
          <c:max val="710"/>
          <c:min val="5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mass (lb)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32840"/>
        <c:crosses val="autoZero"/>
        <c:crossBetween val="midCat"/>
      </c:valAx>
      <c:valAx>
        <c:axId val="32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Skidpad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3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Load sensitivity R25B 7.5x10-7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Long'!$B$49</c:f>
              <c:strCache>
                <c:ptCount val="1"/>
                <c:pt idx="0">
                  <c:v>NFX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50"/>
            <c:backward val="20"/>
            <c:dispRSqr val="1"/>
            <c:dispEq val="1"/>
            <c:trendlineLbl>
              <c:layout>
                <c:manualLayout>
                  <c:x val="-0.15429039507316489"/>
                  <c:y val="0.148791736586205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'Seprate Lat Long'!$A$50:$A$55</c:f>
              <c:numCache>
                <c:formatCode>General</c:formatCode>
                <c:ptCount val="6"/>
                <c:pt idx="1">
                  <c:v>54</c:v>
                </c:pt>
                <c:pt idx="2">
                  <c:v>132.19999999999999</c:v>
                </c:pt>
                <c:pt idx="3">
                  <c:v>176.11</c:v>
                </c:pt>
                <c:pt idx="4">
                  <c:v>223.4</c:v>
                </c:pt>
                <c:pt idx="5">
                  <c:v>246.71</c:v>
                </c:pt>
              </c:numCache>
            </c:numRef>
          </c:xVal>
          <c:yVal>
            <c:numRef>
              <c:f>'Seprate Lat Long'!$B$50:$B$55</c:f>
              <c:numCache>
                <c:formatCode>General</c:formatCode>
                <c:ptCount val="6"/>
                <c:pt idx="1">
                  <c:v>3.64</c:v>
                </c:pt>
                <c:pt idx="2">
                  <c:v>3.26</c:v>
                </c:pt>
                <c:pt idx="3">
                  <c:v>3.13</c:v>
                </c:pt>
                <c:pt idx="4">
                  <c:v>3.03</c:v>
                </c:pt>
                <c:pt idx="5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BE-4D2F-9944-624D81E7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13736"/>
        <c:axId val="1123105536"/>
      </c:scatterChart>
      <c:valAx>
        <c:axId val="112311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 Load</a:t>
                </a:r>
                <a:r>
                  <a:rPr lang="en-CA" baseline="0"/>
                  <a:t> (lb)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05536"/>
        <c:crosses val="autoZero"/>
        <c:crossBetween val="midCat"/>
      </c:valAx>
      <c:valAx>
        <c:axId val="11231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Long Coeff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1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Accel/Braking</a:t>
            </a:r>
            <a:r>
              <a:rPr lang="en-CA" baseline="0"/>
              <a:t> Gs vs Car Mass</a:t>
            </a:r>
            <a:endParaRPr lang="en-CA"/>
          </a:p>
        </c:rich>
      </c:tx>
      <c:layout>
        <c:manualLayout>
          <c:xMode val="edge"/>
          <c:yMode val="edge"/>
          <c:x val="0.3122707786526683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4492563429573"/>
          <c:y val="0.12078703703703704"/>
          <c:w val="0.83809951881014866"/>
          <c:h val="0.614035068533099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'Seprate Lat Long'!$W$12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50"/>
            <c:backward val="50"/>
            <c:dispRSqr val="1"/>
            <c:dispEq val="1"/>
            <c:trendlineLbl>
              <c:layout>
                <c:manualLayout>
                  <c:x val="-0.17215704286964129"/>
                  <c:y val="4.7933070866141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'Seprate Lat Long'!$V$13:$V$17</c:f>
              <c:numCache>
                <c:formatCode>General</c:formatCode>
                <c:ptCount val="5"/>
                <c:pt idx="0">
                  <c:v>480</c:v>
                </c:pt>
                <c:pt idx="1">
                  <c:v>430</c:v>
                </c:pt>
                <c:pt idx="2">
                  <c:v>380</c:v>
                </c:pt>
                <c:pt idx="3">
                  <c:v>330</c:v>
                </c:pt>
                <c:pt idx="4">
                  <c:v>280</c:v>
                </c:pt>
              </c:numCache>
            </c:numRef>
          </c:xVal>
          <c:yVal>
            <c:numRef>
              <c:f>'Seprate Lat Long'!$W$13:$W$17</c:f>
              <c:numCache>
                <c:formatCode>General</c:formatCode>
                <c:ptCount val="5"/>
                <c:pt idx="0">
                  <c:v>2.3879999999999999</c:v>
                </c:pt>
                <c:pt idx="1">
                  <c:v>2.452</c:v>
                </c:pt>
                <c:pt idx="2">
                  <c:v>2.504</c:v>
                </c:pt>
                <c:pt idx="3">
                  <c:v>2.5485000000000002</c:v>
                </c:pt>
                <c:pt idx="4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F-486E-B537-166272663757}"/>
            </c:ext>
          </c:extLst>
        </c:ser>
        <c:ser>
          <c:idx val="1"/>
          <c:order val="1"/>
          <c:tx>
            <c:strRef>
              <c:f>'Seprate Lat Long'!$Y$12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50"/>
            <c:backward val="50"/>
            <c:dispRSqr val="1"/>
            <c:dispEq val="1"/>
            <c:trendlineLbl>
              <c:layout>
                <c:manualLayout>
                  <c:x val="1.6162292213473317E-2"/>
                  <c:y val="7.5154564012831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'Seprate Lat Long'!$V$13:$V$17</c:f>
              <c:numCache>
                <c:formatCode>General</c:formatCode>
                <c:ptCount val="5"/>
                <c:pt idx="0">
                  <c:v>480</c:v>
                </c:pt>
                <c:pt idx="1">
                  <c:v>430</c:v>
                </c:pt>
                <c:pt idx="2">
                  <c:v>380</c:v>
                </c:pt>
                <c:pt idx="3">
                  <c:v>330</c:v>
                </c:pt>
                <c:pt idx="4">
                  <c:v>280</c:v>
                </c:pt>
              </c:numCache>
            </c:numRef>
          </c:xVal>
          <c:yVal>
            <c:numRef>
              <c:f>'Seprate Lat Long'!$Y$13:$Y$17</c:f>
              <c:numCache>
                <c:formatCode>General</c:formatCode>
                <c:ptCount val="5"/>
                <c:pt idx="0">
                  <c:v>3.02</c:v>
                </c:pt>
                <c:pt idx="1">
                  <c:v>3.09</c:v>
                </c:pt>
                <c:pt idx="2">
                  <c:v>3.15</c:v>
                </c:pt>
                <c:pt idx="3">
                  <c:v>3.2</c:v>
                </c:pt>
                <c:pt idx="4">
                  <c:v>3.2469999999999999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F-486E-B537-16627266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247112"/>
        <c:axId val="1141247440"/>
      </c:scatterChart>
      <c:valAx>
        <c:axId val="1141247112"/>
        <c:scaling>
          <c:orientation val="minMax"/>
          <c:max val="530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Car Mass</a:t>
                </a:r>
                <a:r>
                  <a:rPr lang="en-CA" baseline="0"/>
                  <a:t> (lb)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47440"/>
        <c:crosses val="autoZero"/>
        <c:crossBetween val="midCat"/>
      </c:valAx>
      <c:valAx>
        <c:axId val="1141247440"/>
        <c:scaling>
          <c:orientation val="minMax"/>
          <c:max val="3.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Long Accel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4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G's</a:t>
            </a:r>
            <a:r>
              <a:rPr lang="en-CA" baseline="0"/>
              <a:t> vs Rear weight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0576047432143"/>
          <c:y val="0.13865791975000288"/>
          <c:w val="0.86188919914877549"/>
          <c:h val="0.7252513055762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'Seprate Lat Long'!$O$31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'Seprate Lat Long'!$N$32:$N$35</c:f>
              <c:numCache>
                <c:formatCode>General</c:formatCode>
                <c:ptCount val="4"/>
                <c:pt idx="0">
                  <c:v>0.5</c:v>
                </c:pt>
                <c:pt idx="1">
                  <c:v>0.54</c:v>
                </c:pt>
                <c:pt idx="2">
                  <c:v>0.6</c:v>
                </c:pt>
                <c:pt idx="3">
                  <c:v>0.65</c:v>
                </c:pt>
              </c:numCache>
            </c:numRef>
          </c:xVal>
          <c:yVal>
            <c:numRef>
              <c:f>'Seprate Lat Long'!$O$32:$O$35</c:f>
              <c:numCache>
                <c:formatCode>General</c:formatCode>
                <c:ptCount val="4"/>
                <c:pt idx="0">
                  <c:v>3.07</c:v>
                </c:pt>
                <c:pt idx="1">
                  <c:v>3.11</c:v>
                </c:pt>
                <c:pt idx="2">
                  <c:v>3.1469999999999998</c:v>
                </c:pt>
                <c:pt idx="3">
                  <c:v>3.1659999999999999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E-4EDA-AA31-8F128C4C33EA}"/>
            </c:ext>
          </c:extLst>
        </c:ser>
        <c:ser>
          <c:idx val="1"/>
          <c:order val="1"/>
          <c:tx>
            <c:v>Accel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'Seprate Lat Long'!$N$32:$N$35</c:f>
              <c:numCache>
                <c:formatCode>General</c:formatCode>
                <c:ptCount val="4"/>
                <c:pt idx="0">
                  <c:v>0.5</c:v>
                </c:pt>
                <c:pt idx="1">
                  <c:v>0.54</c:v>
                </c:pt>
                <c:pt idx="2">
                  <c:v>0.6</c:v>
                </c:pt>
                <c:pt idx="3">
                  <c:v>0.65</c:v>
                </c:pt>
              </c:numCache>
            </c:numRef>
          </c:xVal>
          <c:yVal>
            <c:numRef>
              <c:f>'Seprate Lat Long'!$Q$32:$Q$35</c:f>
              <c:numCache>
                <c:formatCode>General</c:formatCode>
                <c:ptCount val="4"/>
                <c:pt idx="0">
                  <c:v>2.31</c:v>
                </c:pt>
                <c:pt idx="1">
                  <c:v>2.38</c:v>
                </c:pt>
                <c:pt idx="2">
                  <c:v>2.48</c:v>
                </c:pt>
                <c:pt idx="3">
                  <c:v>2.5390000000000001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2E-4EDA-AA31-8F128C4C33EA}"/>
            </c:ext>
          </c:extLst>
        </c:ser>
        <c:ser>
          <c:idx val="2"/>
          <c:order val="2"/>
          <c:tx>
            <c:v>Corner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'Seprate Lat Long'!$N$32:$N$35</c:f>
              <c:numCache>
                <c:formatCode>General</c:formatCode>
                <c:ptCount val="4"/>
                <c:pt idx="0">
                  <c:v>0.5</c:v>
                </c:pt>
                <c:pt idx="1">
                  <c:v>0.54</c:v>
                </c:pt>
                <c:pt idx="2">
                  <c:v>0.6</c:v>
                </c:pt>
                <c:pt idx="3">
                  <c:v>0.65</c:v>
                </c:pt>
              </c:numCache>
            </c:numRef>
          </c:xVal>
          <c:yVal>
            <c:numRef>
              <c:f>'Seprate Lat Long'!$S$32:$S$35</c:f>
              <c:numCache>
                <c:formatCode>General</c:formatCode>
                <c:ptCount val="4"/>
                <c:pt idx="0">
                  <c:v>2.77</c:v>
                </c:pt>
                <c:pt idx="1">
                  <c:v>2.69</c:v>
                </c:pt>
                <c:pt idx="2">
                  <c:v>2.5859999999999999</c:v>
                </c:pt>
                <c:pt idx="3">
                  <c:v>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2E-4EDA-AA31-8F128C4C3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94584"/>
        <c:axId val="1117496224"/>
      </c:scatterChart>
      <c:valAx>
        <c:axId val="1117494584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Rear</a:t>
                </a:r>
                <a:r>
                  <a:rPr lang="en-CA" baseline="0"/>
                  <a:t> Weight Fraction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37872152290419531"/>
              <c:y val="0.92446511923639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96224"/>
        <c:crosses val="autoZero"/>
        <c:crossBetween val="midCat"/>
      </c:valAx>
      <c:valAx>
        <c:axId val="1117496224"/>
        <c:scaling>
          <c:orientation val="minMax"/>
          <c:max val="3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Car Accel</a:t>
                </a:r>
                <a:r>
                  <a:rPr lang="en-CA" baseline="0"/>
                  <a:t> (G)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9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83758719130781"/>
          <c:y val="0.65227444461681072"/>
          <c:w val="0.13349454529688831"/>
          <c:h val="0.18925873060401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G's</a:t>
            </a:r>
            <a:r>
              <a:rPr lang="en-CA" baseline="0"/>
              <a:t> vs Wheelbase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Long'!$P$12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'Seprate Lat Long'!$O$13:$O$14</c:f>
              <c:numCache>
                <c:formatCode>General</c:formatCode>
                <c:ptCount val="2"/>
                <c:pt idx="0">
                  <c:v>63</c:v>
                </c:pt>
                <c:pt idx="1">
                  <c:v>60</c:v>
                </c:pt>
              </c:numCache>
            </c:numRef>
          </c:xVal>
          <c:yVal>
            <c:numRef>
              <c:f>'Seprate Lat Long'!$P$13:$P$14</c:f>
              <c:numCache>
                <c:formatCode>General</c:formatCode>
                <c:ptCount val="2"/>
                <c:pt idx="0">
                  <c:v>2.3879999999999999</c:v>
                </c:pt>
                <c:pt idx="1">
                  <c:v>2.4129999999999998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9-4D1D-908E-24D6FF180F80}"/>
            </c:ext>
          </c:extLst>
        </c:ser>
        <c:ser>
          <c:idx val="1"/>
          <c:order val="1"/>
          <c:tx>
            <c:strRef>
              <c:f>'Seprate Lat Long'!$R$12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'Seprate Lat Long'!$O$13:$O$14</c:f>
              <c:numCache>
                <c:formatCode>General</c:formatCode>
                <c:ptCount val="2"/>
                <c:pt idx="0">
                  <c:v>63</c:v>
                </c:pt>
                <c:pt idx="1">
                  <c:v>60</c:v>
                </c:pt>
              </c:numCache>
            </c:numRef>
          </c:xVal>
          <c:yVal>
            <c:numRef>
              <c:f>'Seprate Lat Long'!$R$13:$R$14</c:f>
              <c:numCache>
                <c:formatCode>General</c:formatCode>
                <c:ptCount val="2"/>
                <c:pt idx="0">
                  <c:v>3.109</c:v>
                </c:pt>
                <c:pt idx="1">
                  <c:v>3.097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9-4D1D-908E-24D6FF18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41208"/>
        <c:axId val="1122937928"/>
      </c:scatterChart>
      <c:valAx>
        <c:axId val="112294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Wheelbase</a:t>
                </a:r>
                <a:r>
                  <a:rPr lang="en-CA" baseline="0"/>
                  <a:t> (in)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2350286609146354"/>
              <c:y val="0.87398282424450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37928"/>
        <c:crosses val="autoZero"/>
        <c:crossBetween val="midCat"/>
      </c:valAx>
      <c:valAx>
        <c:axId val="1122937928"/>
        <c:scaling>
          <c:orientation val="minMax"/>
          <c:max val="3.25"/>
          <c:min val="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</a:t>
                </a:r>
                <a:r>
                  <a:rPr lang="en-CA" baseline="0"/>
                  <a:t> accel (G)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4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0383791098754"/>
          <c:y val="0.71552027198750867"/>
          <c:w val="0.34236064352316259"/>
          <c:h val="8.153918266779690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G's</a:t>
            </a:r>
            <a:r>
              <a:rPr lang="en-CA" baseline="0"/>
              <a:t> vs CG Height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Long'!$F$21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'Seprate Lat Long'!$E$22:$E$25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xVal>
          <c:yVal>
            <c:numRef>
              <c:f>'Seprate Lat Long'!$F$22:$F$25</c:f>
              <c:numCache>
                <c:formatCode>General</c:formatCode>
                <c:ptCount val="4"/>
                <c:pt idx="0">
                  <c:v>2.859</c:v>
                </c:pt>
                <c:pt idx="1">
                  <c:v>2.8898000000000001</c:v>
                </c:pt>
                <c:pt idx="2">
                  <c:v>2.9129999999999998</c:v>
                </c:pt>
                <c:pt idx="3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F-4B1D-8F75-F780408CDB71}"/>
            </c:ext>
          </c:extLst>
        </c:ser>
        <c:ser>
          <c:idx val="1"/>
          <c:order val="1"/>
          <c:tx>
            <c:strRef>
              <c:f>'Seprate Lat Long'!$H$21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'Seprate Lat Long'!$E$22:$E$25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xVal>
          <c:yVal>
            <c:numRef>
              <c:f>'Seprate Lat Long'!$H$22:$H$25</c:f>
              <c:numCache>
                <c:formatCode>General</c:formatCode>
                <c:ptCount val="4"/>
                <c:pt idx="0">
                  <c:v>2.6890000000000001</c:v>
                </c:pt>
                <c:pt idx="1">
                  <c:v>2.7376999999999998</c:v>
                </c:pt>
                <c:pt idx="2">
                  <c:v>2.7787999999999999</c:v>
                </c:pt>
                <c:pt idx="3">
                  <c:v>2.8140000000000001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5F-4B1D-8F75-F780408CDB71}"/>
            </c:ext>
          </c:extLst>
        </c:ser>
        <c:ser>
          <c:idx val="2"/>
          <c:order val="2"/>
          <c:tx>
            <c:strRef>
              <c:f>'Seprate Lat Long'!$J$21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'Seprate Lat Long'!$E$22:$E$25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xVal>
          <c:yVal>
            <c:numRef>
              <c:f>'Seprate Lat Long'!$J$22:$J$25</c:f>
              <c:numCache>
                <c:formatCode>General</c:formatCode>
                <c:ptCount val="4"/>
                <c:pt idx="0">
                  <c:v>2.3879999999999999</c:v>
                </c:pt>
                <c:pt idx="1">
                  <c:v>2.3439999999999999</c:v>
                </c:pt>
                <c:pt idx="2">
                  <c:v>2.2957000000000001</c:v>
                </c:pt>
                <c:pt idx="3">
                  <c:v>2.2450000000000001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5F-4B1D-8F75-F780408CD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92376"/>
        <c:axId val="1122990408"/>
      </c:scatterChart>
      <c:valAx>
        <c:axId val="112299237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CG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90408"/>
        <c:crosses val="autoZero"/>
        <c:crossBetween val="midCat"/>
      </c:valAx>
      <c:valAx>
        <c:axId val="112299040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Accel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9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24693788276466"/>
          <c:y val="0.69502260134149885"/>
          <c:w val="0.3346172353455818"/>
          <c:h val="7.8125546806649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Skidpad</a:t>
            </a:r>
            <a:r>
              <a:rPr lang="en-US" baseline="0"/>
              <a:t> Max G vs Car mass (fixed driver mass)</a:t>
            </a:r>
            <a:endParaRPr lang="en-US"/>
          </a:p>
        </c:rich>
      </c:tx>
      <c:layout>
        <c:manualLayout>
          <c:xMode val="edge"/>
          <c:yMode val="edge"/>
          <c:x val="0.15538367149189733"/>
          <c:y val="2.7190329092189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Long'!$F$12</c:f>
              <c:strCache>
                <c:ptCount val="1"/>
                <c:pt idx="0">
                  <c:v>G (limiting)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00"/>
            <c:backward val="50"/>
            <c:dispRSqr val="0"/>
            <c:dispEq val="0"/>
          </c:trendline>
          <c:xVal>
            <c:numRef>
              <c:f>'Seprate Lat Long'!$E$13:$E$17</c:f>
              <c:numCache>
                <c:formatCode>General</c:formatCode>
                <c:ptCount val="5"/>
                <c:pt idx="0">
                  <c:v>480</c:v>
                </c:pt>
                <c:pt idx="1">
                  <c:v>430</c:v>
                </c:pt>
                <c:pt idx="2">
                  <c:v>380</c:v>
                </c:pt>
                <c:pt idx="3">
                  <c:v>330</c:v>
                </c:pt>
                <c:pt idx="4">
                  <c:v>280</c:v>
                </c:pt>
              </c:numCache>
            </c:numRef>
          </c:xVal>
          <c:yVal>
            <c:numRef>
              <c:f>'Seprate Lat Long'!$F$13:$F$17</c:f>
              <c:numCache>
                <c:formatCode>General</c:formatCode>
                <c:ptCount val="5"/>
                <c:pt idx="0">
                  <c:v>2.69</c:v>
                </c:pt>
                <c:pt idx="1">
                  <c:v>2.77</c:v>
                </c:pt>
                <c:pt idx="2">
                  <c:v>2.85</c:v>
                </c:pt>
                <c:pt idx="3">
                  <c:v>2.915</c:v>
                </c:pt>
                <c:pt idx="4">
                  <c:v>2.9660000000000002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CE-41A0-A1E7-73A04A3C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53040"/>
        <c:axId val="265952056"/>
      </c:scatterChart>
      <c:valAx>
        <c:axId val="265953040"/>
        <c:scaling>
          <c:orientation val="minMax"/>
          <c:max val="580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Car Weight</a:t>
                </a:r>
                <a:r>
                  <a:rPr lang="en-CA" baseline="0"/>
                  <a:t> (lb)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2056"/>
        <c:crosses val="autoZero"/>
        <c:crossBetween val="midCat"/>
      </c:valAx>
      <c:valAx>
        <c:axId val="265952056"/>
        <c:scaling>
          <c:orientation val="minMax"/>
          <c:max val="3.25"/>
          <c:min val="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 Accel</a:t>
                </a:r>
                <a:r>
                  <a:rPr lang="en-CA" baseline="0"/>
                  <a:t> (G)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Accel/Braking</a:t>
            </a:r>
            <a:r>
              <a:rPr lang="en-CA" baseline="0"/>
              <a:t> Gs vs Car Mass</a:t>
            </a:r>
            <a:endParaRPr lang="en-CA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'Seprate Lat Long'!$W$12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50"/>
            <c:backward val="50"/>
            <c:dispRSqr val="1"/>
            <c:dispEq val="1"/>
            <c:trendlineLbl>
              <c:layout>
                <c:manualLayout>
                  <c:x val="-0.17215704286964129"/>
                  <c:y val="4.7933070866141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'Seprate Lat Long'!$V$13:$V$17</c:f>
              <c:numCache>
                <c:formatCode>General</c:formatCode>
                <c:ptCount val="5"/>
                <c:pt idx="0">
                  <c:v>480</c:v>
                </c:pt>
                <c:pt idx="1">
                  <c:v>430</c:v>
                </c:pt>
                <c:pt idx="2">
                  <c:v>380</c:v>
                </c:pt>
                <c:pt idx="3">
                  <c:v>330</c:v>
                </c:pt>
                <c:pt idx="4">
                  <c:v>280</c:v>
                </c:pt>
              </c:numCache>
            </c:numRef>
          </c:xVal>
          <c:yVal>
            <c:numRef>
              <c:f>'Seprate Lat Long'!$W$13:$W$17</c:f>
              <c:numCache>
                <c:formatCode>General</c:formatCode>
                <c:ptCount val="5"/>
                <c:pt idx="0">
                  <c:v>2.3879999999999999</c:v>
                </c:pt>
                <c:pt idx="1">
                  <c:v>2.452</c:v>
                </c:pt>
                <c:pt idx="2">
                  <c:v>2.504</c:v>
                </c:pt>
                <c:pt idx="3">
                  <c:v>2.5485000000000002</c:v>
                </c:pt>
                <c:pt idx="4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FC-422A-A2CC-F9613E0FC148}"/>
            </c:ext>
          </c:extLst>
        </c:ser>
        <c:ser>
          <c:idx val="1"/>
          <c:order val="1"/>
          <c:tx>
            <c:strRef>
              <c:f>'Seprate Lat Long'!$Y$12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50"/>
            <c:backward val="50"/>
            <c:dispRSqr val="1"/>
            <c:dispEq val="1"/>
            <c:trendlineLbl>
              <c:layout>
                <c:manualLayout>
                  <c:x val="1.6162292213473317E-2"/>
                  <c:y val="7.5154564012831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'Seprate Lat Long'!$V$13:$V$17</c:f>
              <c:numCache>
                <c:formatCode>General</c:formatCode>
                <c:ptCount val="5"/>
                <c:pt idx="0">
                  <c:v>480</c:v>
                </c:pt>
                <c:pt idx="1">
                  <c:v>430</c:v>
                </c:pt>
                <c:pt idx="2">
                  <c:v>380</c:v>
                </c:pt>
                <c:pt idx="3">
                  <c:v>330</c:v>
                </c:pt>
                <c:pt idx="4">
                  <c:v>280</c:v>
                </c:pt>
              </c:numCache>
            </c:numRef>
          </c:xVal>
          <c:yVal>
            <c:numRef>
              <c:f>'Seprate Lat Long'!$Y$13:$Y$17</c:f>
              <c:numCache>
                <c:formatCode>General</c:formatCode>
                <c:ptCount val="5"/>
                <c:pt idx="0">
                  <c:v>3.02</c:v>
                </c:pt>
                <c:pt idx="1">
                  <c:v>3.09</c:v>
                </c:pt>
                <c:pt idx="2">
                  <c:v>3.15</c:v>
                </c:pt>
                <c:pt idx="3">
                  <c:v>3.2</c:v>
                </c:pt>
                <c:pt idx="4">
                  <c:v>3.2469999999999999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FC-422A-A2CC-F9613E0F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247112"/>
        <c:axId val="1141247440"/>
      </c:scatterChart>
      <c:valAx>
        <c:axId val="1141247112"/>
        <c:scaling>
          <c:orientation val="minMax"/>
          <c:max val="530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47440"/>
        <c:crosses val="autoZero"/>
        <c:crossBetween val="midCat"/>
      </c:valAx>
      <c:valAx>
        <c:axId val="1141247440"/>
        <c:scaling>
          <c:orientation val="minMax"/>
          <c:max val="3.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4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15239</xdr:rowOff>
    </xdr:from>
    <xdr:to>
      <xdr:col>10</xdr:col>
      <xdr:colOff>21772</xdr:colOff>
      <xdr:row>47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D1D3F-272F-4BEA-A233-117A1155D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369570</xdr:colOff>
      <xdr:row>14</xdr:row>
      <xdr:rowOff>188595</xdr:rowOff>
    </xdr:from>
    <xdr:to>
      <xdr:col>15</xdr:col>
      <xdr:colOff>1905</xdr:colOff>
      <xdr:row>30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E58603-5818-4680-A82F-F574DA3B2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213360</xdr:colOff>
      <xdr:row>47</xdr:row>
      <xdr:rowOff>83820</xdr:rowOff>
    </xdr:from>
    <xdr:to>
      <xdr:col>12</xdr:col>
      <xdr:colOff>777240</xdr:colOff>
      <xdr:row>67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53B3CD-2970-4307-95A2-71CD20939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190500</xdr:colOff>
      <xdr:row>10</xdr:row>
      <xdr:rowOff>34290</xdr:rowOff>
    </xdr:from>
    <xdr:to>
      <xdr:col>33</xdr:col>
      <xdr:colOff>495300</xdr:colOff>
      <xdr:row>25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F2243C-FD41-4864-8FD6-788650AC0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387803</xdr:colOff>
      <xdr:row>41</xdr:row>
      <xdr:rowOff>168728</xdr:rowOff>
    </xdr:from>
    <xdr:to>
      <xdr:col>20</xdr:col>
      <xdr:colOff>175260</xdr:colOff>
      <xdr:row>60</xdr:row>
      <xdr:rowOff>91167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06F4D4-054E-467A-AD80-25206E7F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26943</xdr:colOff>
      <xdr:row>14</xdr:row>
      <xdr:rowOff>65314</xdr:rowOff>
    </xdr:from>
    <xdr:to>
      <xdr:col>19</xdr:col>
      <xdr:colOff>184785</xdr:colOff>
      <xdr:row>28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E43115-307D-46F4-9FD5-0A0843EDE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</xdr:colOff>
      <xdr:row>14</xdr:row>
      <xdr:rowOff>99060</xdr:rowOff>
    </xdr:from>
    <xdr:to>
      <xdr:col>10</xdr:col>
      <xdr:colOff>432435</xdr:colOff>
      <xdr:row>29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8DF3D54-228D-4F2D-87BC-2833A9C42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1066165</xdr:colOff>
      <xdr:row>17</xdr:row>
      <xdr:rowOff>89537</xdr:rowOff>
    </xdr:from>
    <xdr:to>
      <xdr:col>9</xdr:col>
      <xdr:colOff>28575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F0FA3-5B0E-4989-874A-754DB8371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190500</xdr:colOff>
      <xdr:row>10</xdr:row>
      <xdr:rowOff>34290</xdr:rowOff>
    </xdr:from>
    <xdr:to>
      <xdr:col>33</xdr:col>
      <xdr:colOff>495300</xdr:colOff>
      <xdr:row>25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5F305-D581-4CFD-872B-8DA03731B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994683</xdr:colOff>
      <xdr:row>14</xdr:row>
      <xdr:rowOff>103414</xdr:rowOff>
    </xdr:from>
    <xdr:to>
      <xdr:col>19</xdr:col>
      <xdr:colOff>85725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3DCED9-2737-407C-8C11-825F607E9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35</xdr:row>
      <xdr:rowOff>148166</xdr:rowOff>
    </xdr:from>
    <xdr:to>
      <xdr:col>13</xdr:col>
      <xdr:colOff>0</xdr:colOff>
      <xdr:row>50</xdr:row>
      <xdr:rowOff>186265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EC5133-FDCD-4EAF-9586-8A23C88DB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66675</xdr:colOff>
      <xdr:row>48</xdr:row>
      <xdr:rowOff>143828</xdr:rowOff>
    </xdr:from>
    <xdr:to>
      <xdr:col>14</xdr:col>
      <xdr:colOff>485775</xdr:colOff>
      <xdr:row>63</xdr:row>
      <xdr:rowOff>172403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C8C2C5-F008-4465-81E9-9695FAFBE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121920</xdr:colOff>
      <xdr:row>64</xdr:row>
      <xdr:rowOff>29528</xdr:rowOff>
    </xdr:from>
    <xdr:to>
      <xdr:col>14</xdr:col>
      <xdr:colOff>541020</xdr:colOff>
      <xdr:row>79</xdr:row>
      <xdr:rowOff>58103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F781D3-ADA2-4BCF-8C4F-56134DBD3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371475</xdr:colOff>
      <xdr:row>31</xdr:row>
      <xdr:rowOff>71438</xdr:rowOff>
    </xdr:from>
    <xdr:to>
      <xdr:col>5</xdr:col>
      <xdr:colOff>238125</xdr:colOff>
      <xdr:row>46</xdr:row>
      <xdr:rowOff>100013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4C006D-5C79-47CE-AB12-D03D2F70D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182879</xdr:rowOff>
    </xdr:from>
    <xdr:to>
      <xdr:col>10</xdr:col>
      <xdr:colOff>21772</xdr:colOff>
      <xdr:row>57</xdr:row>
      <xdr:rowOff>20682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1A1EC-B559-43E4-A869-5B0DF1D66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139065</xdr:colOff>
      <xdr:row>13</xdr:row>
      <xdr:rowOff>3810</xdr:rowOff>
    </xdr:from>
    <xdr:to>
      <xdr:col>13</xdr:col>
      <xdr:colOff>847725</xdr:colOff>
      <xdr:row>28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36DE3-F960-4F6E-B1B3-77D76AE7B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56</xdr:row>
      <xdr:rowOff>0</xdr:rowOff>
    </xdr:from>
    <xdr:to>
      <xdr:col>8</xdr:col>
      <xdr:colOff>426720</xdr:colOff>
      <xdr:row>76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E50EA-1686-4CB4-9BCB-1AC09420B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190500</xdr:colOff>
      <xdr:row>10</xdr:row>
      <xdr:rowOff>34290</xdr:rowOff>
    </xdr:from>
    <xdr:to>
      <xdr:col>33</xdr:col>
      <xdr:colOff>495300</xdr:colOff>
      <xdr:row>25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4B224-F716-4EE7-B280-B45CAE76B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883103</xdr:colOff>
      <xdr:row>37</xdr:row>
      <xdr:rowOff>130628</xdr:rowOff>
    </xdr:from>
    <xdr:to>
      <xdr:col>20</xdr:col>
      <xdr:colOff>322489</xdr:colOff>
      <xdr:row>56</xdr:row>
      <xdr:rowOff>53067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91FC0-CE91-436C-823C-6D6124F6B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994683</xdr:colOff>
      <xdr:row>14</xdr:row>
      <xdr:rowOff>103414</xdr:rowOff>
    </xdr:from>
    <xdr:to>
      <xdr:col>19</xdr:col>
      <xdr:colOff>85725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7E3696-81D7-4F82-B0FB-9EED5D9F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576261</xdr:colOff>
      <xdr:row>1</xdr:row>
      <xdr:rowOff>9525</xdr:rowOff>
    </xdr:from>
    <xdr:to>
      <xdr:col>18</xdr:col>
      <xdr:colOff>447674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62DD9-39D7-4433-BD7D-225BCB2BF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5"/>
  <sheetViews>
    <sheetView zoomScaleNormal="100" workbookViewId="0">
      <selection activeCell="L38" sqref="L38"/>
    </sheetView>
  </sheetViews>
  <sheetFormatPr defaultRowHeight="15" x14ac:dyDescent="0.25"/>
  <cols>
    <col min="1" max="1" width="14.5703125" customWidth="1"/>
    <col min="3" max="3" width="13.28515625" customWidth="1"/>
    <col min="4" max="4" width="16.7109375" customWidth="1"/>
    <col min="6" max="6" width="9.7109375" customWidth="1"/>
    <col min="7" max="7" width="15.28515625" customWidth="1"/>
    <col min="12" max="12" width="24.28515625" customWidth="1"/>
    <col min="13" max="13" width="14.7109375" customWidth="1"/>
    <col min="14" max="14" width="15.5703125" customWidth="1"/>
    <col min="18" max="18" width="12.5703125" customWidth="1"/>
    <col min="19" max="19" width="15.7109375" customWidth="1"/>
  </cols>
  <sheetData>
    <row r="1" spans="1:26" x14ac:dyDescent="0.25">
      <c r="A1" t="s">
        <v>0</v>
      </c>
      <c r="E1" t="s">
        <v>24</v>
      </c>
      <c r="H1" s="6" t="s">
        <v>25</v>
      </c>
      <c r="I1" s="7"/>
      <c r="J1" s="7"/>
      <c r="K1" s="7"/>
      <c r="L1" s="7"/>
      <c r="M1" s="7" t="s">
        <v>19</v>
      </c>
      <c r="N1" s="8"/>
      <c r="P1" s="6" t="s">
        <v>46</v>
      </c>
      <c r="Q1" s="7"/>
      <c r="R1" s="7"/>
      <c r="S1" s="7" t="s">
        <v>20</v>
      </c>
      <c r="T1" s="8"/>
    </row>
    <row r="2" spans="1:26" x14ac:dyDescent="0.25">
      <c r="A2" t="s">
        <v>27</v>
      </c>
      <c r="E2" t="s">
        <v>11</v>
      </c>
      <c r="F2" t="s">
        <v>12</v>
      </c>
      <c r="H2" s="17" t="s">
        <v>11</v>
      </c>
      <c r="I2" s="9" t="s">
        <v>12</v>
      </c>
      <c r="J2" s="9"/>
      <c r="K2" s="9" t="s">
        <v>26</v>
      </c>
      <c r="L2" s="9"/>
      <c r="M2" s="9" t="s">
        <v>11</v>
      </c>
      <c r="N2" s="12" t="s">
        <v>12</v>
      </c>
      <c r="P2" s="17" t="s">
        <v>11</v>
      </c>
      <c r="Q2" s="9" t="s">
        <v>12</v>
      </c>
      <c r="R2" s="9"/>
      <c r="S2" s="9" t="s">
        <v>21</v>
      </c>
      <c r="T2" s="12" t="s">
        <v>12</v>
      </c>
    </row>
    <row r="3" spans="1:26" x14ac:dyDescent="0.25">
      <c r="A3" t="s">
        <v>41</v>
      </c>
      <c r="B3" s="1">
        <v>47.5</v>
      </c>
      <c r="E3">
        <f>B6*B8/2</f>
        <v>144.9</v>
      </c>
      <c r="F3">
        <f>E3</f>
        <v>144.9</v>
      </c>
      <c r="H3" s="17">
        <f>E3+(C8*B10*B7)/B3</f>
        <v>254.71894736842108</v>
      </c>
      <c r="I3" s="9">
        <f>F3-(C8*B10*B7)/B3</f>
        <v>35.081052631578942</v>
      </c>
      <c r="J3" s="9"/>
      <c r="K3" s="9">
        <f>B10*B7/B3</f>
        <v>0.37894736842105264</v>
      </c>
      <c r="L3" s="9"/>
      <c r="M3" s="9">
        <f>5.45*(10^-10)*(H3^4)-4.9408*(10^-7)*(H3^3)+1.529*(10^-4)*(H3^2)-2.087*(10^-2)*H3+4.0415</f>
        <v>2.7747209898349938</v>
      </c>
      <c r="N3" s="12">
        <f>5.45*(10^-10)*(I3^4)-4.9408*(10^-7)*(I3^3)+1.529*(10^-4)*(I3^2)-2.087*(10^-2)*I3+4.0415</f>
        <v>3.477023693234901</v>
      </c>
      <c r="P3" s="17">
        <f>E3-((B7/B5)*B6*B11)/2</f>
        <v>54.900000000000006</v>
      </c>
      <c r="Q3" s="9">
        <f>P3</f>
        <v>54.900000000000006</v>
      </c>
      <c r="R3" s="9"/>
      <c r="S3" s="9">
        <f>(-1.02*10^-7)*P3^3+5.57*(10^-5)*P3^2-1.25*(10^-2)*P3+4.17</f>
        <v>3.6347525038019999</v>
      </c>
      <c r="T3" s="12">
        <f>S3</f>
        <v>3.6347525038019999</v>
      </c>
    </row>
    <row r="4" spans="1:26" x14ac:dyDescent="0.25">
      <c r="A4" t="s">
        <v>42</v>
      </c>
      <c r="B4" s="1">
        <v>45.5</v>
      </c>
      <c r="E4" t="s">
        <v>13</v>
      </c>
      <c r="F4" t="s">
        <v>14</v>
      </c>
      <c r="H4" s="17" t="s">
        <v>13</v>
      </c>
      <c r="I4" s="9" t="s">
        <v>14</v>
      </c>
      <c r="J4" s="9"/>
      <c r="K4" s="9"/>
      <c r="L4" s="9"/>
      <c r="M4" s="9" t="s">
        <v>13</v>
      </c>
      <c r="N4" s="12" t="s">
        <v>14</v>
      </c>
      <c r="P4" s="17" t="s">
        <v>13</v>
      </c>
      <c r="Q4" s="9" t="s">
        <v>14</v>
      </c>
      <c r="R4" s="9"/>
      <c r="S4" s="9" t="s">
        <v>13</v>
      </c>
      <c r="T4" s="12" t="s">
        <v>14</v>
      </c>
    </row>
    <row r="5" spans="1:26" ht="15.75" thickBot="1" x14ac:dyDescent="0.3">
      <c r="A5" t="s">
        <v>1</v>
      </c>
      <c r="B5" s="1">
        <v>63</v>
      </c>
      <c r="E5">
        <f>B6*B9/2</f>
        <v>170.10000000000002</v>
      </c>
      <c r="F5">
        <f>E5</f>
        <v>170.10000000000002</v>
      </c>
      <c r="H5" s="18">
        <f>E5+(C9*B10*B7)/B4</f>
        <v>304.68461538461543</v>
      </c>
      <c r="I5" s="13">
        <f>F5-(C9*B10*B7)/B4</f>
        <v>35.515384615384619</v>
      </c>
      <c r="J5" s="13"/>
      <c r="K5" s="13">
        <f>B10*B7/B4</f>
        <v>0.39560439560439559</v>
      </c>
      <c r="L5" s="13"/>
      <c r="M5" s="13">
        <f>5.45*(10^-10)*(H5^4)-4.9408*(10^-7)*(H5^3)+1.529*(10^-4)*(H5^2)-2.087*(10^-2)*H5+4.0415</f>
        <v>2.5987121480247897</v>
      </c>
      <c r="N5" s="16">
        <f>5.45*(10^-10)*(I5^4)-4.9408*(10^-7)*(I5^3)+1.529*(10^-4)*(I5^2)-2.087*(10^-2)*I5+4.0415</f>
        <v>3.4718869507758434</v>
      </c>
      <c r="P5" s="18">
        <f>E5+((B7/B5)*B6*B11)/2</f>
        <v>260.10000000000002</v>
      </c>
      <c r="Q5" s="13">
        <f>P5</f>
        <v>260.10000000000002</v>
      </c>
      <c r="R5" s="13"/>
      <c r="S5" s="13">
        <f>(-1.02*10^-7)*P5^3+5.57*(10^-5)*P5^2-1.25*(10^-2)*P5+4.17</f>
        <v>2.892145601298</v>
      </c>
      <c r="T5" s="16">
        <f>S5</f>
        <v>2.892145601298</v>
      </c>
    </row>
    <row r="6" spans="1:26" ht="15.75" thickBot="1" x14ac:dyDescent="0.3">
      <c r="A6" t="s">
        <v>22</v>
      </c>
      <c r="B6" s="1">
        <v>630</v>
      </c>
      <c r="U6" s="22" t="s">
        <v>55</v>
      </c>
      <c r="Y6" s="22" t="s">
        <v>54</v>
      </c>
    </row>
    <row r="7" spans="1:26" x14ac:dyDescent="0.25">
      <c r="A7" t="s">
        <v>2</v>
      </c>
      <c r="B7" s="1">
        <v>12</v>
      </c>
      <c r="K7" t="s">
        <v>31</v>
      </c>
      <c r="L7" t="s">
        <v>36</v>
      </c>
      <c r="M7" t="s">
        <v>37</v>
      </c>
      <c r="N7" t="s">
        <v>38</v>
      </c>
      <c r="S7" s="6" t="s">
        <v>31</v>
      </c>
      <c r="T7" s="7"/>
      <c r="U7" s="7" t="s">
        <v>51</v>
      </c>
      <c r="V7" s="7"/>
      <c r="W7" s="24" t="s">
        <v>52</v>
      </c>
      <c r="X7" s="24"/>
      <c r="Y7" s="7" t="s">
        <v>30</v>
      </c>
      <c r="Z7" s="8" t="s">
        <v>29</v>
      </c>
    </row>
    <row r="8" spans="1:26" x14ac:dyDescent="0.25">
      <c r="A8" t="s">
        <v>3</v>
      </c>
      <c r="B8" s="1">
        <v>0.46</v>
      </c>
      <c r="C8">
        <f>B8*B6</f>
        <v>289.8</v>
      </c>
      <c r="I8" t="s">
        <v>30</v>
      </c>
      <c r="J8" s="4">
        <f>K8/C8</f>
        <v>2.8597365802465613</v>
      </c>
      <c r="K8">
        <f>M3*H3+N3*I3</f>
        <v>828.75166095545353</v>
      </c>
      <c r="L8">
        <f>K8*B8/B9</f>
        <v>705.97363711020114</v>
      </c>
      <c r="M8" s="3">
        <f>L8/C8</f>
        <v>2.4360719016915153</v>
      </c>
      <c r="N8" s="5">
        <f>K8/C8</f>
        <v>2.8597365802465613</v>
      </c>
      <c r="P8" s="9"/>
      <c r="Q8" s="19"/>
      <c r="S8" s="17">
        <f>S3*P3+Q3*T3</f>
        <v>399.09582491745965</v>
      </c>
      <c r="T8" s="19"/>
      <c r="U8" s="19">
        <f>S8/C8</f>
        <v>1.3771422529933044</v>
      </c>
      <c r="V8" s="9"/>
      <c r="W8" s="11" t="s">
        <v>49</v>
      </c>
      <c r="X8" s="11">
        <f>(S8+S9)/B6</f>
        <v>3.0215713757344118</v>
      </c>
      <c r="Y8" s="9">
        <f>S8/(S8+S9)</f>
        <v>0.20965430155458351</v>
      </c>
      <c r="Z8" s="12">
        <f>S9/(S8+S9)</f>
        <v>0.79034569844541658</v>
      </c>
    </row>
    <row r="9" spans="1:26" ht="15.75" thickBot="1" x14ac:dyDescent="0.3">
      <c r="A9" t="s">
        <v>23</v>
      </c>
      <c r="B9">
        <f>(1-B8)</f>
        <v>0.54</v>
      </c>
      <c r="C9">
        <f>B9*B6</f>
        <v>340.20000000000005</v>
      </c>
      <c r="G9" s="2"/>
      <c r="I9" t="s">
        <v>29</v>
      </c>
      <c r="J9" s="3">
        <f>K9/C9</f>
        <v>2.6898677593009985</v>
      </c>
      <c r="K9">
        <f>M5*H5+I5*N5</f>
        <v>915.09301171419986</v>
      </c>
      <c r="L9">
        <f>K9*B9/B8</f>
        <v>1074.2396224471042</v>
      </c>
      <c r="M9" s="4">
        <f>L9/C9</f>
        <v>3.1576708478750857</v>
      </c>
      <c r="N9" s="5">
        <f>K9/C9</f>
        <v>2.6898677593009985</v>
      </c>
      <c r="P9" s="9"/>
      <c r="Q9" s="19"/>
      <c r="S9" s="18">
        <f>S5*P5+Q5*T5</f>
        <v>1504.4941417952198</v>
      </c>
      <c r="T9" s="20"/>
      <c r="U9" s="20">
        <f>S9/C9</f>
        <v>4.42238136918054</v>
      </c>
      <c r="V9" s="13"/>
      <c r="W9" s="15" t="s">
        <v>50</v>
      </c>
      <c r="X9" s="15">
        <f>S9/B6</f>
        <v>2.3880859393574916</v>
      </c>
      <c r="Y9" s="13"/>
      <c r="Z9" s="16"/>
    </row>
    <row r="10" spans="1:26" x14ac:dyDescent="0.25">
      <c r="A10" t="s">
        <v>4</v>
      </c>
      <c r="B10" s="1">
        <v>1.5</v>
      </c>
      <c r="P10" s="9"/>
    </row>
    <row r="11" spans="1:26" x14ac:dyDescent="0.25">
      <c r="A11" t="s">
        <v>5</v>
      </c>
      <c r="B11" s="1">
        <v>1.5</v>
      </c>
      <c r="C11" s="22" t="s">
        <v>53</v>
      </c>
      <c r="M11" s="22" t="s">
        <v>39</v>
      </c>
    </row>
    <row r="12" spans="1:26" x14ac:dyDescent="0.25">
      <c r="D12" t="s">
        <v>33</v>
      </c>
      <c r="E12" t="s">
        <v>40</v>
      </c>
      <c r="F12" t="s">
        <v>34</v>
      </c>
      <c r="G12" t="s">
        <v>35</v>
      </c>
      <c r="H12" t="s">
        <v>45</v>
      </c>
      <c r="I12" s="22" t="s">
        <v>43</v>
      </c>
      <c r="O12" t="s">
        <v>63</v>
      </c>
      <c r="P12" t="s">
        <v>50</v>
      </c>
      <c r="R12" t="s">
        <v>58</v>
      </c>
      <c r="U12" t="s">
        <v>56</v>
      </c>
      <c r="V12" t="s">
        <v>57</v>
      </c>
      <c r="W12" t="s">
        <v>50</v>
      </c>
      <c r="X12" t="s">
        <v>60</v>
      </c>
      <c r="Y12" t="s">
        <v>58</v>
      </c>
      <c r="Z12" t="s">
        <v>60</v>
      </c>
    </row>
    <row r="13" spans="1:26" x14ac:dyDescent="0.25">
      <c r="A13" t="s">
        <v>6</v>
      </c>
      <c r="D13">
        <v>630</v>
      </c>
      <c r="E13">
        <f>D13-150</f>
        <v>480</v>
      </c>
      <c r="F13">
        <v>2.69</v>
      </c>
      <c r="G13">
        <v>2.86</v>
      </c>
      <c r="H13">
        <f>(G13-F13)/F13*100</f>
        <v>6.3197026022304819</v>
      </c>
      <c r="I13" t="s">
        <v>32</v>
      </c>
      <c r="O13">
        <v>63</v>
      </c>
      <c r="P13">
        <v>2.3879999999999999</v>
      </c>
      <c r="R13">
        <v>3.109</v>
      </c>
      <c r="U13">
        <v>630</v>
      </c>
      <c r="V13">
        <f>U13-150</f>
        <v>480</v>
      </c>
      <c r="W13">
        <v>2.3879999999999999</v>
      </c>
      <c r="X13" t="s">
        <v>59</v>
      </c>
      <c r="Y13">
        <v>3.02</v>
      </c>
      <c r="Z13" t="s">
        <v>59</v>
      </c>
    </row>
    <row r="14" spans="1:26" x14ac:dyDescent="0.25">
      <c r="A14" t="s">
        <v>7</v>
      </c>
      <c r="D14">
        <v>580</v>
      </c>
      <c r="E14">
        <f t="shared" ref="E14:E17" si="0">D14-150</f>
        <v>430</v>
      </c>
      <c r="F14">
        <v>2.77</v>
      </c>
      <c r="G14">
        <v>2.91</v>
      </c>
      <c r="H14">
        <f>(G14-F14)/F14*100</f>
        <v>5.0541516245487408</v>
      </c>
      <c r="I14">
        <f>(F14-F13)/F13*100</f>
        <v>2.9739776951672887</v>
      </c>
      <c r="J14" t="s">
        <v>26</v>
      </c>
      <c r="O14">
        <v>60</v>
      </c>
      <c r="P14">
        <v>2.4129999999999998</v>
      </c>
      <c r="Q14" s="23">
        <f>(P14-P13)/P13</f>
        <v>1.0469011725293095E-2</v>
      </c>
      <c r="R14">
        <v>3.097</v>
      </c>
      <c r="S14" s="23">
        <f>(R14-R13)/R13</f>
        <v>-3.8597619813444872E-3</v>
      </c>
      <c r="U14">
        <v>580</v>
      </c>
      <c r="V14">
        <f t="shared" ref="V14:V17" si="1">U14-150</f>
        <v>430</v>
      </c>
      <c r="W14">
        <v>2.452</v>
      </c>
      <c r="X14" s="23">
        <f>(W14-W13)/W13</f>
        <v>2.6800670016750443E-2</v>
      </c>
      <c r="Y14">
        <v>3.09</v>
      </c>
      <c r="Z14" s="23">
        <f>(Y14-Y13)/Y13</f>
        <v>2.3178807947019816E-2</v>
      </c>
    </row>
    <row r="15" spans="1:26" x14ac:dyDescent="0.25">
      <c r="A15" t="s">
        <v>8</v>
      </c>
      <c r="D15">
        <v>530</v>
      </c>
      <c r="E15">
        <f t="shared" si="0"/>
        <v>380</v>
      </c>
      <c r="F15">
        <v>2.85</v>
      </c>
      <c r="G15">
        <v>2.96</v>
      </c>
      <c r="H15">
        <f>(G15-F15)/F15*100</f>
        <v>3.8596491228070127</v>
      </c>
      <c r="I15">
        <f t="shared" ref="I15:I17" si="2">(F15-F14)/F14*100</f>
        <v>2.8880866425992804</v>
      </c>
      <c r="J15" t="s">
        <v>26</v>
      </c>
      <c r="U15">
        <v>530</v>
      </c>
      <c r="V15">
        <f t="shared" si="1"/>
        <v>380</v>
      </c>
      <c r="W15">
        <v>2.504</v>
      </c>
      <c r="X15" s="23">
        <f t="shared" ref="X15:X17" si="3">(W15-W14)/W14</f>
        <v>2.1207177814029383E-2</v>
      </c>
      <c r="Y15">
        <v>3.15</v>
      </c>
      <c r="Z15" s="23">
        <f t="shared" ref="Z15:Z17" si="4">(Y15-Y14)/Y14</f>
        <v>1.9417475728155359E-2</v>
      </c>
    </row>
    <row r="16" spans="1:26" x14ac:dyDescent="0.25">
      <c r="A16" t="s">
        <v>9</v>
      </c>
      <c r="D16">
        <v>480</v>
      </c>
      <c r="E16">
        <f t="shared" si="0"/>
        <v>330</v>
      </c>
      <c r="F16">
        <v>2.915</v>
      </c>
      <c r="G16">
        <v>2.9929999999999999</v>
      </c>
      <c r="H16">
        <f t="shared" ref="H16:H17" si="5">(G16-F16)/F16*100</f>
        <v>2.6758147512864441</v>
      </c>
      <c r="I16">
        <f t="shared" si="2"/>
        <v>2.2807017543859631</v>
      </c>
      <c r="J16" t="s">
        <v>26</v>
      </c>
      <c r="U16">
        <v>480</v>
      </c>
      <c r="V16">
        <f t="shared" si="1"/>
        <v>330</v>
      </c>
      <c r="W16">
        <v>2.5485000000000002</v>
      </c>
      <c r="X16" s="23">
        <f t="shared" si="3"/>
        <v>1.7771565495207749E-2</v>
      </c>
      <c r="Y16">
        <v>3.2</v>
      </c>
      <c r="Z16" s="23">
        <f t="shared" si="4"/>
        <v>1.5873015873015959E-2</v>
      </c>
    </row>
    <row r="17" spans="1:26" x14ac:dyDescent="0.25">
      <c r="A17" t="s">
        <v>10</v>
      </c>
      <c r="D17">
        <v>430</v>
      </c>
      <c r="E17">
        <f t="shared" si="0"/>
        <v>280</v>
      </c>
      <c r="F17">
        <v>2.9660000000000002</v>
      </c>
      <c r="G17">
        <v>3.02</v>
      </c>
      <c r="H17">
        <f t="shared" si="5"/>
        <v>1.8206338503034329</v>
      </c>
      <c r="I17">
        <f t="shared" si="2"/>
        <v>1.7495711835334531</v>
      </c>
      <c r="J17" t="s">
        <v>26</v>
      </c>
      <c r="U17">
        <v>430</v>
      </c>
      <c r="V17">
        <f t="shared" si="1"/>
        <v>280</v>
      </c>
      <c r="W17">
        <v>2.59</v>
      </c>
      <c r="X17" s="23">
        <f t="shared" si="3"/>
        <v>1.6284088679615321E-2</v>
      </c>
      <c r="Y17">
        <v>3.2469999999999999</v>
      </c>
      <c r="Z17" s="23">
        <f t="shared" si="4"/>
        <v>1.4687499999999909E-2</v>
      </c>
    </row>
    <row r="18" spans="1:26" x14ac:dyDescent="0.25">
      <c r="I18">
        <f>(F13-F17)/F13*100</f>
        <v>-10.260223048327147</v>
      </c>
      <c r="J18" t="s">
        <v>78</v>
      </c>
    </row>
    <row r="21" spans="1:26" x14ac:dyDescent="0.25">
      <c r="A21" t="s">
        <v>28</v>
      </c>
      <c r="E21" t="s">
        <v>2</v>
      </c>
      <c r="F21" t="s">
        <v>30</v>
      </c>
      <c r="H21" t="s">
        <v>29</v>
      </c>
      <c r="J21" t="s">
        <v>50</v>
      </c>
    </row>
    <row r="22" spans="1:26" x14ac:dyDescent="0.25">
      <c r="A22" t="s">
        <v>15</v>
      </c>
      <c r="E22">
        <v>12</v>
      </c>
      <c r="F22">
        <v>2.859</v>
      </c>
      <c r="G22" t="s">
        <v>26</v>
      </c>
      <c r="H22">
        <v>2.6890000000000001</v>
      </c>
      <c r="J22">
        <v>2.3879999999999999</v>
      </c>
    </row>
    <row r="23" spans="1:26" x14ac:dyDescent="0.25">
      <c r="A23" t="s">
        <v>16</v>
      </c>
      <c r="B23" t="s">
        <v>17</v>
      </c>
      <c r="C23" t="s">
        <v>44</v>
      </c>
      <c r="E23">
        <v>11</v>
      </c>
      <c r="F23">
        <v>2.8898000000000001</v>
      </c>
      <c r="G23" s="23">
        <f>(F23-F22)/F22</f>
        <v>1.0772997551591522E-2</v>
      </c>
      <c r="H23">
        <v>2.7376999999999998</v>
      </c>
      <c r="I23" s="23">
        <f>(H23-H22)/H22</f>
        <v>1.8110821866864909E-2</v>
      </c>
      <c r="J23">
        <v>2.3439999999999999</v>
      </c>
      <c r="K23" s="23">
        <f>(J23-J22)/J22</f>
        <v>-1.8425460636515931E-2</v>
      </c>
    </row>
    <row r="24" spans="1:26" x14ac:dyDescent="0.25">
      <c r="A24">
        <v>43.92</v>
      </c>
      <c r="B24">
        <v>3.38</v>
      </c>
      <c r="C24">
        <v>3.35</v>
      </c>
      <c r="E24">
        <v>10</v>
      </c>
      <c r="F24">
        <v>2.9129999999999998</v>
      </c>
      <c r="G24" s="23">
        <f t="shared" ref="G24:G25" si="6">(F24-F23)/F23</f>
        <v>8.0282372482523585E-3</v>
      </c>
      <c r="H24">
        <v>2.7787999999999999</v>
      </c>
      <c r="I24" s="23">
        <f t="shared" ref="I24:I25" si="7">(H24-H23)/H23</f>
        <v>1.5012601819045235E-2</v>
      </c>
      <c r="J24">
        <v>2.2957000000000001</v>
      </c>
      <c r="K24" s="23">
        <f t="shared" ref="K24:K25" si="8">(J24-J23)/J23</f>
        <v>-2.060580204778148E-2</v>
      </c>
    </row>
    <row r="25" spans="1:26" x14ac:dyDescent="0.25">
      <c r="A25">
        <v>97.93</v>
      </c>
      <c r="B25">
        <v>3.05</v>
      </c>
      <c r="C25">
        <v>3.01</v>
      </c>
      <c r="E25">
        <v>9</v>
      </c>
      <c r="F25">
        <v>2.93</v>
      </c>
      <c r="G25" s="23">
        <f t="shared" si="6"/>
        <v>5.8359079986269654E-3</v>
      </c>
      <c r="H25" s="2">
        <v>2.8140000000000001</v>
      </c>
      <c r="I25" s="23">
        <f t="shared" si="7"/>
        <v>1.2667338419461681E-2</v>
      </c>
      <c r="J25">
        <v>2.2450000000000001</v>
      </c>
      <c r="K25" s="23">
        <f t="shared" si="8"/>
        <v>-2.2084767173411145E-2</v>
      </c>
    </row>
    <row r="26" spans="1:26" x14ac:dyDescent="0.25">
      <c r="A26">
        <v>149.4</v>
      </c>
      <c r="B26">
        <v>2.96</v>
      </c>
      <c r="C26">
        <v>2.9</v>
      </c>
    </row>
    <row r="27" spans="1:26" x14ac:dyDescent="0.25">
      <c r="A27">
        <v>201.89</v>
      </c>
      <c r="B27">
        <v>2.9</v>
      </c>
      <c r="C27">
        <v>2.78</v>
      </c>
    </row>
    <row r="28" spans="1:26" x14ac:dyDescent="0.25">
      <c r="A28">
        <v>246.74</v>
      </c>
      <c r="B28">
        <v>2.8</v>
      </c>
      <c r="C28">
        <v>2.7</v>
      </c>
    </row>
    <row r="30" spans="1:26" x14ac:dyDescent="0.25">
      <c r="N30" t="s">
        <v>62</v>
      </c>
    </row>
    <row r="31" spans="1:26" x14ac:dyDescent="0.25">
      <c r="N31" t="s">
        <v>29</v>
      </c>
      <c r="O31" t="s">
        <v>58</v>
      </c>
      <c r="Q31" t="s">
        <v>50</v>
      </c>
      <c r="S31" t="s">
        <v>61</v>
      </c>
    </row>
    <row r="32" spans="1:26" x14ac:dyDescent="0.25">
      <c r="N32">
        <v>0.5</v>
      </c>
      <c r="O32">
        <v>3.07</v>
      </c>
      <c r="P32" t="s">
        <v>26</v>
      </c>
      <c r="Q32">
        <v>2.31</v>
      </c>
      <c r="R32" t="s">
        <v>26</v>
      </c>
      <c r="S32">
        <v>2.77</v>
      </c>
      <c r="T32" t="s">
        <v>26</v>
      </c>
    </row>
    <row r="33" spans="1:20" x14ac:dyDescent="0.25">
      <c r="N33">
        <v>0.54</v>
      </c>
      <c r="O33">
        <v>3.11</v>
      </c>
      <c r="P33" s="23">
        <f>(O33-O32)/O32</f>
        <v>1.3029315960912065E-2</v>
      </c>
      <c r="Q33">
        <v>2.38</v>
      </c>
      <c r="R33" s="23">
        <f>(Q33-Q32)/Q32</f>
        <v>3.0303030303030234E-2</v>
      </c>
      <c r="S33">
        <v>2.69</v>
      </c>
      <c r="T33" s="23">
        <f>(S33-S32)/S32</f>
        <v>-2.8880866425992805E-2</v>
      </c>
    </row>
    <row r="34" spans="1:20" x14ac:dyDescent="0.25">
      <c r="N34">
        <v>0.6</v>
      </c>
      <c r="O34">
        <v>3.1469999999999998</v>
      </c>
      <c r="P34" s="23">
        <f t="shared" ref="P34:P35" si="9">(O34-O33)/O33</f>
        <v>1.1897106109324734E-2</v>
      </c>
      <c r="Q34">
        <v>2.48</v>
      </c>
      <c r="R34" s="23">
        <f t="shared" ref="R34:R35" si="10">(Q34-Q33)/Q33</f>
        <v>4.2016806722689114E-2</v>
      </c>
      <c r="S34">
        <v>2.5859999999999999</v>
      </c>
      <c r="T34" s="23">
        <f t="shared" ref="T34:T35" si="11">(S34-S33)/S33</f>
        <v>-3.8661710037174758E-2</v>
      </c>
    </row>
    <row r="35" spans="1:20" x14ac:dyDescent="0.25">
      <c r="N35">
        <v>0.65</v>
      </c>
      <c r="O35">
        <v>3.1659999999999999</v>
      </c>
      <c r="P35" s="23">
        <f t="shared" si="9"/>
        <v>6.0374960279631802E-3</v>
      </c>
      <c r="Q35">
        <v>2.5390000000000001</v>
      </c>
      <c r="R35" s="23">
        <f t="shared" si="10"/>
        <v>2.3790322580645229E-2</v>
      </c>
      <c r="S35">
        <v>2.54</v>
      </c>
      <c r="T35" s="23">
        <f t="shared" si="11"/>
        <v>-1.7788089713843706E-2</v>
      </c>
    </row>
    <row r="36" spans="1:20" x14ac:dyDescent="0.25">
      <c r="O36">
        <v>0.6</v>
      </c>
    </row>
    <row r="48" spans="1:20" x14ac:dyDescent="0.25">
      <c r="A48" t="s">
        <v>47</v>
      </c>
    </row>
    <row r="49" spans="1:2" x14ac:dyDescent="0.25">
      <c r="A49" t="s">
        <v>48</v>
      </c>
      <c r="B49" t="s">
        <v>18</v>
      </c>
    </row>
    <row r="51" spans="1:2" x14ac:dyDescent="0.25">
      <c r="A51">
        <v>54</v>
      </c>
      <c r="B51">
        <v>3.64</v>
      </c>
    </row>
    <row r="52" spans="1:2" x14ac:dyDescent="0.25">
      <c r="A52">
        <v>132.19999999999999</v>
      </c>
      <c r="B52">
        <v>3.26</v>
      </c>
    </row>
    <row r="53" spans="1:2" x14ac:dyDescent="0.25">
      <c r="A53">
        <v>176.11</v>
      </c>
      <c r="B53">
        <v>3.13</v>
      </c>
    </row>
    <row r="54" spans="1:2" x14ac:dyDescent="0.25">
      <c r="A54">
        <v>223.4</v>
      </c>
      <c r="B54">
        <v>3.03</v>
      </c>
    </row>
    <row r="55" spans="1:2" x14ac:dyDescent="0.25">
      <c r="A55">
        <v>246.71</v>
      </c>
      <c r="B55">
        <v>2.94</v>
      </c>
    </row>
  </sheetData>
  <conditionalFormatting sqref="N8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cellWatches>
    <cellWatch r="N8"/>
    <cellWatch r="N9"/>
    <cellWatch r="X9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1"/>
  <sheetViews>
    <sheetView topLeftCell="J7" zoomScaleNormal="100" workbookViewId="0">
      <selection activeCell="K79" sqref="K79"/>
    </sheetView>
  </sheetViews>
  <sheetFormatPr defaultRowHeight="15" x14ac:dyDescent="0.25"/>
  <cols>
    <col min="1" max="1" width="14.5703125" customWidth="1"/>
    <col min="3" max="3" width="19.5703125" customWidth="1"/>
    <col min="4" max="4" width="16.7109375" customWidth="1"/>
    <col min="6" max="6" width="9.7109375" customWidth="1"/>
    <col min="7" max="7" width="15.28515625" customWidth="1"/>
    <col min="11" max="11" width="35.5703125" customWidth="1"/>
    <col min="12" max="12" width="30.28515625" customWidth="1"/>
    <col min="13" max="13" width="14.7109375" customWidth="1"/>
    <col min="14" max="14" width="15.5703125" customWidth="1"/>
    <col min="18" max="18" width="12.5703125" customWidth="1"/>
    <col min="19" max="19" width="15.7109375" customWidth="1"/>
  </cols>
  <sheetData>
    <row r="1" spans="1:26" x14ac:dyDescent="0.25">
      <c r="A1" t="s">
        <v>0</v>
      </c>
      <c r="C1" s="6" t="s">
        <v>46</v>
      </c>
      <c r="D1" s="7"/>
      <c r="E1" s="7"/>
      <c r="F1" s="7" t="s">
        <v>20</v>
      </c>
      <c r="G1" s="8"/>
      <c r="H1" s="6" t="s">
        <v>64</v>
      </c>
      <c r="I1" s="7"/>
      <c r="J1" s="7"/>
      <c r="K1" s="7" t="s">
        <v>65</v>
      </c>
      <c r="L1" s="7"/>
      <c r="M1" s="7" t="s">
        <v>19</v>
      </c>
      <c r="N1" s="8"/>
    </row>
    <row r="2" spans="1:26" x14ac:dyDescent="0.25">
      <c r="A2" t="s">
        <v>27</v>
      </c>
      <c r="C2" s="17" t="s">
        <v>11</v>
      </c>
      <c r="D2" s="9" t="s">
        <v>12</v>
      </c>
      <c r="E2" s="9"/>
      <c r="F2" s="9" t="s">
        <v>21</v>
      </c>
      <c r="G2" s="12" t="s">
        <v>12</v>
      </c>
      <c r="H2" s="17" t="s">
        <v>11</v>
      </c>
      <c r="I2" s="9" t="s">
        <v>12</v>
      </c>
      <c r="J2" s="9"/>
      <c r="K2" s="9" t="s">
        <v>26</v>
      </c>
      <c r="L2" s="9"/>
      <c r="M2" s="9" t="s">
        <v>11</v>
      </c>
      <c r="N2" s="12" t="s">
        <v>12</v>
      </c>
    </row>
    <row r="3" spans="1:26" x14ac:dyDescent="0.25">
      <c r="A3" t="s">
        <v>41</v>
      </c>
      <c r="B3" s="1">
        <v>47.5</v>
      </c>
      <c r="C3" s="17">
        <f>F8-((B7/B5)*B6*B11)/2</f>
        <v>144.9</v>
      </c>
      <c r="D3" s="9">
        <f>C3</f>
        <v>144.9</v>
      </c>
      <c r="E3" s="9"/>
      <c r="F3" s="9">
        <f>(-1.02*10^-7)*C3^3+5.57*(10^-5)*C3^2-1.25*(10^-2)*C3+4.17</f>
        <v>3.2179109284019995</v>
      </c>
      <c r="G3" s="12">
        <f>F3</f>
        <v>3.2179109284019995</v>
      </c>
      <c r="H3" s="17">
        <f>IF(C3+(C8*B10*B7)/B3&lt;0,0,C3+(C8*B10*B7)/B3)</f>
        <v>254.71894736842108</v>
      </c>
      <c r="I3" s="9">
        <f>IF(D3-(C8*B10*B7)/B3&lt;0,0,D3-(C8*B10*B7)/B3)</f>
        <v>35.081052631578942</v>
      </c>
      <c r="J3" s="9"/>
      <c r="K3" s="9">
        <f>B10*B7/B3</f>
        <v>0.37894736842105264</v>
      </c>
      <c r="L3" s="9"/>
      <c r="M3" s="9">
        <f>5.45*(10^-10)*(H3^4)-4.9408*(10^-7)*(H3^3)+1.529*(10^-4)*(H3^2)-2.087*(10^-2)*H3+4.0415</f>
        <v>2.7747209898349938</v>
      </c>
      <c r="N3" s="12">
        <f>5.45*(10^-10)*(I3^4)-4.9408*(10^-7)*(I3^3)+1.529*(10^-4)*(I3^2)-2.087*(10^-2)*I3+4.0415</f>
        <v>3.477023693234901</v>
      </c>
    </row>
    <row r="4" spans="1:26" x14ac:dyDescent="0.25">
      <c r="A4" t="s">
        <v>42</v>
      </c>
      <c r="B4" s="1">
        <v>45.5</v>
      </c>
      <c r="C4" s="17" t="s">
        <v>13</v>
      </c>
      <c r="D4" s="9" t="s">
        <v>14</v>
      </c>
      <c r="E4" s="9"/>
      <c r="F4" s="9" t="s">
        <v>13</v>
      </c>
      <c r="G4" s="12" t="s">
        <v>14</v>
      </c>
      <c r="H4" s="17" t="s">
        <v>13</v>
      </c>
      <c r="I4" s="9" t="s">
        <v>14</v>
      </c>
      <c r="J4" s="9"/>
      <c r="K4" s="9"/>
      <c r="L4" s="9"/>
      <c r="M4" s="9" t="s">
        <v>13</v>
      </c>
      <c r="N4" s="12" t="s">
        <v>14</v>
      </c>
    </row>
    <row r="5" spans="1:26" ht="15.75" thickBot="1" x14ac:dyDescent="0.3">
      <c r="A5" t="s">
        <v>1</v>
      </c>
      <c r="B5" s="1">
        <v>63</v>
      </c>
      <c r="C5" s="18">
        <f>F10+((B7/B5)*B6*B11)/2</f>
        <v>170.10000000000002</v>
      </c>
      <c r="D5" s="13">
        <f>C5</f>
        <v>170.10000000000002</v>
      </c>
      <c r="E5" s="13"/>
      <c r="F5" s="13">
        <f>(-1.02*10^-7)*C5^3+5.57*(10^-5)*C5^2-1.25*(10^-2)*C5+4.17</f>
        <v>3.1533634966980002</v>
      </c>
      <c r="G5" s="16">
        <f>F5</f>
        <v>3.1533634966980002</v>
      </c>
      <c r="H5" s="18">
        <f>C5+(C9*B10*B7)/B4</f>
        <v>304.68461538461543</v>
      </c>
      <c r="I5" s="13">
        <f>D5-(C9*B10*B7)/B4</f>
        <v>35.515384615384619</v>
      </c>
      <c r="J5" s="13"/>
      <c r="K5" s="13">
        <f>B10*B7/B4</f>
        <v>0.39560439560439559</v>
      </c>
      <c r="L5" s="13"/>
      <c r="M5" s="13">
        <f>5.45*(10^-10)*(H5^4)-4.9408*(10^-7)*(H5^3)+1.529*(10^-4)*(H5^2)-2.087*(10^-2)*H5+4.0415</f>
        <v>2.5987121480247897</v>
      </c>
      <c r="N5" s="16">
        <f>5.45*(10^-10)*(I5^4)-4.9408*(10^-7)*(I5^3)+1.529*(10^-4)*(I5^2)-2.087*(10^-2)*I5+4.0415</f>
        <v>3.4718869507758434</v>
      </c>
    </row>
    <row r="6" spans="1:26" ht="15.75" thickBot="1" x14ac:dyDescent="0.3">
      <c r="A6" t="s">
        <v>22</v>
      </c>
      <c r="B6" s="1">
        <v>630</v>
      </c>
      <c r="F6" t="s">
        <v>24</v>
      </c>
      <c r="U6" s="22" t="s">
        <v>55</v>
      </c>
      <c r="Y6" s="22" t="s">
        <v>54</v>
      </c>
    </row>
    <row r="7" spans="1:26" x14ac:dyDescent="0.25">
      <c r="A7" t="s">
        <v>2</v>
      </c>
      <c r="B7" s="1">
        <v>12</v>
      </c>
      <c r="C7" t="s">
        <v>68</v>
      </c>
      <c r="D7" t="s">
        <v>69</v>
      </c>
      <c r="F7" t="s">
        <v>11</v>
      </c>
      <c r="G7" t="s">
        <v>12</v>
      </c>
      <c r="I7" s="26" t="s">
        <v>66</v>
      </c>
      <c r="J7" s="7"/>
      <c r="K7" s="7" t="s">
        <v>31</v>
      </c>
      <c r="L7" s="7" t="s">
        <v>36</v>
      </c>
      <c r="M7" s="7" t="s">
        <v>37</v>
      </c>
      <c r="N7" s="7" t="s">
        <v>38</v>
      </c>
      <c r="O7" s="7"/>
      <c r="P7" s="8"/>
      <c r="R7" s="27" t="s">
        <v>67</v>
      </c>
      <c r="S7" s="6" t="s">
        <v>31</v>
      </c>
      <c r="T7" s="7"/>
      <c r="U7" s="7" t="s">
        <v>51</v>
      </c>
      <c r="V7" s="7"/>
      <c r="W7" s="24" t="s">
        <v>52</v>
      </c>
      <c r="X7" s="24"/>
      <c r="Y7" s="7" t="s">
        <v>30</v>
      </c>
      <c r="Z7" s="8" t="s">
        <v>29</v>
      </c>
    </row>
    <row r="8" spans="1:26" x14ac:dyDescent="0.25">
      <c r="A8" t="s">
        <v>3</v>
      </c>
      <c r="B8" s="1">
        <v>0.46</v>
      </c>
      <c r="C8">
        <f>B8*B6</f>
        <v>289.8</v>
      </c>
      <c r="D8">
        <f>C3*2</f>
        <v>289.8</v>
      </c>
      <c r="F8">
        <f>B6*B8/2</f>
        <v>144.9</v>
      </c>
      <c r="G8">
        <f>F8</f>
        <v>144.9</v>
      </c>
      <c r="I8" s="17" t="s">
        <v>30</v>
      </c>
      <c r="J8" s="21">
        <f>K8/D8</f>
        <v>2.8597365802465613</v>
      </c>
      <c r="K8" s="9">
        <f>M3*H3+N3*I3</f>
        <v>828.75166095545353</v>
      </c>
      <c r="L8" s="9">
        <f>K8*B8/B9</f>
        <v>705.97363711020114</v>
      </c>
      <c r="M8" s="10">
        <f>L8/D8</f>
        <v>2.4360719016915153</v>
      </c>
      <c r="N8" s="11">
        <f>K8/D8</f>
        <v>2.8597365802465613</v>
      </c>
      <c r="O8" s="9"/>
      <c r="P8" s="12"/>
      <c r="Q8" s="19"/>
      <c r="R8" s="28"/>
      <c r="S8" s="17">
        <f>F3*C3+D3*G3</f>
        <v>932.55058705089948</v>
      </c>
      <c r="T8" s="19"/>
      <c r="U8" s="19">
        <f>S8/C8</f>
        <v>3.2179109284019995</v>
      </c>
      <c r="V8" s="9"/>
      <c r="W8" s="11" t="s">
        <v>49</v>
      </c>
      <c r="X8" s="11">
        <f>(S8+S9)/B6</f>
        <v>3.1830553152818402</v>
      </c>
      <c r="Y8" s="9">
        <f>S8/(S8+S9)</f>
        <v>0.4650371672645135</v>
      </c>
      <c r="Z8" s="12">
        <f>S9/(S8+S9)</f>
        <v>0.53496283273548662</v>
      </c>
    </row>
    <row r="9" spans="1:26" ht="15.75" thickBot="1" x14ac:dyDescent="0.3">
      <c r="A9" t="s">
        <v>23</v>
      </c>
      <c r="B9">
        <f>(1-B8)</f>
        <v>0.54</v>
      </c>
      <c r="C9">
        <f>B9*B6</f>
        <v>340.20000000000005</v>
      </c>
      <c r="D9">
        <f>C5*2</f>
        <v>340.20000000000005</v>
      </c>
      <c r="F9" t="s">
        <v>13</v>
      </c>
      <c r="G9" t="s">
        <v>14</v>
      </c>
      <c r="I9" s="18" t="s">
        <v>29</v>
      </c>
      <c r="J9" s="25">
        <f>K9/D9</f>
        <v>2.6898677593009985</v>
      </c>
      <c r="K9" s="13">
        <f>M5*H5+I5*N5</f>
        <v>915.09301171419986</v>
      </c>
      <c r="L9" s="13">
        <f>K9*B9/B8</f>
        <v>1074.2396224471042</v>
      </c>
      <c r="M9" s="14">
        <f>L9/D9</f>
        <v>3.1576708478750857</v>
      </c>
      <c r="N9" s="15">
        <f>K9/D9</f>
        <v>2.6898677593009985</v>
      </c>
      <c r="O9" s="13"/>
      <c r="P9" s="16"/>
      <c r="Q9" s="19"/>
      <c r="R9" s="29"/>
      <c r="S9" s="18">
        <f>F5*C5+D5*G5</f>
        <v>1072.7742615766599</v>
      </c>
      <c r="T9" s="20"/>
      <c r="U9" s="20">
        <f>S9/C9</f>
        <v>3.1533634966980006</v>
      </c>
      <c r="V9" s="13"/>
      <c r="W9" s="15" t="s">
        <v>50</v>
      </c>
      <c r="X9" s="15">
        <f>S9/B6</f>
        <v>1.7028162882169204</v>
      </c>
      <c r="Y9" s="13"/>
      <c r="Z9" s="16"/>
    </row>
    <row r="10" spans="1:26" x14ac:dyDescent="0.25">
      <c r="A10" t="s">
        <v>4</v>
      </c>
      <c r="B10" s="32">
        <f>SQRT(1.5^2-(B11^2))</f>
        <v>1.5</v>
      </c>
      <c r="F10">
        <f>B6*B9/2</f>
        <v>170.10000000000002</v>
      </c>
      <c r="G10">
        <f>F10</f>
        <v>170.10000000000002</v>
      </c>
      <c r="P10" s="9"/>
    </row>
    <row r="11" spans="1:26" ht="15.75" thickBot="1" x14ac:dyDescent="0.3">
      <c r="A11" t="s">
        <v>5</v>
      </c>
      <c r="B11" s="1">
        <v>0</v>
      </c>
      <c r="C11" s="22" t="s">
        <v>53</v>
      </c>
      <c r="M11" s="22" t="s">
        <v>39</v>
      </c>
    </row>
    <row r="12" spans="1:26" x14ac:dyDescent="0.25">
      <c r="D12" s="6" t="s">
        <v>33</v>
      </c>
      <c r="E12" s="7" t="s">
        <v>40</v>
      </c>
      <c r="F12" s="7" t="s">
        <v>34</v>
      </c>
      <c r="G12" s="7" t="s">
        <v>35</v>
      </c>
      <c r="H12" s="7" t="s">
        <v>45</v>
      </c>
      <c r="I12" s="30" t="s">
        <v>43</v>
      </c>
      <c r="J12" s="7"/>
      <c r="K12" s="8"/>
      <c r="O12" t="s">
        <v>63</v>
      </c>
      <c r="P12" t="s">
        <v>50</v>
      </c>
      <c r="R12" t="s">
        <v>58</v>
      </c>
      <c r="U12" t="s">
        <v>56</v>
      </c>
      <c r="V12" t="s">
        <v>57</v>
      </c>
      <c r="W12" t="s">
        <v>50</v>
      </c>
      <c r="X12" t="s">
        <v>60</v>
      </c>
      <c r="Y12" t="s">
        <v>58</v>
      </c>
      <c r="Z12" t="s">
        <v>60</v>
      </c>
    </row>
    <row r="13" spans="1:26" x14ac:dyDescent="0.25">
      <c r="A13" t="s">
        <v>6</v>
      </c>
      <c r="D13" s="17">
        <v>630</v>
      </c>
      <c r="E13" s="9">
        <f>D13-150</f>
        <v>480</v>
      </c>
      <c r="F13" s="9">
        <v>2.69</v>
      </c>
      <c r="G13" s="9">
        <v>2.86</v>
      </c>
      <c r="H13" s="9">
        <f>(G13-F13)/F13*100</f>
        <v>6.3197026022304819</v>
      </c>
      <c r="I13" s="9" t="s">
        <v>32</v>
      </c>
      <c r="J13" s="9"/>
      <c r="K13" s="12"/>
      <c r="O13">
        <v>63</v>
      </c>
      <c r="P13">
        <v>2.3879999999999999</v>
      </c>
      <c r="R13">
        <v>3.109</v>
      </c>
      <c r="U13">
        <v>630</v>
      </c>
      <c r="V13">
        <f>U13-150</f>
        <v>480</v>
      </c>
      <c r="W13">
        <v>2.3879999999999999</v>
      </c>
      <c r="X13" t="s">
        <v>59</v>
      </c>
      <c r="Y13">
        <v>3.02</v>
      </c>
      <c r="Z13" t="s">
        <v>59</v>
      </c>
    </row>
    <row r="14" spans="1:26" x14ac:dyDescent="0.25">
      <c r="A14" t="s">
        <v>7</v>
      </c>
      <c r="D14" s="17">
        <v>580</v>
      </c>
      <c r="E14" s="9">
        <f t="shared" ref="E14:E17" si="0">D14-150</f>
        <v>430</v>
      </c>
      <c r="F14" s="9">
        <v>2.77</v>
      </c>
      <c r="G14" s="9">
        <v>2.91</v>
      </c>
      <c r="H14" s="9">
        <f>(G14-F14)/F14*100</f>
        <v>5.0541516245487408</v>
      </c>
      <c r="I14" s="9">
        <f>(F14-F13)/F13*100</f>
        <v>2.9739776951672887</v>
      </c>
      <c r="J14" s="9" t="s">
        <v>26</v>
      </c>
      <c r="K14" s="12"/>
      <c r="O14">
        <v>60</v>
      </c>
      <c r="P14">
        <v>2.4129999999999998</v>
      </c>
      <c r="Q14" s="23">
        <f>(P14-P13)/P13</f>
        <v>1.0469011725293095E-2</v>
      </c>
      <c r="R14">
        <v>3.097</v>
      </c>
      <c r="S14" s="23">
        <f>(R14-R13)/R13</f>
        <v>-3.8597619813444872E-3</v>
      </c>
      <c r="U14">
        <v>580</v>
      </c>
      <c r="V14">
        <f t="shared" ref="V14:V17" si="1">U14-150</f>
        <v>430</v>
      </c>
      <c r="W14">
        <v>2.452</v>
      </c>
      <c r="X14" s="23">
        <f>(W14-W13)/W13</f>
        <v>2.6800670016750443E-2</v>
      </c>
      <c r="Y14">
        <v>3.09</v>
      </c>
      <c r="Z14" s="23">
        <f>(Y14-Y13)/Y13</f>
        <v>2.3178807947019816E-2</v>
      </c>
    </row>
    <row r="15" spans="1:26" x14ac:dyDescent="0.25">
      <c r="A15" t="s">
        <v>8</v>
      </c>
      <c r="D15" s="17">
        <v>530</v>
      </c>
      <c r="E15" s="9">
        <f t="shared" si="0"/>
        <v>380</v>
      </c>
      <c r="F15" s="9">
        <v>2.85</v>
      </c>
      <c r="G15" s="9">
        <v>2.96</v>
      </c>
      <c r="H15" s="9">
        <f>(G15-F15)/F15*100</f>
        <v>3.8596491228070127</v>
      </c>
      <c r="I15" s="9">
        <f t="shared" ref="I15:I17" si="2">(F15-F14)/F14*100</f>
        <v>2.8880866425992804</v>
      </c>
      <c r="J15" s="9" t="s">
        <v>26</v>
      </c>
      <c r="K15" s="12"/>
      <c r="U15">
        <v>530</v>
      </c>
      <c r="V15">
        <f t="shared" si="1"/>
        <v>380</v>
      </c>
      <c r="W15">
        <v>2.504</v>
      </c>
      <c r="X15" s="23">
        <f t="shared" ref="X15:X17" si="3">(W15-W14)/W14</f>
        <v>2.1207177814029383E-2</v>
      </c>
      <c r="Y15">
        <v>3.15</v>
      </c>
      <c r="Z15" s="23">
        <f t="shared" ref="Z15:Z17" si="4">(Y15-Y14)/Y14</f>
        <v>1.9417475728155359E-2</v>
      </c>
    </row>
    <row r="16" spans="1:26" x14ac:dyDescent="0.25">
      <c r="A16" t="s">
        <v>9</v>
      </c>
      <c r="D16" s="17">
        <v>480</v>
      </c>
      <c r="E16" s="9">
        <f t="shared" si="0"/>
        <v>330</v>
      </c>
      <c r="F16" s="9">
        <v>2.915</v>
      </c>
      <c r="G16" s="9">
        <v>2.9929999999999999</v>
      </c>
      <c r="H16" s="9">
        <f t="shared" ref="H16:H17" si="5">(G16-F16)/F16*100</f>
        <v>2.6758147512864441</v>
      </c>
      <c r="I16" s="9">
        <f t="shared" si="2"/>
        <v>2.2807017543859631</v>
      </c>
      <c r="J16" s="9" t="s">
        <v>26</v>
      </c>
      <c r="K16" s="12"/>
      <c r="U16">
        <v>480</v>
      </c>
      <c r="V16">
        <f t="shared" si="1"/>
        <v>330</v>
      </c>
      <c r="W16">
        <v>2.5485000000000002</v>
      </c>
      <c r="X16" s="23">
        <f t="shared" si="3"/>
        <v>1.7771565495207749E-2</v>
      </c>
      <c r="Y16">
        <v>3.2</v>
      </c>
      <c r="Z16" s="23">
        <f t="shared" si="4"/>
        <v>1.5873015873015959E-2</v>
      </c>
    </row>
    <row r="17" spans="1:26" ht="15.75" thickBot="1" x14ac:dyDescent="0.3">
      <c r="A17" t="s">
        <v>10</v>
      </c>
      <c r="D17" s="18">
        <v>430</v>
      </c>
      <c r="E17" s="13">
        <f t="shared" si="0"/>
        <v>280</v>
      </c>
      <c r="F17" s="13">
        <v>2.9660000000000002</v>
      </c>
      <c r="G17" s="13">
        <v>3.02</v>
      </c>
      <c r="H17" s="13">
        <f t="shared" si="5"/>
        <v>1.8206338503034329</v>
      </c>
      <c r="I17" s="13">
        <f t="shared" si="2"/>
        <v>1.7495711835334531</v>
      </c>
      <c r="J17" s="13" t="s">
        <v>26</v>
      </c>
      <c r="K17" s="16"/>
      <c r="U17">
        <v>430</v>
      </c>
      <c r="V17">
        <f t="shared" si="1"/>
        <v>280</v>
      </c>
      <c r="W17">
        <v>2.59</v>
      </c>
      <c r="X17" s="23">
        <f t="shared" si="3"/>
        <v>1.6284088679615321E-2</v>
      </c>
      <c r="Y17">
        <v>3.2469999999999999</v>
      </c>
      <c r="Z17" s="23">
        <f t="shared" si="4"/>
        <v>1.4687499999999909E-2</v>
      </c>
    </row>
    <row r="19" spans="1:26" x14ac:dyDescent="0.25">
      <c r="K19" t="s">
        <v>70</v>
      </c>
    </row>
    <row r="20" spans="1:26" x14ac:dyDescent="0.25">
      <c r="A20" t="s">
        <v>76</v>
      </c>
      <c r="J20" t="s">
        <v>71</v>
      </c>
      <c r="K20" t="s">
        <v>72</v>
      </c>
      <c r="L20" t="s">
        <v>30</v>
      </c>
      <c r="M20" t="s">
        <v>29</v>
      </c>
    </row>
    <row r="21" spans="1:26" x14ac:dyDescent="0.25">
      <c r="A21" t="s">
        <v>71</v>
      </c>
      <c r="B21" t="s">
        <v>49</v>
      </c>
      <c r="C21" t="s">
        <v>30</v>
      </c>
      <c r="D21" t="s">
        <v>29</v>
      </c>
      <c r="J21">
        <f>1.5+K21</f>
        <v>0.10000000000000009</v>
      </c>
      <c r="K21">
        <v>-1.4</v>
      </c>
      <c r="L21">
        <v>2.8439999999999999</v>
      </c>
      <c r="M21">
        <v>3.093</v>
      </c>
    </row>
    <row r="22" spans="1:26" x14ac:dyDescent="0.25">
      <c r="B22">
        <v>-1.5</v>
      </c>
      <c r="C22">
        <v>2.831</v>
      </c>
      <c r="D22">
        <v>3.1193</v>
      </c>
      <c r="J22">
        <f t="shared" ref="J22:J35" si="6">1.5+K22</f>
        <v>0.19999999999999996</v>
      </c>
      <c r="K22">
        <v>-1.3</v>
      </c>
      <c r="L22">
        <v>2.8540000000000001</v>
      </c>
      <c r="M22">
        <v>3.0710000000000002</v>
      </c>
    </row>
    <row r="23" spans="1:26" x14ac:dyDescent="0.25">
      <c r="B23">
        <v>-1.25</v>
      </c>
      <c r="C23">
        <v>2.7829999999999999</v>
      </c>
      <c r="D23">
        <v>3.02</v>
      </c>
      <c r="J23">
        <f t="shared" si="6"/>
        <v>0.30000000000000004</v>
      </c>
      <c r="K23">
        <v>-1.2</v>
      </c>
      <c r="L23">
        <v>2.8610000000000002</v>
      </c>
      <c r="M23">
        <v>3.0539999999999998</v>
      </c>
    </row>
    <row r="24" spans="1:26" x14ac:dyDescent="0.25">
      <c r="B24">
        <v>-1</v>
      </c>
      <c r="C24">
        <v>2.7631000000000001</v>
      </c>
      <c r="D24">
        <v>2.9281000000000001</v>
      </c>
      <c r="J24">
        <f t="shared" si="6"/>
        <v>0.39999999999999991</v>
      </c>
      <c r="K24">
        <v>-1.1000000000000001</v>
      </c>
      <c r="L24">
        <v>2.8650000000000002</v>
      </c>
      <c r="M24">
        <v>3.0402999999999998</v>
      </c>
    </row>
    <row r="25" spans="1:26" x14ac:dyDescent="0.25">
      <c r="B25">
        <v>-0.75</v>
      </c>
      <c r="C25">
        <v>2.7679999999999998</v>
      </c>
      <c r="D25">
        <v>2.8490000000000002</v>
      </c>
      <c r="G25" s="2"/>
      <c r="J25">
        <f t="shared" si="6"/>
        <v>0.5</v>
      </c>
      <c r="K25">
        <v>-1</v>
      </c>
      <c r="L25">
        <v>2.8660000000000001</v>
      </c>
      <c r="M25">
        <v>3.028</v>
      </c>
    </row>
    <row r="26" spans="1:26" x14ac:dyDescent="0.25">
      <c r="B26">
        <v>-0.5</v>
      </c>
      <c r="C26">
        <v>2.79</v>
      </c>
      <c r="D26">
        <v>2.7845</v>
      </c>
      <c r="J26">
        <f t="shared" si="6"/>
        <v>0.59999999999999898</v>
      </c>
      <c r="K26">
        <v>-0.90000000000000102</v>
      </c>
      <c r="L26">
        <v>2.8662999999999998</v>
      </c>
      <c r="M26">
        <v>3.0162</v>
      </c>
    </row>
    <row r="27" spans="1:26" x14ac:dyDescent="0.25">
      <c r="B27">
        <v>-0.25</v>
      </c>
      <c r="C27">
        <v>2.8237000000000001</v>
      </c>
      <c r="D27">
        <v>2.7317999999999998</v>
      </c>
      <c r="J27">
        <f t="shared" si="6"/>
        <v>0.69999999999999896</v>
      </c>
      <c r="K27">
        <v>-0.80000000000000104</v>
      </c>
      <c r="L27">
        <v>2.8656999999999999</v>
      </c>
      <c r="M27">
        <v>3.0009999999999999</v>
      </c>
    </row>
    <row r="28" spans="1:26" x14ac:dyDescent="0.25">
      <c r="B28">
        <v>0</v>
      </c>
      <c r="C28">
        <v>2.859</v>
      </c>
      <c r="D28">
        <v>2.6890000000000001</v>
      </c>
      <c r="J28">
        <f t="shared" si="6"/>
        <v>0.79999999999999905</v>
      </c>
      <c r="K28">
        <v>-0.70000000000000095</v>
      </c>
      <c r="L28">
        <v>2.8650000000000002</v>
      </c>
      <c r="M28">
        <v>2.9830000000000001</v>
      </c>
    </row>
    <row r="29" spans="1:26" x14ac:dyDescent="0.25">
      <c r="J29">
        <f t="shared" si="6"/>
        <v>0.89999999999999902</v>
      </c>
      <c r="K29">
        <v>-0.60000000000000098</v>
      </c>
      <c r="L29">
        <v>2.8650000000000002</v>
      </c>
      <c r="M29">
        <v>2.9594999999999998</v>
      </c>
    </row>
    <row r="30" spans="1:26" x14ac:dyDescent="0.25">
      <c r="J30">
        <f t="shared" si="6"/>
        <v>0.999999999999999</v>
      </c>
      <c r="K30">
        <v>-0.500000000000001</v>
      </c>
      <c r="L30">
        <v>2.8658000000000001</v>
      </c>
      <c r="M30" s="31">
        <v>2.9289999999999998</v>
      </c>
      <c r="N30" t="s">
        <v>62</v>
      </c>
    </row>
    <row r="31" spans="1:26" x14ac:dyDescent="0.25">
      <c r="J31">
        <f t="shared" si="6"/>
        <v>1.099999999999999</v>
      </c>
      <c r="K31">
        <v>-0.40000000000000102</v>
      </c>
      <c r="L31">
        <v>2.8673999999999999</v>
      </c>
      <c r="M31">
        <v>2.8921999999999999</v>
      </c>
      <c r="N31" t="s">
        <v>29</v>
      </c>
      <c r="O31" t="s">
        <v>58</v>
      </c>
      <c r="Q31" t="s">
        <v>50</v>
      </c>
      <c r="S31" t="s">
        <v>61</v>
      </c>
    </row>
    <row r="32" spans="1:26" x14ac:dyDescent="0.25">
      <c r="J32">
        <f t="shared" si="6"/>
        <v>1.2</v>
      </c>
      <c r="K32">
        <v>-0.3</v>
      </c>
      <c r="L32">
        <v>2.8693399999999998</v>
      </c>
      <c r="M32">
        <v>2.8486600000000002</v>
      </c>
      <c r="N32">
        <v>0.5</v>
      </c>
      <c r="O32">
        <v>3.07</v>
      </c>
      <c r="P32" t="s">
        <v>26</v>
      </c>
      <c r="Q32">
        <v>2.31</v>
      </c>
      <c r="R32" t="s">
        <v>26</v>
      </c>
      <c r="S32">
        <v>2.77</v>
      </c>
      <c r="T32" t="s">
        <v>26</v>
      </c>
    </row>
    <row r="33" spans="10:20" x14ac:dyDescent="0.25">
      <c r="J33">
        <f t="shared" si="6"/>
        <v>1.3</v>
      </c>
      <c r="K33">
        <v>-0.2</v>
      </c>
      <c r="L33">
        <v>2.87</v>
      </c>
      <c r="M33">
        <v>2.7989999999999999</v>
      </c>
      <c r="N33">
        <v>0.54</v>
      </c>
      <c r="O33">
        <v>3.11</v>
      </c>
      <c r="P33" s="23">
        <f>(O33-O32)/O32</f>
        <v>1.3029315960912065E-2</v>
      </c>
      <c r="Q33">
        <v>2.38</v>
      </c>
      <c r="R33" s="23">
        <f>(Q33-Q32)/Q32</f>
        <v>3.0303030303030234E-2</v>
      </c>
      <c r="S33">
        <v>2.69</v>
      </c>
      <c r="T33" s="23">
        <f>(S33-S32)/S32</f>
        <v>-2.8880866425992805E-2</v>
      </c>
    </row>
    <row r="34" spans="10:20" x14ac:dyDescent="0.25">
      <c r="J34">
        <f t="shared" si="6"/>
        <v>1.4000000000000001</v>
      </c>
      <c r="K34">
        <v>-9.9999999999999895E-2</v>
      </c>
      <c r="L34">
        <v>2.8679999999999999</v>
      </c>
      <c r="M34">
        <v>2.7456</v>
      </c>
      <c r="N34">
        <v>0.6</v>
      </c>
      <c r="O34">
        <v>3.1469999999999998</v>
      </c>
      <c r="P34" s="23">
        <f t="shared" ref="P34:P35" si="7">(O34-O33)/O33</f>
        <v>1.1897106109324734E-2</v>
      </c>
      <c r="Q34">
        <v>2.48</v>
      </c>
      <c r="R34" s="23">
        <f t="shared" ref="R34:R35" si="8">(Q34-Q33)/Q33</f>
        <v>4.2016806722689114E-2</v>
      </c>
      <c r="S34">
        <v>2.5859999999999999</v>
      </c>
      <c r="T34" s="23">
        <f t="shared" ref="T34:T35" si="9">(S34-S33)/S33</f>
        <v>-3.8661710037174758E-2</v>
      </c>
    </row>
    <row r="35" spans="10:20" x14ac:dyDescent="0.25">
      <c r="J35">
        <f t="shared" si="6"/>
        <v>1.5</v>
      </c>
      <c r="K35">
        <v>0</v>
      </c>
      <c r="L35">
        <v>2.8597000000000001</v>
      </c>
      <c r="M35">
        <v>2.6898</v>
      </c>
      <c r="N35">
        <v>0.65</v>
      </c>
      <c r="O35">
        <v>3.1659999999999999</v>
      </c>
      <c r="P35" s="23">
        <f t="shared" si="7"/>
        <v>6.0374960279631802E-3</v>
      </c>
      <c r="Q35">
        <v>2.5390000000000001</v>
      </c>
      <c r="R35" s="23">
        <f t="shared" si="8"/>
        <v>2.3790322580645229E-2</v>
      </c>
      <c r="S35">
        <v>2.54</v>
      </c>
      <c r="T35" s="23">
        <f t="shared" si="9"/>
        <v>-1.7788089713843706E-2</v>
      </c>
    </row>
    <row r="36" spans="10:20" ht="45" x14ac:dyDescent="0.25">
      <c r="K36" s="2" t="s">
        <v>77</v>
      </c>
      <c r="O36">
        <v>0.6</v>
      </c>
    </row>
    <row r="53" spans="8:11" x14ac:dyDescent="0.25">
      <c r="H53" t="s">
        <v>74</v>
      </c>
    </row>
    <row r="54" spans="8:11" x14ac:dyDescent="0.25">
      <c r="H54" t="s">
        <v>71</v>
      </c>
      <c r="I54" t="s">
        <v>50</v>
      </c>
      <c r="J54" t="s">
        <v>30</v>
      </c>
      <c r="K54" t="s">
        <v>29</v>
      </c>
    </row>
    <row r="55" spans="8:11" x14ac:dyDescent="0.25">
      <c r="H55">
        <f>1.5-I55</f>
        <v>1.5</v>
      </c>
      <c r="I55">
        <v>0</v>
      </c>
      <c r="J55">
        <v>2.859</v>
      </c>
      <c r="K55">
        <v>2.6890000000000001</v>
      </c>
    </row>
    <row r="56" spans="8:11" x14ac:dyDescent="0.25">
      <c r="H56">
        <f>1.5-I56</f>
        <v>1.25</v>
      </c>
      <c r="I56">
        <v>0.25</v>
      </c>
      <c r="J56">
        <v>2.948</v>
      </c>
      <c r="K56" s="33">
        <v>2.7303999999999999</v>
      </c>
    </row>
    <row r="57" spans="8:11" x14ac:dyDescent="0.25">
      <c r="H57">
        <f t="shared" ref="H57:H61" si="10">1.5-I57</f>
        <v>1</v>
      </c>
      <c r="I57">
        <v>0.5</v>
      </c>
      <c r="J57">
        <v>3.0070000000000001</v>
      </c>
      <c r="K57">
        <v>2.7536</v>
      </c>
    </row>
    <row r="58" spans="8:11" x14ac:dyDescent="0.25">
      <c r="H58">
        <f t="shared" si="10"/>
        <v>0.75</v>
      </c>
      <c r="I58">
        <v>0.75</v>
      </c>
      <c r="J58">
        <v>3.048</v>
      </c>
      <c r="K58">
        <v>2.7770000000000001</v>
      </c>
    </row>
    <row r="59" spans="8:11" x14ac:dyDescent="0.25">
      <c r="H59">
        <f t="shared" si="10"/>
        <v>0.5</v>
      </c>
      <c r="I59">
        <v>1</v>
      </c>
      <c r="J59">
        <v>3.0920000000000001</v>
      </c>
      <c r="K59">
        <v>2.794</v>
      </c>
    </row>
    <row r="60" spans="8:11" x14ac:dyDescent="0.25">
      <c r="H60">
        <f t="shared" si="10"/>
        <v>0.25</v>
      </c>
      <c r="I60">
        <v>1.25</v>
      </c>
      <c r="J60">
        <v>3.1665999999999999</v>
      </c>
      <c r="K60">
        <v>2.7907000000000002</v>
      </c>
    </row>
    <row r="61" spans="8:11" x14ac:dyDescent="0.25">
      <c r="H61">
        <f t="shared" si="10"/>
        <v>0</v>
      </c>
      <c r="I61">
        <v>1.5</v>
      </c>
      <c r="J61">
        <v>3.2789999999999999</v>
      </c>
      <c r="K61">
        <v>2.7574999999999998</v>
      </c>
    </row>
    <row r="65" spans="1:11" x14ac:dyDescent="0.25">
      <c r="H65" t="s">
        <v>75</v>
      </c>
    </row>
    <row r="66" spans="1:11" x14ac:dyDescent="0.25">
      <c r="A66" t="s">
        <v>47</v>
      </c>
      <c r="I66" t="s">
        <v>50</v>
      </c>
      <c r="J66" t="s">
        <v>30</v>
      </c>
      <c r="K66" t="s">
        <v>29</v>
      </c>
    </row>
    <row r="67" spans="1:11" x14ac:dyDescent="0.25">
      <c r="A67" t="s">
        <v>48</v>
      </c>
      <c r="B67" t="s">
        <v>18</v>
      </c>
      <c r="I67">
        <v>0</v>
      </c>
      <c r="J67">
        <v>2.8597000000000001</v>
      </c>
      <c r="K67">
        <v>2.6898599999999999</v>
      </c>
    </row>
    <row r="68" spans="1:11" x14ac:dyDescent="0.25">
      <c r="I68">
        <v>0.25</v>
      </c>
      <c r="J68">
        <v>2.8919999999999999</v>
      </c>
      <c r="K68">
        <v>2.6579999999999999</v>
      </c>
    </row>
    <row r="69" spans="1:11" x14ac:dyDescent="0.25">
      <c r="A69">
        <v>54</v>
      </c>
      <c r="B69">
        <v>3.64</v>
      </c>
      <c r="I69">
        <v>0.5</v>
      </c>
      <c r="J69">
        <v>2.9165999999999999</v>
      </c>
      <c r="K69">
        <v>2.6377000000000002</v>
      </c>
    </row>
    <row r="70" spans="1:11" x14ac:dyDescent="0.25">
      <c r="A70">
        <v>132.19999999999999</v>
      </c>
      <c r="B70">
        <v>3.26</v>
      </c>
      <c r="I70">
        <v>0.75</v>
      </c>
      <c r="J70">
        <v>2.9350000000000001</v>
      </c>
      <c r="K70">
        <v>2.6309999999999998</v>
      </c>
    </row>
    <row r="71" spans="1:11" x14ac:dyDescent="0.25">
      <c r="A71">
        <v>176.11</v>
      </c>
      <c r="B71">
        <v>3.13</v>
      </c>
      <c r="I71">
        <v>1</v>
      </c>
      <c r="J71">
        <v>2.9620000000000002</v>
      </c>
      <c r="K71">
        <v>2.6440000000000001</v>
      </c>
    </row>
    <row r="72" spans="1:11" x14ac:dyDescent="0.25">
      <c r="A72">
        <v>223.4</v>
      </c>
      <c r="B72">
        <v>3.03</v>
      </c>
      <c r="I72">
        <v>1.25</v>
      </c>
      <c r="J72">
        <v>3.0396000000000001</v>
      </c>
      <c r="K72">
        <v>2.6833</v>
      </c>
    </row>
    <row r="73" spans="1:11" x14ac:dyDescent="0.25">
      <c r="A73">
        <v>246.71</v>
      </c>
      <c r="B73">
        <v>2.94</v>
      </c>
      <c r="I73">
        <v>1.5</v>
      </c>
      <c r="J73">
        <v>3.2789999999999999</v>
      </c>
      <c r="K73">
        <v>2.7574999999999998</v>
      </c>
    </row>
    <row r="94" spans="1:3" x14ac:dyDescent="0.25">
      <c r="A94" t="s">
        <v>28</v>
      </c>
    </row>
    <row r="95" spans="1:3" x14ac:dyDescent="0.25">
      <c r="A95" t="s">
        <v>15</v>
      </c>
    </row>
    <row r="96" spans="1:3" x14ac:dyDescent="0.25">
      <c r="A96" t="s">
        <v>16</v>
      </c>
      <c r="B96" t="s">
        <v>17</v>
      </c>
      <c r="C96" t="s">
        <v>44</v>
      </c>
    </row>
    <row r="97" spans="1:3" x14ac:dyDescent="0.25">
      <c r="A97">
        <v>43.92</v>
      </c>
      <c r="B97">
        <v>3.38</v>
      </c>
      <c r="C97">
        <v>3.35</v>
      </c>
    </row>
    <row r="98" spans="1:3" x14ac:dyDescent="0.25">
      <c r="A98">
        <v>97.93</v>
      </c>
      <c r="B98">
        <v>3.05</v>
      </c>
      <c r="C98">
        <v>3.01</v>
      </c>
    </row>
    <row r="99" spans="1:3" x14ac:dyDescent="0.25">
      <c r="A99">
        <v>149.4</v>
      </c>
      <c r="B99">
        <v>2.96</v>
      </c>
      <c r="C99">
        <v>2.9</v>
      </c>
    </row>
    <row r="100" spans="1:3" x14ac:dyDescent="0.25">
      <c r="A100">
        <v>201.89</v>
      </c>
      <c r="B100">
        <v>2.9</v>
      </c>
      <c r="C100">
        <v>2.78</v>
      </c>
    </row>
    <row r="101" spans="1:3" x14ac:dyDescent="0.25">
      <c r="A101">
        <v>246.74</v>
      </c>
      <c r="B101">
        <v>2.8</v>
      </c>
      <c r="C101">
        <v>2.7</v>
      </c>
    </row>
  </sheetData>
  <conditionalFormatting sqref="N8:N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M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5"/>
  <sheetViews>
    <sheetView topLeftCell="L1" workbookViewId="0">
      <selection activeCell="I31" sqref="I31"/>
    </sheetView>
  </sheetViews>
  <sheetFormatPr defaultRowHeight="15" x14ac:dyDescent="0.25"/>
  <cols>
    <col min="1" max="1" width="14.5703125" customWidth="1"/>
    <col min="3" max="3" width="13.28515625" customWidth="1"/>
    <col min="4" max="4" width="16.7109375" customWidth="1"/>
    <col min="6" max="6" width="9.7109375" customWidth="1"/>
    <col min="7" max="7" width="15.28515625" customWidth="1"/>
    <col min="12" max="12" width="24.28515625" customWidth="1"/>
    <col min="13" max="13" width="14.7109375" customWidth="1"/>
    <col min="14" max="14" width="15.5703125" customWidth="1"/>
    <col min="18" max="18" width="12.5703125" customWidth="1"/>
    <col min="19" max="19" width="15.7109375" customWidth="1"/>
  </cols>
  <sheetData>
    <row r="1" spans="1:26" x14ac:dyDescent="0.25">
      <c r="A1" t="s">
        <v>0</v>
      </c>
      <c r="E1" t="s">
        <v>24</v>
      </c>
      <c r="H1" s="6" t="s">
        <v>25</v>
      </c>
      <c r="I1" s="7"/>
      <c r="J1" s="7"/>
      <c r="K1" s="7"/>
      <c r="L1" s="7"/>
      <c r="M1" s="7" t="s">
        <v>19</v>
      </c>
      <c r="N1" s="8"/>
      <c r="P1" s="6" t="s">
        <v>46</v>
      </c>
      <c r="Q1" s="7"/>
      <c r="R1" s="7"/>
      <c r="S1" s="7" t="s">
        <v>20</v>
      </c>
      <c r="T1" s="8"/>
    </row>
    <row r="2" spans="1:26" x14ac:dyDescent="0.25">
      <c r="A2" t="s">
        <v>27</v>
      </c>
      <c r="E2" t="s">
        <v>11</v>
      </c>
      <c r="F2" t="s">
        <v>12</v>
      </c>
      <c r="H2" s="17" t="s">
        <v>11</v>
      </c>
      <c r="I2" s="9" t="s">
        <v>12</v>
      </c>
      <c r="J2" s="9"/>
      <c r="K2" s="9" t="s">
        <v>26</v>
      </c>
      <c r="L2" s="9"/>
      <c r="M2" s="9" t="s">
        <v>11</v>
      </c>
      <c r="N2" s="12" t="s">
        <v>12</v>
      </c>
      <c r="P2" s="17" t="s">
        <v>11</v>
      </c>
      <c r="Q2" s="9" t="s">
        <v>12</v>
      </c>
      <c r="R2" s="9"/>
      <c r="S2" s="9" t="s">
        <v>21</v>
      </c>
      <c r="T2" s="12" t="s">
        <v>12</v>
      </c>
    </row>
    <row r="3" spans="1:26" x14ac:dyDescent="0.25">
      <c r="A3" t="s">
        <v>41</v>
      </c>
      <c r="B3" s="1">
        <v>47.5</v>
      </c>
      <c r="E3">
        <f>B6*B8/2</f>
        <v>144.9</v>
      </c>
      <c r="F3">
        <f>E3</f>
        <v>144.9</v>
      </c>
      <c r="H3" s="17">
        <f>E3+(C8*B10*B7)/B3</f>
        <v>254.71894736842108</v>
      </c>
      <c r="I3" s="9">
        <f>F3-(C8*B10*B7)/B3</f>
        <v>35.081052631578942</v>
      </c>
      <c r="J3" s="9"/>
      <c r="K3" s="9">
        <f>B10*B7/B3</f>
        <v>0.37894736842105264</v>
      </c>
      <c r="L3" s="9"/>
      <c r="M3" s="9">
        <f>5.45*(10^-10)*(H3^4)-4.9408*(10^-7)*(H3^3)+1.529*(10^-4)*(H3^2)-2.087*(10^-2)*H3+4.0415</f>
        <v>2.7747209898349938</v>
      </c>
      <c r="N3" s="12">
        <f>5.45*(10^-10)*(I3^4)-4.9408*(10^-7)*(I3^3)+1.529*(10^-4)*(I3^2)-2.087*(10^-2)*I3+4.0415</f>
        <v>3.477023693234901</v>
      </c>
      <c r="P3" s="17">
        <f>H3-((B7/B5)*B6*B11)/2</f>
        <v>254.71894736842108</v>
      </c>
      <c r="Q3" s="9">
        <f>I3-((B7/B5)*B6*B11)/2</f>
        <v>35.081052631578942</v>
      </c>
      <c r="R3" s="9"/>
      <c r="S3" s="9">
        <f>(-1.02*10^-7)*P3^3+5.57*(10^-5)*P3^2-1.25*(10^-2)*P3+4.17</f>
        <v>2.914212071088973</v>
      </c>
      <c r="T3" s="12">
        <f>S3</f>
        <v>2.914212071088973</v>
      </c>
    </row>
    <row r="4" spans="1:26" x14ac:dyDescent="0.25">
      <c r="A4" t="s">
        <v>42</v>
      </c>
      <c r="B4" s="1">
        <v>45.5</v>
      </c>
      <c r="E4" t="s">
        <v>13</v>
      </c>
      <c r="F4" t="s">
        <v>14</v>
      </c>
      <c r="H4" s="17" t="s">
        <v>13</v>
      </c>
      <c r="I4" s="9" t="s">
        <v>14</v>
      </c>
      <c r="J4" s="9"/>
      <c r="K4" s="9"/>
      <c r="L4" s="9"/>
      <c r="M4" s="9" t="s">
        <v>13</v>
      </c>
      <c r="N4" s="12" t="s">
        <v>14</v>
      </c>
      <c r="P4" s="17" t="s">
        <v>13</v>
      </c>
      <c r="Q4" s="9" t="s">
        <v>14</v>
      </c>
      <c r="R4" s="9"/>
      <c r="S4" s="9" t="s">
        <v>13</v>
      </c>
      <c r="T4" s="12" t="s">
        <v>14</v>
      </c>
    </row>
    <row r="5" spans="1:26" ht="15.75" thickBot="1" x14ac:dyDescent="0.3">
      <c r="A5" t="s">
        <v>1</v>
      </c>
      <c r="B5" s="1">
        <v>63</v>
      </c>
      <c r="E5">
        <f>B6*B9/2</f>
        <v>170.10000000000002</v>
      </c>
      <c r="F5">
        <f>E5</f>
        <v>170.10000000000002</v>
      </c>
      <c r="H5" s="18">
        <f>E5+(C9*B10*B7)/B4</f>
        <v>304.68461538461543</v>
      </c>
      <c r="I5" s="13">
        <f>F5-(C9*B10*B7)/B4</f>
        <v>35.515384615384619</v>
      </c>
      <c r="J5" s="13"/>
      <c r="K5" s="13">
        <f>B10*B7/B4</f>
        <v>0.39560439560439559</v>
      </c>
      <c r="L5" s="13"/>
      <c r="M5" s="13">
        <f>5.45*(10^-10)*(H5^4)-4.9408*(10^-7)*(H5^3)+1.529*(10^-4)*(H5^2)-2.087*(10^-2)*H5+4.0415</f>
        <v>2.5987121480247897</v>
      </c>
      <c r="N5" s="16">
        <f>5.45*(10^-10)*(I5^4)-4.9408*(10^-7)*(I5^3)+1.529*(10^-4)*(I5^2)-2.087*(10^-2)*I5+4.0415</f>
        <v>3.4718869507758434</v>
      </c>
      <c r="P5" s="18">
        <f>H5+((B7/B5)*B6*B11)/2</f>
        <v>304.68461538461543</v>
      </c>
      <c r="Q5" s="9">
        <f>I5+((B7/B5)*B6*B11)/2</f>
        <v>35.515384615384619</v>
      </c>
      <c r="R5" s="13"/>
      <c r="S5" s="13">
        <f>(-1.02*10^-7)*P5^3+5.57*(10^-5)*P5^2-1.25*(10^-2)*P5+4.17</f>
        <v>2.6471851229317447</v>
      </c>
      <c r="T5" s="16">
        <f>S5</f>
        <v>2.6471851229317447</v>
      </c>
    </row>
    <row r="6" spans="1:26" ht="15.75" thickBot="1" x14ac:dyDescent="0.3">
      <c r="A6" t="s">
        <v>22</v>
      </c>
      <c r="B6" s="1">
        <v>630</v>
      </c>
      <c r="U6" s="22" t="s">
        <v>55</v>
      </c>
      <c r="Y6" s="22" t="s">
        <v>54</v>
      </c>
    </row>
    <row r="7" spans="1:26" x14ac:dyDescent="0.25">
      <c r="A7" t="s">
        <v>2</v>
      </c>
      <c r="B7" s="1">
        <v>12</v>
      </c>
      <c r="K7" t="s">
        <v>31</v>
      </c>
      <c r="L7" t="s">
        <v>36</v>
      </c>
      <c r="M7" t="s">
        <v>37</v>
      </c>
      <c r="N7" t="s">
        <v>38</v>
      </c>
      <c r="S7" s="6" t="s">
        <v>31</v>
      </c>
      <c r="T7" s="7"/>
      <c r="U7" s="7" t="s">
        <v>51</v>
      </c>
      <c r="V7" s="7"/>
      <c r="W7" s="24" t="s">
        <v>52</v>
      </c>
      <c r="X7" s="24"/>
      <c r="Y7" s="7" t="s">
        <v>30</v>
      </c>
      <c r="Z7" s="8" t="s">
        <v>29</v>
      </c>
    </row>
    <row r="8" spans="1:26" x14ac:dyDescent="0.25">
      <c r="A8" t="s">
        <v>3</v>
      </c>
      <c r="B8" s="1">
        <v>0.46</v>
      </c>
      <c r="C8">
        <f>B8*B6</f>
        <v>289.8</v>
      </c>
      <c r="I8" t="s">
        <v>30</v>
      </c>
      <c r="J8" s="4">
        <f>K8/C8</f>
        <v>2.8597365802465613</v>
      </c>
      <c r="K8">
        <f>M3*H3+N3*I3</f>
        <v>828.75166095545353</v>
      </c>
      <c r="L8">
        <f>K8*B8/B9</f>
        <v>705.97363711020114</v>
      </c>
      <c r="M8" s="3">
        <f>L8/C8</f>
        <v>2.4360719016915153</v>
      </c>
      <c r="N8" s="5">
        <f>K8/C8</f>
        <v>2.8597365802465613</v>
      </c>
      <c r="P8" s="9"/>
      <c r="Q8" s="19"/>
      <c r="S8" s="17">
        <f>S3*P3+Q3*T3</f>
        <v>844.53865820158444</v>
      </c>
      <c r="T8" s="19"/>
      <c r="U8" s="19">
        <f>S8/C8</f>
        <v>2.914212071088973</v>
      </c>
      <c r="V8" s="9"/>
      <c r="W8" s="11" t="s">
        <v>49</v>
      </c>
      <c r="X8" s="11">
        <f>(S8+S9)/B6</f>
        <v>2.7700175190840697</v>
      </c>
      <c r="Y8" s="9">
        <f>S8/(S8+S9)</f>
        <v>0.483945514230606</v>
      </c>
      <c r="Z8" s="12">
        <f>S9/(S8+S9)</f>
        <v>0.51605448576939406</v>
      </c>
    </row>
    <row r="9" spans="1:26" ht="15.75" thickBot="1" x14ac:dyDescent="0.3">
      <c r="A9" t="s">
        <v>23</v>
      </c>
      <c r="B9">
        <f>(1-B8)</f>
        <v>0.54</v>
      </c>
      <c r="C9">
        <f>B9*B6</f>
        <v>340.20000000000005</v>
      </c>
      <c r="G9" s="2"/>
      <c r="I9" t="s">
        <v>29</v>
      </c>
      <c r="J9" s="3">
        <f>K9/C9</f>
        <v>2.6898677593009985</v>
      </c>
      <c r="K9">
        <f>M5*H5+I5*N5</f>
        <v>915.09301171419986</v>
      </c>
      <c r="L9">
        <f>K9*B9/B8</f>
        <v>1074.2396224471042</v>
      </c>
      <c r="M9" s="4">
        <f>L9/C9</f>
        <v>3.1576708478750857</v>
      </c>
      <c r="N9" s="5">
        <f>K9/C9</f>
        <v>2.6898677593009985</v>
      </c>
      <c r="P9" s="9"/>
      <c r="Q9" s="19"/>
      <c r="S9" s="18">
        <f>S5*P5+Q5*T5</f>
        <v>900.57237882137963</v>
      </c>
      <c r="T9" s="20"/>
      <c r="U9" s="20">
        <f>S9/C9</f>
        <v>2.6471851229317447</v>
      </c>
      <c r="V9" s="13"/>
      <c r="W9" s="15" t="s">
        <v>50</v>
      </c>
      <c r="X9" s="15">
        <f>S9/B6</f>
        <v>1.4294799663831423</v>
      </c>
      <c r="Y9" s="13"/>
      <c r="Z9" s="16"/>
    </row>
    <row r="10" spans="1:26" x14ac:dyDescent="0.25">
      <c r="A10" t="s">
        <v>4</v>
      </c>
      <c r="B10" s="1">
        <v>1.5</v>
      </c>
      <c r="P10" s="9"/>
    </row>
    <row r="11" spans="1:26" x14ac:dyDescent="0.25">
      <c r="A11" t="s">
        <v>5</v>
      </c>
      <c r="B11" s="32">
        <f>1.5-B10</f>
        <v>0</v>
      </c>
      <c r="C11" s="22" t="s">
        <v>53</v>
      </c>
      <c r="M11" s="22" t="s">
        <v>39</v>
      </c>
    </row>
    <row r="12" spans="1:26" x14ac:dyDescent="0.25">
      <c r="D12" t="s">
        <v>33</v>
      </c>
      <c r="E12" t="s">
        <v>40</v>
      </c>
      <c r="F12" t="s">
        <v>34</v>
      </c>
      <c r="G12" t="s">
        <v>35</v>
      </c>
      <c r="H12" t="s">
        <v>45</v>
      </c>
      <c r="I12" s="22" t="s">
        <v>43</v>
      </c>
      <c r="O12" t="s">
        <v>63</v>
      </c>
      <c r="P12" t="s">
        <v>50</v>
      </c>
      <c r="R12" t="s">
        <v>58</v>
      </c>
      <c r="U12" t="s">
        <v>56</v>
      </c>
      <c r="V12" t="s">
        <v>57</v>
      </c>
      <c r="W12" t="s">
        <v>50</v>
      </c>
      <c r="X12" t="s">
        <v>60</v>
      </c>
      <c r="Y12" t="s">
        <v>58</v>
      </c>
      <c r="Z12" t="s">
        <v>60</v>
      </c>
    </row>
    <row r="13" spans="1:26" x14ac:dyDescent="0.25">
      <c r="A13" t="s">
        <v>6</v>
      </c>
      <c r="D13">
        <v>630</v>
      </c>
      <c r="E13">
        <f>D13-150</f>
        <v>480</v>
      </c>
      <c r="F13">
        <v>2.69</v>
      </c>
      <c r="G13">
        <v>2.86</v>
      </c>
      <c r="H13">
        <f>(G13-F13)/F13*100</f>
        <v>6.3197026022304819</v>
      </c>
      <c r="I13" t="s">
        <v>32</v>
      </c>
      <c r="O13">
        <v>63</v>
      </c>
      <c r="P13">
        <v>2.3879999999999999</v>
      </c>
      <c r="R13">
        <v>3.109</v>
      </c>
      <c r="U13">
        <v>630</v>
      </c>
      <c r="V13">
        <f>U13-150</f>
        <v>480</v>
      </c>
      <c r="W13">
        <v>2.3879999999999999</v>
      </c>
      <c r="X13" t="s">
        <v>59</v>
      </c>
      <c r="Y13">
        <v>3.02</v>
      </c>
      <c r="Z13" t="s">
        <v>59</v>
      </c>
    </row>
    <row r="14" spans="1:26" x14ac:dyDescent="0.25">
      <c r="A14" t="s">
        <v>7</v>
      </c>
      <c r="D14">
        <v>580</v>
      </c>
      <c r="E14">
        <f t="shared" ref="E14:E17" si="0">D14-150</f>
        <v>430</v>
      </c>
      <c r="F14">
        <v>2.77</v>
      </c>
      <c r="G14">
        <v>2.91</v>
      </c>
      <c r="H14">
        <f>(G14-F14)/F14*100</f>
        <v>5.0541516245487408</v>
      </c>
      <c r="I14">
        <f>(F14-F13)/F13*100</f>
        <v>2.9739776951672887</v>
      </c>
      <c r="J14" t="s">
        <v>26</v>
      </c>
      <c r="O14">
        <v>60</v>
      </c>
      <c r="P14">
        <v>2.4129999999999998</v>
      </c>
      <c r="Q14" s="23">
        <f>(P14-P13)/P13</f>
        <v>1.0469011725293095E-2</v>
      </c>
      <c r="R14">
        <v>3.097</v>
      </c>
      <c r="S14" s="23">
        <f>(R14-R13)/R13</f>
        <v>-3.8597619813444872E-3</v>
      </c>
      <c r="U14">
        <v>580</v>
      </c>
      <c r="V14">
        <f t="shared" ref="V14:V17" si="1">U14-150</f>
        <v>430</v>
      </c>
      <c r="W14">
        <v>2.452</v>
      </c>
      <c r="X14" s="23">
        <f>(W14-W13)/W13</f>
        <v>2.6800670016750443E-2</v>
      </c>
      <c r="Y14">
        <v>3.09</v>
      </c>
      <c r="Z14" s="23">
        <f>(Y14-Y13)/Y13</f>
        <v>2.3178807947019816E-2</v>
      </c>
    </row>
    <row r="15" spans="1:26" x14ac:dyDescent="0.25">
      <c r="A15" t="s">
        <v>8</v>
      </c>
      <c r="D15">
        <v>530</v>
      </c>
      <c r="E15">
        <f t="shared" si="0"/>
        <v>380</v>
      </c>
      <c r="F15">
        <v>2.85</v>
      </c>
      <c r="G15">
        <v>2.96</v>
      </c>
      <c r="H15">
        <f>(G15-F15)/F15*100</f>
        <v>3.8596491228070127</v>
      </c>
      <c r="I15">
        <f t="shared" ref="I15:I17" si="2">(F15-F14)/F14*100</f>
        <v>2.8880866425992804</v>
      </c>
      <c r="J15" t="s">
        <v>26</v>
      </c>
      <c r="U15">
        <v>530</v>
      </c>
      <c r="V15">
        <f t="shared" si="1"/>
        <v>380</v>
      </c>
      <c r="W15">
        <v>2.504</v>
      </c>
      <c r="X15" s="23">
        <f t="shared" ref="X15:X17" si="3">(W15-W14)/W14</f>
        <v>2.1207177814029383E-2</v>
      </c>
      <c r="Y15">
        <v>3.15</v>
      </c>
      <c r="Z15" s="23">
        <f t="shared" ref="Z15:Z17" si="4">(Y15-Y14)/Y14</f>
        <v>1.9417475728155359E-2</v>
      </c>
    </row>
    <row r="16" spans="1:26" x14ac:dyDescent="0.25">
      <c r="A16" t="s">
        <v>9</v>
      </c>
      <c r="D16">
        <v>480</v>
      </c>
      <c r="E16">
        <f t="shared" si="0"/>
        <v>330</v>
      </c>
      <c r="F16">
        <v>2.915</v>
      </c>
      <c r="G16">
        <v>2.9929999999999999</v>
      </c>
      <c r="H16">
        <f t="shared" ref="H16:H17" si="5">(G16-F16)/F16*100</f>
        <v>2.6758147512864441</v>
      </c>
      <c r="I16">
        <f t="shared" si="2"/>
        <v>2.2807017543859631</v>
      </c>
      <c r="J16" t="s">
        <v>26</v>
      </c>
      <c r="U16">
        <v>480</v>
      </c>
      <c r="V16">
        <f t="shared" si="1"/>
        <v>330</v>
      </c>
      <c r="W16">
        <v>2.5485000000000002</v>
      </c>
      <c r="X16" s="23">
        <f t="shared" si="3"/>
        <v>1.7771565495207749E-2</v>
      </c>
      <c r="Y16">
        <v>3.2</v>
      </c>
      <c r="Z16" s="23">
        <f t="shared" si="4"/>
        <v>1.5873015873015959E-2</v>
      </c>
    </row>
    <row r="17" spans="1:26" x14ac:dyDescent="0.25">
      <c r="A17" t="s">
        <v>10</v>
      </c>
      <c r="D17">
        <v>430</v>
      </c>
      <c r="E17">
        <f t="shared" si="0"/>
        <v>280</v>
      </c>
      <c r="F17">
        <v>2.9660000000000002</v>
      </c>
      <c r="G17">
        <v>3.02</v>
      </c>
      <c r="H17">
        <f t="shared" si="5"/>
        <v>1.8206338503034329</v>
      </c>
      <c r="I17">
        <f t="shared" si="2"/>
        <v>1.7495711835334531</v>
      </c>
      <c r="J17" t="s">
        <v>26</v>
      </c>
      <c r="U17">
        <v>430</v>
      </c>
      <c r="V17">
        <f t="shared" si="1"/>
        <v>280</v>
      </c>
      <c r="W17">
        <v>2.59</v>
      </c>
      <c r="X17" s="23">
        <f t="shared" si="3"/>
        <v>1.6284088679615321E-2</v>
      </c>
      <c r="Y17">
        <v>3.2469999999999999</v>
      </c>
      <c r="Z17" s="23">
        <f t="shared" si="4"/>
        <v>1.4687499999999909E-2</v>
      </c>
    </row>
    <row r="19" spans="1:26" x14ac:dyDescent="0.25">
      <c r="F19" t="s">
        <v>73</v>
      </c>
    </row>
    <row r="21" spans="1:26" x14ac:dyDescent="0.25">
      <c r="A21" t="s">
        <v>28</v>
      </c>
    </row>
    <row r="22" spans="1:26" x14ac:dyDescent="0.25">
      <c r="A22" t="s">
        <v>15</v>
      </c>
    </row>
    <row r="23" spans="1:26" x14ac:dyDescent="0.25">
      <c r="A23" t="s">
        <v>16</v>
      </c>
      <c r="B23" t="s">
        <v>17</v>
      </c>
      <c r="C23" t="s">
        <v>44</v>
      </c>
    </row>
    <row r="24" spans="1:26" x14ac:dyDescent="0.25">
      <c r="A24">
        <v>43.92</v>
      </c>
      <c r="B24">
        <v>3.38</v>
      </c>
      <c r="C24">
        <v>3.35</v>
      </c>
    </row>
    <row r="25" spans="1:26" x14ac:dyDescent="0.25">
      <c r="A25">
        <v>97.93</v>
      </c>
      <c r="B25">
        <v>3.05</v>
      </c>
      <c r="C25">
        <v>3.01</v>
      </c>
      <c r="G25" s="2"/>
    </row>
    <row r="26" spans="1:26" x14ac:dyDescent="0.25">
      <c r="A26">
        <v>149.4</v>
      </c>
      <c r="B26">
        <v>2.96</v>
      </c>
      <c r="C26">
        <v>2.9</v>
      </c>
    </row>
    <row r="27" spans="1:26" x14ac:dyDescent="0.25">
      <c r="A27">
        <v>201.89</v>
      </c>
      <c r="B27">
        <v>2.9</v>
      </c>
      <c r="C27">
        <v>2.78</v>
      </c>
    </row>
    <row r="28" spans="1:26" x14ac:dyDescent="0.25">
      <c r="A28">
        <v>246.74</v>
      </c>
      <c r="B28">
        <v>2.8</v>
      </c>
      <c r="C28">
        <v>2.7</v>
      </c>
    </row>
    <row r="30" spans="1:26" x14ac:dyDescent="0.25">
      <c r="N30" t="s">
        <v>62</v>
      </c>
    </row>
    <row r="31" spans="1:26" x14ac:dyDescent="0.25">
      <c r="N31" t="s">
        <v>29</v>
      </c>
      <c r="O31" t="s">
        <v>58</v>
      </c>
      <c r="Q31" t="s">
        <v>50</v>
      </c>
      <c r="S31" t="s">
        <v>61</v>
      </c>
    </row>
    <row r="32" spans="1:26" x14ac:dyDescent="0.25">
      <c r="N32">
        <v>0.5</v>
      </c>
      <c r="O32">
        <v>3.07</v>
      </c>
      <c r="P32" t="s">
        <v>26</v>
      </c>
      <c r="Q32">
        <v>2.31</v>
      </c>
      <c r="R32" t="s">
        <v>26</v>
      </c>
      <c r="S32">
        <v>2.77</v>
      </c>
      <c r="T32" t="s">
        <v>26</v>
      </c>
    </row>
    <row r="33" spans="1:20" x14ac:dyDescent="0.25">
      <c r="N33">
        <v>0.54</v>
      </c>
      <c r="O33">
        <v>3.11</v>
      </c>
      <c r="P33" s="23">
        <f>(O33-O32)/O32</f>
        <v>1.3029315960912065E-2</v>
      </c>
      <c r="Q33">
        <v>2.38</v>
      </c>
      <c r="R33" s="23">
        <f>(Q33-Q32)/Q32</f>
        <v>3.0303030303030234E-2</v>
      </c>
      <c r="S33">
        <v>2.69</v>
      </c>
      <c r="T33" s="23">
        <f>(S33-S32)/S32</f>
        <v>-2.8880866425992805E-2</v>
      </c>
    </row>
    <row r="34" spans="1:20" x14ac:dyDescent="0.25">
      <c r="N34">
        <v>0.6</v>
      </c>
      <c r="O34">
        <v>3.1469999999999998</v>
      </c>
      <c r="P34" s="23">
        <f t="shared" ref="P34:P35" si="6">(O34-O33)/O33</f>
        <v>1.1897106109324734E-2</v>
      </c>
      <c r="Q34">
        <v>2.48</v>
      </c>
      <c r="R34" s="23">
        <f t="shared" ref="R34:R35" si="7">(Q34-Q33)/Q33</f>
        <v>4.2016806722689114E-2</v>
      </c>
      <c r="S34">
        <v>2.5859999999999999</v>
      </c>
      <c r="T34" s="23">
        <f t="shared" ref="T34:T35" si="8">(S34-S33)/S33</f>
        <v>-3.8661710037174758E-2</v>
      </c>
    </row>
    <row r="35" spans="1:20" x14ac:dyDescent="0.25">
      <c r="N35">
        <v>0.65</v>
      </c>
      <c r="O35">
        <v>3.1659999999999999</v>
      </c>
      <c r="P35" s="23">
        <f t="shared" si="6"/>
        <v>6.0374960279631802E-3</v>
      </c>
      <c r="Q35">
        <v>2.5390000000000001</v>
      </c>
      <c r="R35" s="23">
        <f t="shared" si="7"/>
        <v>2.3790322580645229E-2</v>
      </c>
      <c r="S35">
        <v>2.54</v>
      </c>
      <c r="T35" s="23">
        <f t="shared" si="8"/>
        <v>-1.7788089713843706E-2</v>
      </c>
    </row>
    <row r="36" spans="1:20" x14ac:dyDescent="0.25">
      <c r="O36">
        <v>0.6</v>
      </c>
    </row>
    <row r="48" spans="1:20" x14ac:dyDescent="0.25">
      <c r="A48" t="s">
        <v>47</v>
      </c>
    </row>
    <row r="49" spans="1:2" x14ac:dyDescent="0.25">
      <c r="A49" t="s">
        <v>48</v>
      </c>
      <c r="B49" t="s">
        <v>18</v>
      </c>
    </row>
    <row r="51" spans="1:2" x14ac:dyDescent="0.25">
      <c r="A51">
        <v>54</v>
      </c>
      <c r="B51">
        <v>3.64</v>
      </c>
    </row>
    <row r="52" spans="1:2" x14ac:dyDescent="0.25">
      <c r="A52">
        <v>132.19999999999999</v>
      </c>
      <c r="B52">
        <v>3.26</v>
      </c>
    </row>
    <row r="53" spans="1:2" x14ac:dyDescent="0.25">
      <c r="A53">
        <v>176.11</v>
      </c>
      <c r="B53">
        <v>3.13</v>
      </c>
    </row>
    <row r="54" spans="1:2" x14ac:dyDescent="0.25">
      <c r="A54">
        <v>223.4</v>
      </c>
      <c r="B54">
        <v>3.03</v>
      </c>
    </row>
    <row r="55" spans="1:2" x14ac:dyDescent="0.25">
      <c r="A55">
        <v>246.71</v>
      </c>
      <c r="B55">
        <v>2.94</v>
      </c>
    </row>
  </sheetData>
  <conditionalFormatting sqref="N8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24E4-B649-4F35-91FB-9119E08677C0}">
  <dimension ref="A1:U252"/>
  <sheetViews>
    <sheetView tabSelected="1" topLeftCell="A91" workbookViewId="0">
      <selection activeCell="F124" sqref="F124"/>
    </sheetView>
  </sheetViews>
  <sheetFormatPr defaultRowHeight="15" x14ac:dyDescent="0.25"/>
  <cols>
    <col min="1" max="1" width="26.85546875" customWidth="1"/>
    <col min="2" max="3" width="9.5703125" bestFit="1" customWidth="1"/>
    <col min="6" max="6" width="9.42578125" bestFit="1" customWidth="1"/>
    <col min="8" max="8" width="18" customWidth="1"/>
  </cols>
  <sheetData>
    <row r="1" spans="1:7" x14ac:dyDescent="0.25">
      <c r="A1" s="35" t="s">
        <v>92</v>
      </c>
      <c r="B1" s="35"/>
      <c r="C1" s="35"/>
      <c r="D1" s="35"/>
      <c r="E1" s="35"/>
      <c r="F1" s="35"/>
    </row>
    <row r="2" spans="1:7" x14ac:dyDescent="0.25">
      <c r="A2" t="s">
        <v>81</v>
      </c>
      <c r="B2">
        <v>640</v>
      </c>
      <c r="C2">
        <v>640</v>
      </c>
      <c r="D2">
        <v>640</v>
      </c>
      <c r="E2">
        <v>640</v>
      </c>
      <c r="F2">
        <v>640</v>
      </c>
    </row>
    <row r="3" spans="1:7" x14ac:dyDescent="0.25">
      <c r="A3" t="s">
        <v>82</v>
      </c>
      <c r="B3" s="34">
        <v>1.3</v>
      </c>
      <c r="C3" s="34">
        <f>B3+(B12-B3)/2</f>
        <v>1.2282933701169561</v>
      </c>
      <c r="D3" s="34">
        <f t="shared" ref="D3:E3" si="0">C3+(C12-C3)/2</f>
        <v>1.2035933323162402</v>
      </c>
      <c r="E3" s="34">
        <f t="shared" si="0"/>
        <v>1.1950496646273958</v>
      </c>
      <c r="F3" s="34">
        <f t="shared" ref="F3" si="1">E3+(E12-E3)/2</f>
        <v>1.1920909340920289</v>
      </c>
      <c r="G3" s="34"/>
    </row>
    <row r="4" spans="1:7" x14ac:dyDescent="0.25">
      <c r="A4" t="s">
        <v>83</v>
      </c>
      <c r="B4" s="34">
        <f>B3*B2*'Seprate Lat Long'!$B$9*'Seprate Lat Long'!$B$7/'Seprate Lat Long'!$B$4</f>
        <v>118.49142857142859</v>
      </c>
      <c r="C4" s="34">
        <f>C3*C2*'Seprate Lat Long'!$B$9*'Seprate Lat Long'!$B$7/'Seprate Lat Long'!$B$4</f>
        <v>111.95556625382508</v>
      </c>
      <c r="D4" s="34">
        <f>D3*D2*'Seprate Lat Long'!$B$9*'Seprate Lat Long'!$B$7/'Seprate Lat Long'!$B$4</f>
        <v>109.70422566553651</v>
      </c>
      <c r="E4" s="34">
        <f>E3*E2*'Seprate Lat Long'!$B$9*'Seprate Lat Long'!$B$7/'Seprate Lat Long'!$B$4</f>
        <v>108.92549382731288</v>
      </c>
      <c r="F4" s="34">
        <f>F3*F2*'Seprate Lat Long'!$B$9*'Seprate Lat Long'!$B$7/'Seprate Lat Long'!$B$4</f>
        <v>108.65581366739478</v>
      </c>
      <c r="G4" s="34"/>
    </row>
    <row r="5" spans="1:7" x14ac:dyDescent="0.25">
      <c r="A5" t="s">
        <v>84</v>
      </c>
      <c r="B5" s="34">
        <f>(B2*'Seprate Lat Long'!$B$9/2)+'Skidpad Versus Weight'!B4</f>
        <v>291.29142857142858</v>
      </c>
      <c r="C5" s="34">
        <f>(C2*'Seprate Lat Long'!$B$9/2)+'Skidpad Versus Weight'!$B$4</f>
        <v>291.29142857142858</v>
      </c>
      <c r="D5" s="34">
        <f>(D2*'Seprate Lat Long'!$B$9/2)+'Skidpad Versus Weight'!$B$4</f>
        <v>291.29142857142858</v>
      </c>
      <c r="E5" s="34">
        <f>(E2*'Seprate Lat Long'!$B$9/2)+'Skidpad Versus Weight'!$B$4</f>
        <v>291.29142857142858</v>
      </c>
      <c r="F5" s="34">
        <f>(F2*'Seprate Lat Long'!$B$9/2)+'Skidpad Versus Weight'!$B$4</f>
        <v>291.29142857142858</v>
      </c>
      <c r="G5" s="34"/>
    </row>
    <row r="6" spans="1:7" x14ac:dyDescent="0.25">
      <c r="A6" t="s">
        <v>79</v>
      </c>
      <c r="B6" s="34">
        <f>0.42*(0.000000000546*B5^4- 0.000000494*B5^3 + 0.000153*B5^2 - 0.0209*B5 + 4.04)</f>
        <v>1.1152372969692053</v>
      </c>
      <c r="C6" s="34">
        <f t="shared" ref="C6:E6" si="2">0.42*(0.000000000546*C5^4- 0.000000494*C5^3 + 0.000153*C5^2 - 0.0209*C5 + 4.04)</f>
        <v>1.1152372969692053</v>
      </c>
      <c r="D6" s="34">
        <f t="shared" si="2"/>
        <v>1.1152372969692053</v>
      </c>
      <c r="E6" s="34">
        <f t="shared" si="2"/>
        <v>1.1152372969692053</v>
      </c>
      <c r="F6" s="34">
        <f t="shared" ref="F6" si="3">0.42*(0.000000000546*F5^4- 0.000000494*F5^3 + 0.000153*F5^2 - 0.0209*F5 + 4.04)</f>
        <v>1.1152372969692053</v>
      </c>
      <c r="G6" s="34"/>
    </row>
    <row r="7" spans="1:7" x14ac:dyDescent="0.25">
      <c r="A7" t="s">
        <v>85</v>
      </c>
      <c r="B7" s="34">
        <f>B5*B6</f>
        <v>324.85906543029836</v>
      </c>
      <c r="C7" s="34">
        <f>C5*C6</f>
        <v>324.85906543029836</v>
      </c>
      <c r="D7" s="34">
        <f t="shared" ref="D7:E7" si="4">D5*D6</f>
        <v>324.85906543029836</v>
      </c>
      <c r="E7" s="34">
        <f t="shared" si="4"/>
        <v>324.85906543029836</v>
      </c>
      <c r="F7" s="34">
        <f t="shared" ref="F7" si="5">F5*F6</f>
        <v>324.85906543029836</v>
      </c>
      <c r="G7" s="34"/>
    </row>
    <row r="8" spans="1:7" x14ac:dyDescent="0.25">
      <c r="A8" t="s">
        <v>86</v>
      </c>
      <c r="B8" s="34">
        <f>(B2*'Seprate Lat Long'!$B$9/2)-B4</f>
        <v>54.308571428571426</v>
      </c>
      <c r="C8" s="34">
        <f>(C2*'Seprate Lat Long'!$B$9/2)-C4</f>
        <v>60.844433746174929</v>
      </c>
      <c r="D8" s="34">
        <f>(D2*'Seprate Lat Long'!$B$9/2)-D4</f>
        <v>63.095774334463499</v>
      </c>
      <c r="E8" s="34">
        <f>(E2*'Seprate Lat Long'!$B$9/2)-E4</f>
        <v>63.874506172687134</v>
      </c>
      <c r="F8" s="34">
        <f>(F2*'Seprate Lat Long'!$B$9/2)-F4</f>
        <v>64.14418633260523</v>
      </c>
      <c r="G8" s="34"/>
    </row>
    <row r="9" spans="1:7" x14ac:dyDescent="0.25">
      <c r="A9" t="s">
        <v>87</v>
      </c>
      <c r="B9" s="34">
        <f>0.42*(0.000000000546*B8^4- 0.000000494*B8^3 + 0.000153*B8^2 - 0.0209*B8 + 4.04)</f>
        <v>1.3783701177446128</v>
      </c>
      <c r="C9" s="34">
        <f t="shared" ref="C9:E9" si="6">0.42*(0.000000000546*C8^4- 0.000000494*C8^3 + 0.000153*C8^2 - 0.0209*C8 + 4.04)</f>
        <v>1.3570092130154388</v>
      </c>
      <c r="D9" s="34">
        <f t="shared" si="6"/>
        <v>1.3502870518720227</v>
      </c>
      <c r="E9" s="34">
        <f t="shared" si="6"/>
        <v>1.3480342828184988</v>
      </c>
      <c r="F9" s="34">
        <f t="shared" ref="F9" si="7">0.42*(0.000000000546*F8^4- 0.000000494*F8^3 + 0.000153*F8^2 - 0.0209*F8 + 4.04)</f>
        <v>1.3472626697254952</v>
      </c>
      <c r="G9" s="34"/>
    </row>
    <row r="10" spans="1:7" x14ac:dyDescent="0.25">
      <c r="A10" t="s">
        <v>88</v>
      </c>
      <c r="B10" s="34">
        <f>B8*B9</f>
        <v>74.857311994541718</v>
      </c>
      <c r="C10" s="34">
        <f>C8*C9</f>
        <v>82.566457154266843</v>
      </c>
      <c r="D10" s="34">
        <f t="shared" ref="D10:E10" si="8">D8*D9</f>
        <v>85.197407111665157</v>
      </c>
      <c r="E10" s="34">
        <f t="shared" si="8"/>
        <v>86.105024118884074</v>
      </c>
      <c r="F10" s="34">
        <f t="shared" ref="F10" si="9">F8*F9</f>
        <v>86.419067725835347</v>
      </c>
      <c r="G10" s="34"/>
    </row>
    <row r="11" spans="1:7" x14ac:dyDescent="0.25">
      <c r="A11" t="s">
        <v>90</v>
      </c>
      <c r="B11" s="34">
        <f>B7+B10</f>
        <v>399.71637742484006</v>
      </c>
      <c r="C11" s="34">
        <f>C7+C10</f>
        <v>407.42552258456521</v>
      </c>
      <c r="D11" s="34">
        <f t="shared" ref="D11:E11" si="10">D7+D10</f>
        <v>410.0564725419635</v>
      </c>
      <c r="E11" s="34">
        <f t="shared" si="10"/>
        <v>410.9640895491824</v>
      </c>
      <c r="F11" s="34">
        <f t="shared" ref="F11" si="11">F7+F10</f>
        <v>411.27813315613372</v>
      </c>
      <c r="G11" s="34"/>
    </row>
    <row r="12" spans="1:7" x14ac:dyDescent="0.25">
      <c r="A12" t="s">
        <v>91</v>
      </c>
      <c r="B12" s="34">
        <f>(B11/(B2*'Seprate Lat Long'!$B$9))</f>
        <v>1.1565867402339121</v>
      </c>
      <c r="C12" s="34">
        <f>(C11/(C2*'Seprate Lat Long'!$B$9))</f>
        <v>1.1788932945155244</v>
      </c>
      <c r="D12" s="34">
        <f>(D11/(D2*'Seprate Lat Long'!$B$9))</f>
        <v>1.1865059969385516</v>
      </c>
      <c r="E12" s="36">
        <f>(E11/(E2*'Seprate Lat Long'!$B$9))</f>
        <v>1.189132203556662</v>
      </c>
      <c r="F12" s="34">
        <f>(F11/(F2*'Seprate Lat Long'!$B$9))</f>
        <v>1.190040894548998</v>
      </c>
      <c r="G12" s="34"/>
    </row>
    <row r="13" spans="1:7" x14ac:dyDescent="0.25">
      <c r="A13" t="s">
        <v>89</v>
      </c>
      <c r="B13" s="34"/>
      <c r="F13" s="37">
        <f>(4*PI()^2*9.125/(E12*9.81))^0.5</f>
        <v>5.5570810486719528</v>
      </c>
    </row>
    <row r="14" spans="1:7" x14ac:dyDescent="0.25">
      <c r="A14" t="s">
        <v>80</v>
      </c>
      <c r="B14" s="34"/>
      <c r="F14" s="37">
        <f>71.5*(((6.001/F13)^2-1)/((6.001/4.813)^2-1))+3.5</f>
        <v>24.920564853913874</v>
      </c>
    </row>
    <row r="16" spans="1:7" x14ac:dyDescent="0.25">
      <c r="A16" t="s">
        <v>81</v>
      </c>
      <c r="B16">
        <v>570</v>
      </c>
      <c r="C16">
        <v>570</v>
      </c>
      <c r="D16">
        <v>570</v>
      </c>
      <c r="E16">
        <v>570</v>
      </c>
      <c r="F16">
        <v>570</v>
      </c>
    </row>
    <row r="17" spans="1:16" x14ac:dyDescent="0.25">
      <c r="A17" t="s">
        <v>82</v>
      </c>
      <c r="B17" s="34">
        <v>1.3</v>
      </c>
      <c r="C17" s="34">
        <f>B17+(B26-B17)/2</f>
        <v>1.2490994785239984</v>
      </c>
      <c r="D17" s="34">
        <f t="shared" ref="D17:F17" si="12">C17+(C26-C17)/2</f>
        <v>1.2261485182752474</v>
      </c>
      <c r="E17" s="34">
        <f t="shared" si="12"/>
        <v>1.215720938574298</v>
      </c>
      <c r="F17" s="34">
        <f t="shared" si="12"/>
        <v>1.2109676656891668</v>
      </c>
    </row>
    <row r="18" spans="1:16" x14ac:dyDescent="0.25">
      <c r="A18" t="s">
        <v>83</v>
      </c>
      <c r="B18" s="34">
        <f>B17*B16*'Seprate Lat Long'!$B$9*'Seprate Lat Long'!$B$7/'Seprate Lat Long'!B4</f>
        <v>105.53142857142858</v>
      </c>
      <c r="C18" s="34">
        <f>C17*C16*'Seprate Lat Long'!$B$9*'Seprate Lat Long'!$B$7/'Seprate Lat Long'!$B$4</f>
        <v>101.39942492035694</v>
      </c>
      <c r="D18" s="34">
        <f>D17*D16*'Seprate Lat Long'!$B$9*'Seprate Lat Long'!$B$7/'Seprate Lat Long'!$B$4</f>
        <v>99.536311364867132</v>
      </c>
      <c r="E18" s="34">
        <f>E17*E16*'Seprate Lat Long'!$B$9*'Seprate Lat Long'!$B$7/'Seprate Lat Long'!$B$4</f>
        <v>98.68982107072587</v>
      </c>
      <c r="F18" s="34">
        <f>F17*F16*'Seprate Lat Long'!$B$9*'Seprate Lat Long'!$B$7/'Seprate Lat Long'!$B$4</f>
        <v>98.303959779989157</v>
      </c>
      <c r="H18" t="s">
        <v>93</v>
      </c>
    </row>
    <row r="19" spans="1:16" x14ac:dyDescent="0.25">
      <c r="A19" t="s">
        <v>84</v>
      </c>
      <c r="B19" s="34">
        <f>(B16*'Seprate Lat Long'!$B$9/2)+'Skidpad Versus Weight'!B18</f>
        <v>259.43142857142857</v>
      </c>
      <c r="C19" s="34">
        <f>(C16*'Seprate Lat Long'!$B$9/2)+'Skidpad Versus Weight'!C18</f>
        <v>255.29942492035696</v>
      </c>
      <c r="D19" s="34">
        <f>(D16*'Seprate Lat Long'!$B$9/2)+'Skidpad Versus Weight'!D18</f>
        <v>253.43631136486715</v>
      </c>
      <c r="E19" s="34">
        <f>(E16*'Seprate Lat Long'!$B$9/2)+'Skidpad Versus Weight'!E18</f>
        <v>252.58982107072586</v>
      </c>
      <c r="F19" s="34">
        <f>(F16*'Seprate Lat Long'!$B$9/2)+'Skidpad Versus Weight'!F18</f>
        <v>252.20395977998916</v>
      </c>
    </row>
    <row r="20" spans="1:16" x14ac:dyDescent="0.25">
      <c r="A20" t="s">
        <v>79</v>
      </c>
      <c r="B20" s="34">
        <f>0.42*(0.000000000546*B19^4- 0.000000494*B19^3 + 0.000153*B19^2 - 0.0209*B19 + 4.04)</f>
        <v>1.1605125698636789</v>
      </c>
      <c r="C20" s="34">
        <f t="shared" ref="C20" si="13">0.42*(0.000000000546*C19^4- 0.000000494*C19^3 + 0.000153*C19^2 - 0.0209*C19 + 4.04)</f>
        <v>1.1658545924198549</v>
      </c>
      <c r="D20" s="34">
        <f t="shared" ref="D20" si="14">0.42*(0.000000000546*D19^4- 0.000000494*D19^3 + 0.000153*D19^2 - 0.0209*D19 + 4.04)</f>
        <v>1.1682085078267708</v>
      </c>
      <c r="E20" s="34">
        <f t="shared" ref="E20" si="15">0.42*(0.000000000546*E19^4- 0.000000494*E19^3 + 0.000153*E19^2 - 0.0209*E19 + 4.04)</f>
        <v>1.1692663207087801</v>
      </c>
      <c r="F20" s="34">
        <f t="shared" ref="F20" si="16">0.42*(0.000000000546*F19^4- 0.000000494*F19^3 + 0.000153*F19^2 - 0.0209*F19 + 4.04)</f>
        <v>1.1697460546247047</v>
      </c>
      <c r="H20" t="s">
        <v>94</v>
      </c>
    </row>
    <row r="21" spans="1:16" x14ac:dyDescent="0.25">
      <c r="A21" t="s">
        <v>85</v>
      </c>
      <c r="B21" s="34">
        <f>B19*B20</f>
        <v>301.073433874834</v>
      </c>
      <c r="C21" s="34">
        <f>C19*C20</f>
        <v>297.64200698554612</v>
      </c>
      <c r="D21" s="34">
        <f t="shared" ref="D21" si="17">D19*D20</f>
        <v>296.06645512867232</v>
      </c>
      <c r="E21" s="34">
        <f t="shared" ref="E21" si="18">E19*E20</f>
        <v>295.34477073185673</v>
      </c>
      <c r="F21" s="34">
        <f t="shared" ref="F21" si="19">F19*F20</f>
        <v>295.01458691337001</v>
      </c>
      <c r="H21" t="s">
        <v>95</v>
      </c>
      <c r="I21">
        <v>500</v>
      </c>
    </row>
    <row r="22" spans="1:16" x14ac:dyDescent="0.25">
      <c r="A22" t="s">
        <v>86</v>
      </c>
      <c r="B22" s="34">
        <f>(B16*'Seprate Lat Long'!$B$9/2)-B18</f>
        <v>48.368571428571428</v>
      </c>
      <c r="C22" s="34">
        <f>(C16*'Seprate Lat Long'!$B$9/2)-C18</f>
        <v>52.50057507964307</v>
      </c>
      <c r="D22" s="34">
        <f>(D16*'Seprate Lat Long'!$B$9/2)-D18</f>
        <v>54.363688635132874</v>
      </c>
      <c r="E22" s="34">
        <f>(E16*'Seprate Lat Long'!$B$9/2)-E18</f>
        <v>55.210178929274136</v>
      </c>
      <c r="F22" s="34">
        <f>(F16*'Seprate Lat Long'!$B$9/2)-F18</f>
        <v>55.596040220010849</v>
      </c>
      <c r="H22" t="s">
        <v>96</v>
      </c>
      <c r="I22">
        <f>I21*-0.097+87.219</f>
        <v>38.718999999999994</v>
      </c>
    </row>
    <row r="23" spans="1:16" x14ac:dyDescent="0.25">
      <c r="A23" t="s">
        <v>87</v>
      </c>
      <c r="B23" s="34">
        <f>0.42*(0.000000000546*B22^4- 0.000000494*B22^3 + 0.000153*B22^2 - 0.0209*B22 + 4.04)</f>
        <v>1.4003350337638836</v>
      </c>
      <c r="C23" s="34">
        <f t="shared" ref="C23" si="20">0.42*(0.000000000546*C22^4- 0.000000494*C22^3 + 0.000153*C22^2 - 0.0209*C22 + 4.04)</f>
        <v>1.3847886668807095</v>
      </c>
      <c r="D23" s="34">
        <f t="shared" ref="D23" si="21">0.42*(0.000000000546*D22^4- 0.000000494*D22^3 + 0.000153*D22^2 - 0.0209*D22 + 4.04)</f>
        <v>1.3781780194386057</v>
      </c>
      <c r="E23" s="34">
        <f t="shared" ref="E23" si="22">0.42*(0.000000000546*E22^4- 0.000000494*E22^3 + 0.000153*E22^2 - 0.0209*E22 + 4.04)</f>
        <v>1.3752539992759583</v>
      </c>
      <c r="F23" s="34">
        <f t="shared" ref="F23" si="23">0.42*(0.000000000546*F22^4- 0.000000494*F22^3 + 0.000153*F22^2 - 0.0209*F22 + 4.04)</f>
        <v>1.3739373680581202</v>
      </c>
    </row>
    <row r="24" spans="1:16" x14ac:dyDescent="0.25">
      <c r="A24" t="s">
        <v>88</v>
      </c>
      <c r="B24" s="34">
        <f>B22*B23</f>
        <v>67.732205104539389</v>
      </c>
      <c r="C24" s="34">
        <f>C22*C23</f>
        <v>72.702201375009523</v>
      </c>
      <c r="D24" s="34">
        <f t="shared" ref="D24" si="24">D22*D23</f>
        <v>74.922840732544458</v>
      </c>
      <c r="E24" s="34">
        <f t="shared" ref="E24" si="25">E22*E23</f>
        <v>75.928019373225496</v>
      </c>
      <c r="F24" s="34">
        <f t="shared" ref="F24" si="26">F22*F23</f>
        <v>76.385477174335094</v>
      </c>
    </row>
    <row r="25" spans="1:16" x14ac:dyDescent="0.25">
      <c r="A25" t="s">
        <v>90</v>
      </c>
      <c r="B25" s="34">
        <f>B21+B24</f>
        <v>368.80563897937338</v>
      </c>
      <c r="C25" s="34">
        <f>C21+C24</f>
        <v>370.34420836055563</v>
      </c>
      <c r="D25" s="34">
        <f t="shared" ref="D25" si="27">D21+D24</f>
        <v>370.98929586121676</v>
      </c>
      <c r="E25" s="34">
        <f t="shared" ref="E25" si="28">E21+E24</f>
        <v>371.27279010508221</v>
      </c>
      <c r="F25" s="34">
        <f t="shared" ref="F25" si="29">F21+F24</f>
        <v>371.40006408770512</v>
      </c>
    </row>
    <row r="26" spans="1:16" x14ac:dyDescent="0.25">
      <c r="A26" t="s">
        <v>91</v>
      </c>
      <c r="B26" s="34">
        <f>(B25/(B16*'Seprate Lat Long'!$B$9))</f>
        <v>1.1981989570479967</v>
      </c>
      <c r="C26" s="34">
        <f>(C25/(C16*'Seprate Lat Long'!$B$9))</f>
        <v>1.2031975580264964</v>
      </c>
      <c r="D26" s="34">
        <f>(D25/(D16*'Seprate Lat Long'!$B$9))</f>
        <v>1.2052933588733488</v>
      </c>
      <c r="E26" s="36">
        <f>(E25/(E16*'Seprate Lat Long'!$B$9))</f>
        <v>1.2062143928040356</v>
      </c>
      <c r="F26" s="39">
        <f>(F25/(F16*'Seprate Lat Long'!$B$9))</f>
        <v>1.2066278885240582</v>
      </c>
    </row>
    <row r="27" spans="1:16" x14ac:dyDescent="0.25">
      <c r="A27" t="s">
        <v>89</v>
      </c>
      <c r="B27" s="34"/>
      <c r="F27">
        <f>(4*PI()^2*9.125/(E26*9.81))^0.5</f>
        <v>5.5175915529019992</v>
      </c>
      <c r="P27">
        <f>16.75/2</f>
        <v>8.375</v>
      </c>
    </row>
    <row r="28" spans="1:16" x14ac:dyDescent="0.25">
      <c r="A28" t="s">
        <v>80</v>
      </c>
      <c r="B28" s="34"/>
      <c r="F28">
        <f>71.5*(((6.001/F27)^2-1)/((6.001/4.813)^2-1))+3.5</f>
        <v>27.080308173233774</v>
      </c>
    </row>
    <row r="29" spans="1:16" x14ac:dyDescent="0.25">
      <c r="P29">
        <f>9.125*2</f>
        <v>18.25</v>
      </c>
    </row>
    <row r="30" spans="1:16" x14ac:dyDescent="0.25">
      <c r="A30" t="s">
        <v>81</v>
      </c>
      <c r="B30">
        <f>B16+10</f>
        <v>580</v>
      </c>
      <c r="C30">
        <f t="shared" ref="C30:F30" si="30">C16+10</f>
        <v>580</v>
      </c>
      <c r="D30">
        <f t="shared" si="30"/>
        <v>580</v>
      </c>
      <c r="E30">
        <f t="shared" si="30"/>
        <v>580</v>
      </c>
      <c r="F30">
        <f t="shared" si="30"/>
        <v>580</v>
      </c>
    </row>
    <row r="31" spans="1:16" x14ac:dyDescent="0.25">
      <c r="A31" t="s">
        <v>82</v>
      </c>
      <c r="B31" s="34">
        <v>1.3</v>
      </c>
      <c r="C31" s="34">
        <f>B31+(B40-B31)/2</f>
        <v>1.2462842442912438</v>
      </c>
      <c r="D31" s="34">
        <f t="shared" ref="D31:F31" si="31">C31+(C40-C31)/2</f>
        <v>1.2221934595510933</v>
      </c>
      <c r="E31" s="34">
        <f t="shared" si="31"/>
        <v>1.2113027130427745</v>
      </c>
      <c r="F31" s="34">
        <f t="shared" si="31"/>
        <v>1.206362468022554</v>
      </c>
    </row>
    <row r="32" spans="1:16" x14ac:dyDescent="0.25">
      <c r="A32" t="s">
        <v>83</v>
      </c>
      <c r="B32" s="34">
        <f>B31*B30*'Seprate Lat Long'!$B$9*'Seprate Lat Long'!$B$7/'Seprate Lat Long'!$B$4</f>
        <v>107.38285714285715</v>
      </c>
      <c r="C32" s="34">
        <f>C31*C30*'Seprate Lat Long'!$B$9*'Seprate Lat Long'!$B$7/'Seprate Lat Long'!$B$4</f>
        <v>102.94581766470795</v>
      </c>
      <c r="D32" s="34">
        <f>D31*D30*'Seprate Lat Long'!$B$9*'Seprate Lat Long'!$B$7/'Seprate Lat Long'!$B$4</f>
        <v>100.95586589839185</v>
      </c>
      <c r="E32" s="34">
        <f>E31*E30*'Seprate Lat Long'!$B$9*'Seprate Lat Long'!$B$7/'Seprate Lat Long'!$B$4</f>
        <v>100.05626630109811</v>
      </c>
      <c r="F32" s="34">
        <f>F31*F30*'Seprate Lat Long'!$B$9*'Seprate Lat Long'!$B$7/'Seprate Lat Long'!$B$4</f>
        <v>99.648191204746524</v>
      </c>
    </row>
    <row r="33" spans="1:21" x14ac:dyDescent="0.25">
      <c r="A33" t="s">
        <v>84</v>
      </c>
      <c r="B33" s="34">
        <f>(B30*'Seprate Lat Long'!$B$9/2)+B32</f>
        <v>263.98285714285714</v>
      </c>
      <c r="C33" s="34">
        <f>(C30*'Seprate Lat Long'!$B$9/2)+C32</f>
        <v>259.54581766470795</v>
      </c>
      <c r="D33" s="34">
        <f>(D30*'Seprate Lat Long'!$B$9/2)+D32</f>
        <v>257.55586589839186</v>
      </c>
      <c r="E33" s="34">
        <f>(E30*'Seprate Lat Long'!$B$9/2)+E32</f>
        <v>256.65626630109813</v>
      </c>
      <c r="F33" s="34">
        <f>(F30*'Seprate Lat Long'!$B$9/2)+F32</f>
        <v>256.24819120474655</v>
      </c>
    </row>
    <row r="34" spans="1:21" x14ac:dyDescent="0.25">
      <c r="A34" t="s">
        <v>79</v>
      </c>
      <c r="B34" s="34">
        <f>0.42*(0.000000000546*B33^4- 0.000000494*B33^3 + 0.000153*B33^2 - 0.0209*B33 + 4.04)</f>
        <v>1.1544465943960023</v>
      </c>
      <c r="C34" s="34">
        <f t="shared" ref="C34" si="32">0.42*(0.000000000546*C33^4- 0.000000494*C33^3 + 0.000153*C33^2 - 0.0209*C33 + 4.04)</f>
        <v>1.1603623838021122</v>
      </c>
      <c r="D34" s="34">
        <f t="shared" ref="D34" si="33">0.42*(0.000000000546*D33^4- 0.000000494*D33^3 + 0.000153*D33^2 - 0.0209*D33 + 4.04)</f>
        <v>1.1629576510701707</v>
      </c>
      <c r="E34" s="34">
        <f t="shared" ref="E34" si="34">0.42*(0.000000000546*E33^4- 0.000000494*E33^3 + 0.000153*E33^2 - 0.0209*E33 + 4.04)</f>
        <v>1.1641185506823017</v>
      </c>
      <c r="F34" s="34">
        <f t="shared" ref="F34" si="35">0.42*(0.000000000546*F33^4- 0.000000494*F33^3 + 0.000153*F33^2 - 0.0209*F33 + 4.04)</f>
        <v>1.164642571396691</v>
      </c>
    </row>
    <row r="35" spans="1:21" x14ac:dyDescent="0.25">
      <c r="A35" t="s">
        <v>85</v>
      </c>
      <c r="B35" s="34">
        <f>B33*B34</f>
        <v>304.75411040749782</v>
      </c>
      <c r="C35" s="34">
        <f>C33*C34</f>
        <v>301.16720369128888</v>
      </c>
      <c r="D35" s="34">
        <f t="shared" ref="D35" si="36">D33*D34</f>
        <v>299.52656482453767</v>
      </c>
      <c r="E35" s="34">
        <f t="shared" ref="E35" si="37">E33*E34</f>
        <v>298.77832074996525</v>
      </c>
      <c r="F35" s="34">
        <f t="shared" ref="F35" si="38">F33*F34</f>
        <v>298.43755232044697</v>
      </c>
    </row>
    <row r="36" spans="1:21" x14ac:dyDescent="0.25">
      <c r="A36" t="s">
        <v>86</v>
      </c>
      <c r="B36" s="34">
        <f>(B30*'Seprate Lat Long'!$B$9/2)-B32</f>
        <v>49.217142857142875</v>
      </c>
      <c r="C36" s="34">
        <f>(C30*'Seprate Lat Long'!$B$9/2)-C32</f>
        <v>53.654182335292077</v>
      </c>
      <c r="D36" s="34">
        <f>(D30*'Seprate Lat Long'!$B$9/2)-D32</f>
        <v>55.644134101608174</v>
      </c>
      <c r="E36" s="34">
        <f>(E30*'Seprate Lat Long'!$B$9/2)-E32</f>
        <v>56.543733698901917</v>
      </c>
      <c r="F36" s="34">
        <f>(F30*'Seprate Lat Long'!$B$9/2)-F32</f>
        <v>56.951808795253498</v>
      </c>
    </row>
    <row r="37" spans="1:21" x14ac:dyDescent="0.25">
      <c r="A37" t="s">
        <v>87</v>
      </c>
      <c r="B37" s="34">
        <f>0.42*(0.000000000546*B36^4- 0.000000494*B36^3 + 0.000153*B36^2 - 0.0209*B36 + 4.04)</f>
        <v>1.397040466491819</v>
      </c>
      <c r="C37" s="34">
        <f t="shared" ref="C37" si="39">0.42*(0.000000000546*C36^4- 0.000000494*C36^3 + 0.000153*C36^2 - 0.0209*C36 + 4.04)</f>
        <v>1.380666908621806</v>
      </c>
      <c r="D37" s="34">
        <f t="shared" ref="D37" si="40">0.42*(0.000000000546*D36^4- 0.000000494*D36^3 + 0.000153*D36^2 - 0.0209*D36 + 4.04)</f>
        <v>1.3737739714750015</v>
      </c>
      <c r="E37" s="34">
        <f t="shared" ref="E37" si="41">0.42*(0.000000000546*E36^4- 0.000000494*E36^3 + 0.000153*E36^2 - 0.0209*E36 + 4.04)</f>
        <v>1.3707464014862349</v>
      </c>
      <c r="F37" s="34">
        <f t="shared" ref="F37" si="42">0.42*(0.000000000546*F36^4- 0.000000494*F36^3 + 0.000153*F36^2 - 0.0209*F36 + 4.04)</f>
        <v>1.3693909377402582</v>
      </c>
    </row>
    <row r="38" spans="1:21" x14ac:dyDescent="0.25">
      <c r="A38" t="s">
        <v>88</v>
      </c>
      <c r="B38" s="34">
        <f>B36*B37</f>
        <v>68.758340216537377</v>
      </c>
      <c r="C38" s="34">
        <f>C36*C37</f>
        <v>74.078554059498416</v>
      </c>
      <c r="D38" s="34">
        <f t="shared" ref="D38" si="43">D36*D37</f>
        <v>76.442463094053821</v>
      </c>
      <c r="E38" s="34">
        <f t="shared" ref="E38" si="44">E36*E37</f>
        <v>77.507119494365753</v>
      </c>
      <c r="F38" s="34">
        <f t="shared" ref="F38" si="45">F36*F37</f>
        <v>77.989290852136079</v>
      </c>
      <c r="U38">
        <f>(F28-F14)/(B2-B16)</f>
        <v>3.0853475990284301E-2</v>
      </c>
    </row>
    <row r="39" spans="1:21" x14ac:dyDescent="0.25">
      <c r="A39" t="s">
        <v>90</v>
      </c>
      <c r="B39" s="34">
        <f>B35+B38</f>
        <v>373.51245062403518</v>
      </c>
      <c r="C39" s="34">
        <f>C35+C38</f>
        <v>375.24575775078728</v>
      </c>
      <c r="D39" s="34">
        <f t="shared" ref="D39" si="46">D35+D38</f>
        <v>375.96902791859151</v>
      </c>
      <c r="E39" s="34">
        <f t="shared" ref="E39" si="47">E35+E38</f>
        <v>376.28544024433097</v>
      </c>
      <c r="F39" s="34">
        <f t="shared" ref="F39" si="48">F35+F38</f>
        <v>376.42684317258306</v>
      </c>
    </row>
    <row r="40" spans="1:21" x14ac:dyDescent="0.25">
      <c r="A40" t="s">
        <v>91</v>
      </c>
      <c r="B40" s="34">
        <f>(B39/(B30*'Seprate Lat Long'!$B$9))</f>
        <v>1.1925684885824877</v>
      </c>
      <c r="C40" s="34">
        <f>(C39/(C30*'Seprate Lat Long'!$B$9))</f>
        <v>1.1981026748109427</v>
      </c>
      <c r="D40" s="34">
        <f>(D39/(D30*'Seprate Lat Long'!$B$9))</f>
        <v>1.2004119665344555</v>
      </c>
      <c r="E40" s="34">
        <f>(E39/(E30*'Seprate Lat Long'!$B$9))</f>
        <v>1.2014222230023337</v>
      </c>
      <c r="F40" s="34">
        <f>(F39/(F30*'Seprate Lat Long'!$B$9))</f>
        <v>1.201873701061887</v>
      </c>
    </row>
    <row r="41" spans="1:21" x14ac:dyDescent="0.25">
      <c r="A41" t="s">
        <v>89</v>
      </c>
      <c r="B41" s="34"/>
      <c r="F41">
        <f>(4*PI()^2*9.125/(E40*9.81))^0.5</f>
        <v>5.5285847411060276</v>
      </c>
    </row>
    <row r="42" spans="1:21" x14ac:dyDescent="0.25">
      <c r="A42" t="s">
        <v>80</v>
      </c>
      <c r="B42" s="34"/>
      <c r="F42">
        <f>71.5*(((6.001/F41)^2-1)/((6.001/4.813)^2-1))+3.5</f>
        <v>26.474422325442713</v>
      </c>
    </row>
    <row r="44" spans="1:21" x14ac:dyDescent="0.25">
      <c r="A44" t="s">
        <v>81</v>
      </c>
      <c r="B44">
        <f>B30+10</f>
        <v>590</v>
      </c>
      <c r="C44">
        <f t="shared" ref="C44:F44" si="49">C30+10</f>
        <v>590</v>
      </c>
      <c r="D44">
        <f t="shared" si="49"/>
        <v>590</v>
      </c>
      <c r="E44">
        <f t="shared" si="49"/>
        <v>590</v>
      </c>
      <c r="F44">
        <f t="shared" si="49"/>
        <v>590</v>
      </c>
    </row>
    <row r="45" spans="1:21" x14ac:dyDescent="0.25">
      <c r="A45" t="s">
        <v>82</v>
      </c>
      <c r="B45" s="34">
        <v>1.3</v>
      </c>
      <c r="C45" s="34">
        <f>B45+(B54-B45)/2</f>
        <v>1.2434004690266318</v>
      </c>
      <c r="D45" s="34">
        <f t="shared" ref="D45:F45" si="50">C45+(C54-C45)/2</f>
        <v>1.2181500634397637</v>
      </c>
      <c r="E45" s="34">
        <f t="shared" si="50"/>
        <v>1.2067917103383456</v>
      </c>
      <c r="F45" s="34">
        <f t="shared" si="50"/>
        <v>1.2016643267532188</v>
      </c>
    </row>
    <row r="46" spans="1:21" x14ac:dyDescent="0.25">
      <c r="A46" t="s">
        <v>83</v>
      </c>
      <c r="B46" s="34">
        <f>B45*B44*'Seprate Lat Long'!$B$9*'Seprate Lat Long'!$B$7/'Seprate Lat Long'!$B$4</f>
        <v>109.2342857142857</v>
      </c>
      <c r="C46" s="34">
        <f>C45*C44*'Seprate Lat Long'!$B$9*'Seprate Lat Long'!$B$7/'Seprate Lat Long'!$B$4</f>
        <v>104.47843237763998</v>
      </c>
      <c r="D46" s="34">
        <f>D45*D44*'Seprate Lat Long'!$B$9*'Seprate Lat Long'!$B$7/'Seprate Lat Long'!$B$4</f>
        <v>102.35673236358033</v>
      </c>
      <c r="E46" s="34">
        <f>E45*E44*'Seprate Lat Long'!$B$9*'Seprate Lat Long'!$B$7/'Seprate Lat Long'!$B$4</f>
        <v>101.40233114210029</v>
      </c>
      <c r="F46" s="34">
        <f>F45*F44*'Seprate Lat Long'!$B$9*'Seprate Lat Long'!$B$7/'Seprate Lat Long'!$B$4</f>
        <v>100.97149569325067</v>
      </c>
    </row>
    <row r="47" spans="1:21" x14ac:dyDescent="0.25">
      <c r="A47" t="s">
        <v>84</v>
      </c>
      <c r="B47" s="34">
        <f>(B44*'Seprate Lat Long'!$B$9/2)+B46</f>
        <v>268.53428571428572</v>
      </c>
      <c r="C47" s="34">
        <f>(C44*'Seprate Lat Long'!$B$9/2)+C46</f>
        <v>263.77843237764</v>
      </c>
      <c r="D47" s="34">
        <f>(D44*'Seprate Lat Long'!$B$9/2)+D46</f>
        <v>261.65673236358032</v>
      </c>
      <c r="E47" s="34">
        <f>(E44*'Seprate Lat Long'!$B$9/2)+E46</f>
        <v>260.70233114210032</v>
      </c>
      <c r="F47" s="34">
        <f>(F44*'Seprate Lat Long'!$B$9/2)+F46</f>
        <v>260.2714956932507</v>
      </c>
    </row>
    <row r="48" spans="1:21" x14ac:dyDescent="0.25">
      <c r="A48" t="s">
        <v>79</v>
      </c>
      <c r="B48" s="34">
        <f>0.42*(0.000000000546*B47^4- 0.000000494*B47^3 + 0.000153*B47^2 - 0.0209*B47 + 4.04)</f>
        <v>1.1482080557951313</v>
      </c>
      <c r="C48" s="34">
        <f t="shared" ref="C48" si="51">0.42*(0.000000000546*C47^4- 0.000000494*C47^3 + 0.000153*C47^2 - 0.0209*C47 + 4.04)</f>
        <v>1.1547228916924739</v>
      </c>
      <c r="D48" s="34">
        <f t="shared" ref="D48" si="52">0.42*(0.000000000546*D47^4- 0.000000494*D47^3 + 0.000153*D47^2 - 0.0209*D47 + 4.04)</f>
        <v>1.1575695423204673</v>
      </c>
      <c r="E48" s="34">
        <f t="shared" ref="E48" si="53">0.42*(0.000000000546*E47^4- 0.000000494*E47^3 + 0.000153*E47^2 - 0.0209*E47 + 4.04)</f>
        <v>1.1588372305154431</v>
      </c>
      <c r="F48" s="34">
        <f t="shared" ref="F48" si="54">0.42*(0.000000000546*F47^4- 0.000000494*F47^3 + 0.000153*F47^2 - 0.0209*F47 + 4.04)</f>
        <v>1.1594068164761495</v>
      </c>
    </row>
    <row r="49" spans="1:6" x14ac:dyDescent="0.25">
      <c r="A49" t="s">
        <v>85</v>
      </c>
      <c r="B49" s="34">
        <f>B47*B48</f>
        <v>308.3332301143343</v>
      </c>
      <c r="C49" s="34">
        <f>C47*C48</f>
        <v>304.59099420121612</v>
      </c>
      <c r="D49" s="34">
        <f t="shared" ref="D49" si="55">D47*D48</f>
        <v>302.88586392717866</v>
      </c>
      <c r="E49" s="34">
        <f t="shared" ref="E49" si="56">E47*E48</f>
        <v>302.1115674096315</v>
      </c>
      <c r="F49" s="34">
        <f t="shared" ref="F49" si="57">F47*F48</f>
        <v>301.76054624119763</v>
      </c>
    </row>
    <row r="50" spans="1:6" x14ac:dyDescent="0.25">
      <c r="A50" t="s">
        <v>86</v>
      </c>
      <c r="B50" s="34">
        <f>(B44*'Seprate Lat Long'!$B$9/2)-B46</f>
        <v>50.065714285714307</v>
      </c>
      <c r="C50" s="34">
        <f>(C44*'Seprate Lat Long'!$B$9/2)-C46</f>
        <v>54.821567622360035</v>
      </c>
      <c r="D50" s="34">
        <f>(D44*'Seprate Lat Long'!$B$9/2)-D46</f>
        <v>56.943267636419677</v>
      </c>
      <c r="E50" s="34">
        <f>(E44*'Seprate Lat Long'!$B$9/2)-E46</f>
        <v>57.897668857899717</v>
      </c>
      <c r="F50" s="34">
        <f>(F44*'Seprate Lat Long'!$B$9/2)-F46</f>
        <v>58.328504306749338</v>
      </c>
    </row>
    <row r="51" spans="1:6" x14ac:dyDescent="0.25">
      <c r="A51" t="s">
        <v>87</v>
      </c>
      <c r="B51" s="34">
        <f>0.42*(0.000000000546*B50^4- 0.000000494*B50^3 + 0.000153*B50^2 - 0.0209*B50 + 4.04)</f>
        <v>1.3937991247105181</v>
      </c>
      <c r="C51" s="34">
        <f t="shared" ref="C51" si="58">0.42*(0.000000000546*C50^4- 0.000000494*C50^3 + 0.000153*C50^2 - 0.0209*C50 + 4.04)</f>
        <v>1.3765902739332789</v>
      </c>
      <c r="D51" s="34">
        <f t="shared" ref="D51" si="59">0.42*(0.000000000546*D50^4- 0.000000494*D50^3 + 0.000153*D50^2 - 0.0209*D50 + 4.04)</f>
        <v>1.3694191943181118</v>
      </c>
      <c r="E51" s="34">
        <f t="shared" ref="E51" si="60">0.42*(0.000000000546*E50^4- 0.000000494*E50^3 + 0.000153*E50^2 - 0.0209*E50 + 4.04)</f>
        <v>1.3662916701857721</v>
      </c>
      <c r="F51" s="34">
        <f t="shared" ref="F51" si="61">0.42*(0.000000000546*F50^4- 0.000000494*F50^3 + 0.000153*F50^2 - 0.0209*F50 + 4.04)</f>
        <v>1.3648994886190464</v>
      </c>
    </row>
    <row r="52" spans="1:6" x14ac:dyDescent="0.25">
      <c r="A52" t="s">
        <v>88</v>
      </c>
      <c r="B52" s="34">
        <f>B50*B51</f>
        <v>69.781548749435487</v>
      </c>
      <c r="C52" s="34">
        <f>C50*C51</f>
        <v>75.466836790716371</v>
      </c>
      <c r="D52" s="34">
        <f t="shared" ref="D52" si="62">D50*D51</f>
        <v>77.979203688506445</v>
      </c>
      <c r="E52" s="34">
        <f t="shared" ref="E52" si="63">E50*E51</f>
        <v>79.105102683722563</v>
      </c>
      <c r="F52" s="34">
        <f t="shared" ref="F52" si="64">F50*F51</f>
        <v>79.612545700196023</v>
      </c>
    </row>
    <row r="53" spans="1:6" x14ac:dyDescent="0.25">
      <c r="A53" t="s">
        <v>90</v>
      </c>
      <c r="B53" s="34">
        <f>B49+B52</f>
        <v>378.1147788637698</v>
      </c>
      <c r="C53" s="34">
        <f>C49+C52</f>
        <v>380.05783099193252</v>
      </c>
      <c r="D53" s="34">
        <f t="shared" ref="D53" si="65">D49+D52</f>
        <v>380.86506761568512</v>
      </c>
      <c r="E53" s="34">
        <f t="shared" ref="E53" si="66">E49+E52</f>
        <v>381.21667009335408</v>
      </c>
      <c r="F53" s="34">
        <f t="shared" ref="F53" si="67">F49+F52</f>
        <v>381.37309194139368</v>
      </c>
    </row>
    <row r="54" spans="1:6" x14ac:dyDescent="0.25">
      <c r="A54" t="s">
        <v>91</v>
      </c>
      <c r="B54" s="34">
        <f>(B53/(B44*'Seprate Lat Long'!$B$9))</f>
        <v>1.1868009380532636</v>
      </c>
      <c r="C54" s="34">
        <f>(C53/(C44*'Seprate Lat Long'!$B$9))</f>
        <v>1.1928996578528954</v>
      </c>
      <c r="D54" s="34">
        <f>(D53/(D44*'Seprate Lat Long'!$B$9))</f>
        <v>1.1954333572369276</v>
      </c>
      <c r="E54" s="34">
        <f>(E53/(E44*'Seprate Lat Long'!$B$9))</f>
        <v>1.1965369431680919</v>
      </c>
      <c r="F54" s="34">
        <f>(F53/(F44*'Seprate Lat Long'!$B$9))</f>
        <v>1.1970279094205702</v>
      </c>
    </row>
    <row r="55" spans="1:6" x14ac:dyDescent="0.25">
      <c r="A55" t="s">
        <v>89</v>
      </c>
      <c r="B55" s="34"/>
      <c r="F55">
        <f>(4*PI()^2*9.125/(E54*9.81))^0.5</f>
        <v>5.5398594333508164</v>
      </c>
    </row>
    <row r="56" spans="1:6" x14ac:dyDescent="0.25">
      <c r="A56" t="s">
        <v>80</v>
      </c>
      <c r="B56" s="34"/>
      <c r="F56">
        <f>71.5*(((6.001/F55)^2-1)/((6.001/4.813)^2-1))+3.5</f>
        <v>25.856764346584235</v>
      </c>
    </row>
    <row r="58" spans="1:6" x14ac:dyDescent="0.25">
      <c r="A58" t="s">
        <v>81</v>
      </c>
      <c r="B58">
        <f>B44+10</f>
        <v>600</v>
      </c>
      <c r="C58">
        <f t="shared" ref="C58:F58" si="68">C44+10</f>
        <v>600</v>
      </c>
      <c r="D58">
        <f t="shared" si="68"/>
        <v>600</v>
      </c>
      <c r="E58">
        <f t="shared" si="68"/>
        <v>600</v>
      </c>
      <c r="F58">
        <f t="shared" si="68"/>
        <v>600</v>
      </c>
    </row>
    <row r="59" spans="1:6" x14ac:dyDescent="0.25">
      <c r="A59" t="s">
        <v>82</v>
      </c>
      <c r="B59" s="34">
        <v>1.3</v>
      </c>
      <c r="C59" s="34">
        <f>B59+(B68-B59)/2</f>
        <v>1.2404568683991575</v>
      </c>
      <c r="D59" s="34">
        <f t="shared" ref="D59:F59" si="69">C59+(C68-C59)/2</f>
        <v>1.2140294806551633</v>
      </c>
      <c r="E59" s="34">
        <f t="shared" si="69"/>
        <v>1.2021996919488072</v>
      </c>
      <c r="F59" s="34">
        <f t="shared" si="69"/>
        <v>1.1968850728065406</v>
      </c>
    </row>
    <row r="60" spans="1:6" x14ac:dyDescent="0.25">
      <c r="A60" t="s">
        <v>83</v>
      </c>
      <c r="B60" s="34">
        <f>B59*B58*'Seprate Lat Long'!$B$9*'Seprate Lat Long'!$B$7/'Seprate Lat Long'!$B$4</f>
        <v>111.0857142857143</v>
      </c>
      <c r="C60" s="34">
        <f>C59*C58*'Seprate Lat Long'!$B$9*'Seprate Lat Long'!$B$7/'Seprate Lat Long'!$B$4</f>
        <v>105.99772097441594</v>
      </c>
      <c r="D60" s="34">
        <f>D59*D58*'Seprate Lat Long'!$B$9*'Seprate Lat Long'!$B$7/'Seprate Lat Long'!$B$4</f>
        <v>103.7394861711489</v>
      </c>
      <c r="E60" s="34">
        <f>E59*E58*'Seprate Lat Long'!$B$9*'Seprate Lat Long'!$B$7/'Seprate Lat Long'!$B$4</f>
        <v>102.72862422630686</v>
      </c>
      <c r="F60" s="34">
        <f>F59*F58*'Seprate Lat Long'!$B$9*'Seprate Lat Long'!$B$7/'Seprate Lat Long'!$B$4</f>
        <v>102.27448710047979</v>
      </c>
    </row>
    <row r="61" spans="1:6" x14ac:dyDescent="0.25">
      <c r="A61" t="s">
        <v>84</v>
      </c>
      <c r="B61" s="34">
        <f>(B58*'Seprate Lat Long'!$B$9/2)+B60</f>
        <v>273.08571428571429</v>
      </c>
      <c r="C61" s="34">
        <f>(C58*'Seprate Lat Long'!$B$9/2)+C60</f>
        <v>267.99772097441593</v>
      </c>
      <c r="D61" s="34">
        <f>(D58*'Seprate Lat Long'!$B$9/2)+D60</f>
        <v>265.73948617114888</v>
      </c>
      <c r="E61" s="34">
        <f>(E58*'Seprate Lat Long'!$B$9/2)+E60</f>
        <v>264.72862422630686</v>
      </c>
      <c r="F61" s="34">
        <f>(F58*'Seprate Lat Long'!$B$9/2)+F60</f>
        <v>264.2744871004798</v>
      </c>
    </row>
    <row r="62" spans="1:6" x14ac:dyDescent="0.25">
      <c r="A62" t="s">
        <v>79</v>
      </c>
      <c r="B62" s="34">
        <f>0.42*(0.000000000546*B61^4- 0.000000494*B61^3 + 0.000153*B61^2 - 0.0209*B61 + 4.04)</f>
        <v>1.1418177460036214</v>
      </c>
      <c r="C62" s="34">
        <f t="shared" ref="C62" si="70">0.42*(0.000000000546*C61^4- 0.000000494*C61^3 + 0.000153*C61^2 - 0.0209*C61 + 4.04)</f>
        <v>1.1489518285885894</v>
      </c>
      <c r="D62" s="34">
        <f t="shared" ref="D62" si="71">0.42*(0.000000000546*D61^4- 0.000000494*D61^3 + 0.000153*D61^2 - 0.0209*D61 + 4.04)</f>
        <v>1.1520581853993515</v>
      </c>
      <c r="E62" s="34">
        <f t="shared" ref="E62" si="72">0.42*(0.000000000546*E61^4- 0.000000494*E61^3 + 0.000153*E61^2 - 0.0209*E61 + 4.04)</f>
        <v>1.153435685882245</v>
      </c>
      <c r="F62" s="34">
        <f t="shared" ref="F62" si="73">0.42*(0.000000000546*F61^4- 0.000000494*F61^3 + 0.000153*F61^2 - 0.0209*F61 + 4.04)</f>
        <v>1.1540518291480208</v>
      </c>
    </row>
    <row r="63" spans="1:6" x14ac:dyDescent="0.25">
      <c r="A63" t="s">
        <v>85</v>
      </c>
      <c r="B63" s="34">
        <f>B61*B62</f>
        <v>311.81411475150327</v>
      </c>
      <c r="C63" s="34">
        <f>C61*C62</f>
        <v>307.9164715711297</v>
      </c>
      <c r="D63" s="34">
        <f t="shared" ref="D63" si="74">D61*D62</f>
        <v>306.14735022728985</v>
      </c>
      <c r="E63" s="34">
        <f t="shared" ref="E63" si="75">E61*E62</f>
        <v>305.34744225713337</v>
      </c>
      <c r="F63" s="34">
        <f t="shared" ref="F63" si="76">F61*F62</f>
        <v>304.98645523546378</v>
      </c>
    </row>
    <row r="64" spans="1:6" x14ac:dyDescent="0.25">
      <c r="A64" t="s">
        <v>86</v>
      </c>
      <c r="B64" s="34">
        <f>(B58*'Seprate Lat Long'!$B$9/2)-B60</f>
        <v>50.914285714285697</v>
      </c>
      <c r="C64" s="34">
        <f>(C58*'Seprate Lat Long'!$B$9/2)-C60</f>
        <v>56.002279025584059</v>
      </c>
      <c r="D64" s="34">
        <f>(D58*'Seprate Lat Long'!$B$9/2)-D60</f>
        <v>58.260513828851103</v>
      </c>
      <c r="E64" s="34">
        <f>(E58*'Seprate Lat Long'!$B$9/2)-E60</f>
        <v>59.271375773693137</v>
      </c>
      <c r="F64" s="34">
        <f>(F58*'Seprate Lat Long'!$B$9/2)-F60</f>
        <v>59.725512899520211</v>
      </c>
    </row>
    <row r="65" spans="1:6" x14ac:dyDescent="0.25">
      <c r="A65" t="s">
        <v>87</v>
      </c>
      <c r="B65" s="34">
        <f>0.42*(0.000000000546*B64^4- 0.000000494*B64^3 + 0.000153*B64^2 - 0.0209*B64 + 4.04)</f>
        <v>1.3906104146971237</v>
      </c>
      <c r="C65" s="34">
        <f t="shared" ref="C65" si="77">0.42*(0.000000000546*C64^4- 0.000000494*C64^3 + 0.000153*C64^2 - 0.0209*C64 + 4.04)</f>
        <v>1.3725621147841749</v>
      </c>
      <c r="D65" s="34">
        <f t="shared" ref="D65" si="78">0.42*(0.000000000546*D64^4- 0.000000494*D64^3 + 0.000153*D64^2 - 0.0209*D64 + 4.04)</f>
        <v>1.3651183828708211</v>
      </c>
      <c r="E65" s="34">
        <f t="shared" ref="E65" si="79">0.42*(0.000000000546*E64^4- 0.000000494*E64^3 + 0.000153*E64^2 - 0.0209*E64 + 4.04)</f>
        <v>1.3618949058698673</v>
      </c>
      <c r="F65" s="34">
        <f t="shared" ref="F65" si="80">0.42*(0.000000000546*F64^4- 0.000000494*F64^3 + 0.000153*F64^2 - 0.0209*F64 + 4.04)</f>
        <v>1.3604682156398604</v>
      </c>
    </row>
    <row r="66" spans="1:6" x14ac:dyDescent="0.25">
      <c r="A66" t="s">
        <v>88</v>
      </c>
      <c r="B66" s="34">
        <f>B64*B65</f>
        <v>70.80193597115067</v>
      </c>
      <c r="C66" s="34">
        <f>C64*C65</f>
        <v>76.866606532089094</v>
      </c>
      <c r="D66" s="34">
        <f t="shared" ref="D66" si="81">D64*D65</f>
        <v>79.532498423264329</v>
      </c>
      <c r="E66" s="34">
        <f t="shared" ref="E66" si="82">E64*E65</f>
        <v>80.721384730091344</v>
      </c>
      <c r="F66" s="34">
        <f t="shared" ref="F66" si="83">F64*F65</f>
        <v>81.254661962585729</v>
      </c>
    </row>
    <row r="67" spans="1:6" x14ac:dyDescent="0.25">
      <c r="A67" t="s">
        <v>90</v>
      </c>
      <c r="B67" s="34">
        <f>B63+B66</f>
        <v>382.61605072265394</v>
      </c>
      <c r="C67" s="34">
        <f>C63+C66</f>
        <v>384.78307810321883</v>
      </c>
      <c r="D67" s="34">
        <f t="shared" ref="D67" si="84">D63+D66</f>
        <v>385.67984865055416</v>
      </c>
      <c r="E67" s="34">
        <f t="shared" ref="E67" si="85">E63+E66</f>
        <v>386.06882698722472</v>
      </c>
      <c r="F67" s="34">
        <f t="shared" ref="F67" si="86">F63+F66</f>
        <v>386.24111719804949</v>
      </c>
    </row>
    <row r="68" spans="1:6" x14ac:dyDescent="0.25">
      <c r="A68" t="s">
        <v>91</v>
      </c>
      <c r="B68" s="34">
        <f>(B67/(B58*'Seprate Lat Long'!$B$9))</f>
        <v>1.1809137367983147</v>
      </c>
      <c r="C68" s="34">
        <f>(C67/(C58*'Seprate Lat Long'!$B$9))</f>
        <v>1.1876020929111692</v>
      </c>
      <c r="D68" s="34">
        <f>(D67/(D58*'Seprate Lat Long'!$B$9))</f>
        <v>1.1903699032424511</v>
      </c>
      <c r="E68" s="34">
        <f>(E67/(E58*'Seprate Lat Long'!$B$9))</f>
        <v>1.1915704536642739</v>
      </c>
      <c r="F68" s="34">
        <f>(F67/(F58*'Seprate Lat Long'!$B$9))</f>
        <v>1.1921022135742267</v>
      </c>
    </row>
    <row r="69" spans="1:6" x14ac:dyDescent="0.25">
      <c r="A69" t="s">
        <v>89</v>
      </c>
      <c r="B69" s="34"/>
      <c r="F69">
        <f>(4*PI()^2*9.125/(E68*9.81))^0.5</f>
        <v>5.5513925507888242</v>
      </c>
    </row>
    <row r="70" spans="1:6" x14ac:dyDescent="0.25">
      <c r="A70" t="s">
        <v>80</v>
      </c>
      <c r="B70" s="34"/>
      <c r="F70">
        <f>71.5*(((6.001/F69)^2-1)/((6.001/4.813)^2-1))+3.5</f>
        <v>25.22883882889964</v>
      </c>
    </row>
    <row r="72" spans="1:6" x14ac:dyDescent="0.25">
      <c r="A72" t="s">
        <v>81</v>
      </c>
      <c r="B72">
        <f>B58+10</f>
        <v>610</v>
      </c>
      <c r="C72">
        <f t="shared" ref="C72:F72" si="87">C58+10</f>
        <v>610</v>
      </c>
      <c r="D72">
        <f t="shared" si="87"/>
        <v>610</v>
      </c>
      <c r="E72">
        <f t="shared" si="87"/>
        <v>610</v>
      </c>
      <c r="F72">
        <f t="shared" si="87"/>
        <v>610</v>
      </c>
    </row>
    <row r="73" spans="1:6" x14ac:dyDescent="0.25">
      <c r="A73" t="s">
        <v>82</v>
      </c>
      <c r="B73" s="34">
        <v>1.3</v>
      </c>
      <c r="C73" s="34">
        <f>B73+(B82-B73)/2</f>
        <v>1.2374631536342837</v>
      </c>
      <c r="D73" s="34">
        <f t="shared" ref="D73:F73" si="88">C73+(C82-C73)/2</f>
        <v>1.2098438290127902</v>
      </c>
      <c r="E73" s="34">
        <f t="shared" si="88"/>
        <v>1.1975392399505664</v>
      </c>
      <c r="F73" s="34">
        <f t="shared" si="88"/>
        <v>1.192037247406903</v>
      </c>
    </row>
    <row r="74" spans="1:6" x14ac:dyDescent="0.25">
      <c r="A74" t="s">
        <v>83</v>
      </c>
      <c r="B74" s="34">
        <f>B73*B72*'Seprate Lat Long'!$B$9*'Seprate Lat Long'!$B$7/'Seprate Lat Long'!$B$4</f>
        <v>112.93714285714286</v>
      </c>
      <c r="C74" s="34">
        <f>C73*C72*'Seprate Lat Long'!$B$9*'Seprate Lat Long'!$B$7/'Seprate Lat Long'!$B$4</f>
        <v>107.50427150957358</v>
      </c>
      <c r="D74" s="34">
        <f>D73*D72*'Seprate Lat Long'!$B$9*'Seprate Lat Long'!$B$7/'Seprate Lat Long'!$B$4</f>
        <v>105.10485027080786</v>
      </c>
      <c r="E74" s="34">
        <f>E73*E72*'Seprate Lat Long'!$B$9*'Seprate Lat Long'!$B$7/'Seprate Lat Long'!$B$4</f>
        <v>104.03589247640879</v>
      </c>
      <c r="F74" s="34">
        <f>F73*F72*'Seprate Lat Long'!$B$9*'Seprate Lat Long'!$B$7/'Seprate Lat Long'!$B$4</f>
        <v>103.5579083857144</v>
      </c>
    </row>
    <row r="75" spans="1:6" x14ac:dyDescent="0.25">
      <c r="A75" t="s">
        <v>84</v>
      </c>
      <c r="B75" s="34">
        <f>(B72*'Seprate Lat Long'!$B$9/2)+B74</f>
        <v>277.63714285714286</v>
      </c>
      <c r="C75" s="34">
        <f>(C72*'Seprate Lat Long'!$B$9/2)+C74</f>
        <v>272.20427150957357</v>
      </c>
      <c r="D75" s="34">
        <f>(D72*'Seprate Lat Long'!$B$9/2)+D74</f>
        <v>269.80485027080789</v>
      </c>
      <c r="E75" s="34">
        <f>(E72*'Seprate Lat Long'!$B$9/2)+E74</f>
        <v>268.73589247640882</v>
      </c>
      <c r="F75" s="34">
        <f>(F72*'Seprate Lat Long'!$B$9/2)+F74</f>
        <v>268.25790838571442</v>
      </c>
    </row>
    <row r="76" spans="1:6" x14ac:dyDescent="0.25">
      <c r="A76" t="s">
        <v>79</v>
      </c>
      <c r="B76" s="34">
        <f>0.42*(0.000000000546*B75^4- 0.000000494*B75^3 + 0.000153*B75^2 - 0.0209*B75 + 4.04)</f>
        <v>1.1352988187693656</v>
      </c>
      <c r="C76" s="34">
        <f t="shared" ref="C76" si="89">0.42*(0.000000000546*C75^4- 0.000000494*C75^3 + 0.000153*C75^2 - 0.0209*C75 + 4.04)</f>
        <v>1.1430661065529162</v>
      </c>
      <c r="D76" s="34">
        <f t="shared" ref="D76" si="90">0.42*(0.000000000546*D75^4- 0.000000494*D75^3 + 0.000153*D75^2 - 0.0209*D75 + 4.04)</f>
        <v>1.1464384747318792</v>
      </c>
      <c r="E76" s="34">
        <f t="shared" ref="E76" si="91">0.42*(0.000000000546*E75^4- 0.000000494*E75^3 + 0.000153*E75^2 - 0.0209*E75 + 4.04)</f>
        <v>1.1479280456811158</v>
      </c>
      <c r="F76" s="34">
        <f t="shared" ref="F76" si="92">0.42*(0.000000000546*F75^4- 0.000000494*F75^3 + 0.000153*F75^2 - 0.0209*F75 + 4.04)</f>
        <v>1.1485914292497157</v>
      </c>
    </row>
    <row r="77" spans="1:6" x14ac:dyDescent="0.25">
      <c r="A77" t="s">
        <v>85</v>
      </c>
      <c r="B77" s="34">
        <f>B75*B76</f>
        <v>315.20112033221591</v>
      </c>
      <c r="C77" s="34">
        <f>C75*C76</f>
        <v>311.14747682152114</v>
      </c>
      <c r="D77" s="34">
        <f t="shared" ref="D77" si="93">D75*D76</f>
        <v>309.31466101972802</v>
      </c>
      <c r="E77" s="34">
        <f t="shared" ref="E77" si="94">E75*E76</f>
        <v>308.48946785481445</v>
      </c>
      <c r="F77" s="34">
        <f t="shared" ref="F77" si="95">F75*F76</f>
        <v>308.118734400287</v>
      </c>
    </row>
    <row r="78" spans="1:6" x14ac:dyDescent="0.25">
      <c r="A78" t="s">
        <v>86</v>
      </c>
      <c r="B78" s="34">
        <f>(B72*'Seprate Lat Long'!$B$9/2)-B74</f>
        <v>51.762857142857158</v>
      </c>
      <c r="C78" s="34">
        <f>(C72*'Seprate Lat Long'!$B$9/2)-C74</f>
        <v>57.195728490426433</v>
      </c>
      <c r="D78" s="34">
        <f>(D72*'Seprate Lat Long'!$B$9/2)-D74</f>
        <v>59.595149729192158</v>
      </c>
      <c r="E78" s="34">
        <f>(E72*'Seprate Lat Long'!$B$9/2)-E74</f>
        <v>60.664107523591227</v>
      </c>
      <c r="F78" s="34">
        <f>(F72*'Seprate Lat Long'!$B$9/2)-F74</f>
        <v>61.142091614285619</v>
      </c>
    </row>
    <row r="79" spans="1:6" x14ac:dyDescent="0.25">
      <c r="A79" t="s">
        <v>87</v>
      </c>
      <c r="B79" s="34">
        <f>0.42*(0.000000000546*B78^4- 0.000000494*B78^3 + 0.000153*B78^2 - 0.0209*B78 + 4.04)</f>
        <v>1.3874737455824684</v>
      </c>
      <c r="C79" s="34">
        <f t="shared" ref="C79" si="96">0.42*(0.000000000546*C78^4- 0.000000494*C78^3 + 0.000153*C78^2 - 0.0209*C78 + 4.04)</f>
        <v>1.3685860289037903</v>
      </c>
      <c r="D79" s="34">
        <f t="shared" ref="D79" si="97">0.42*(0.000000000546*D78^4- 0.000000494*D78^3 + 0.000153*D78^2 - 0.0209*D78 + 4.04)</f>
        <v>1.3608764027178053</v>
      </c>
      <c r="E79" s="34">
        <f t="shared" ref="E79" si="98">0.42*(0.000000000546*E78^4- 0.000000494*E78^3 + 0.000153*E78^2 - 0.0209*E78 + 4.04)</f>
        <v>1.357561306990468</v>
      </c>
      <c r="F79" s="34">
        <f t="shared" ref="F79" si="99">0.42*(0.000000000546*F78^4- 0.000000494*F78^3 + 0.000153*F78^2 - 0.0209*F78 + 4.04)</f>
        <v>1.3561023683351565</v>
      </c>
    </row>
    <row r="80" spans="1:6" x14ac:dyDescent="0.25">
      <c r="A80" t="s">
        <v>88</v>
      </c>
      <c r="B80" s="34">
        <f>B78*B79</f>
        <v>71.819605282050247</v>
      </c>
      <c r="C80" s="34">
        <f>C78*C79</f>
        <v>78.27727492497209</v>
      </c>
      <c r="D80" s="34">
        <f t="shared" ref="D80" si="100">D78*D79</f>
        <v>81.101632982892014</v>
      </c>
      <c r="E80" s="34">
        <f t="shared" ref="E80" si="101">E78*E79</f>
        <v>82.355245097136788</v>
      </c>
      <c r="F80" s="34">
        <f t="shared" ref="F80" si="102">F78*F79</f>
        <v>82.914935243097844</v>
      </c>
    </row>
    <row r="81" spans="1:6" x14ac:dyDescent="0.25">
      <c r="A81" t="s">
        <v>90</v>
      </c>
      <c r="B81" s="34">
        <f>B77+B80</f>
        <v>387.02072561426615</v>
      </c>
      <c r="C81" s="34">
        <f>C77+C80</f>
        <v>389.42475174649326</v>
      </c>
      <c r="D81" s="34">
        <f t="shared" ref="D81" si="103">D77+D80</f>
        <v>390.41629400262002</v>
      </c>
      <c r="E81" s="34">
        <f t="shared" ref="E81" si="104">E77+E80</f>
        <v>390.84471295195124</v>
      </c>
      <c r="F81" s="34">
        <f t="shared" ref="F81" si="105">F77+F80</f>
        <v>391.03366964338483</v>
      </c>
    </row>
    <row r="82" spans="1:6" x14ac:dyDescent="0.25">
      <c r="A82" t="s">
        <v>91</v>
      </c>
      <c r="B82" s="34">
        <f>(B81/(B72*'Seprate Lat Long'!$B$9))</f>
        <v>1.1749263072685674</v>
      </c>
      <c r="C82" s="34">
        <f>(C81/(C72*'Seprate Lat Long'!$B$9))</f>
        <v>1.1822245043912969</v>
      </c>
      <c r="D82" s="34">
        <f>(D81/(D72*'Seprate Lat Long'!$B$9))</f>
        <v>1.1852346508883425</v>
      </c>
      <c r="E82" s="34">
        <f>(E81/(E72*'Seprate Lat Long'!$B$9))</f>
        <v>1.1865352548632397</v>
      </c>
      <c r="F82" s="34">
        <f>(F81/(F72*'Seprate Lat Long'!$B$9))</f>
        <v>1.1871088938779137</v>
      </c>
    </row>
    <row r="83" spans="1:6" x14ac:dyDescent="0.25">
      <c r="A83" t="s">
        <v>89</v>
      </c>
      <c r="B83" s="34"/>
      <c r="F83">
        <f>(4*PI()^2*9.125/(E82*9.81))^0.5</f>
        <v>5.5631590672019398</v>
      </c>
    </row>
    <row r="84" spans="1:6" x14ac:dyDescent="0.25">
      <c r="A84" t="s">
        <v>80</v>
      </c>
      <c r="B84" s="34"/>
      <c r="F84">
        <f>71.5*(((6.001/F83)^2-1)/((6.001/4.813)^2-1))+3.5</f>
        <v>24.592226225298255</v>
      </c>
    </row>
    <row r="86" spans="1:6" x14ac:dyDescent="0.25">
      <c r="A86" t="s">
        <v>81</v>
      </c>
      <c r="B86">
        <f>B72+10</f>
        <v>620</v>
      </c>
      <c r="C86">
        <f t="shared" ref="C86:F86" si="106">C72+10</f>
        <v>620</v>
      </c>
      <c r="D86">
        <f t="shared" si="106"/>
        <v>620</v>
      </c>
      <c r="E86">
        <f t="shared" si="106"/>
        <v>620</v>
      </c>
      <c r="F86">
        <f t="shared" si="106"/>
        <v>620</v>
      </c>
    </row>
    <row r="87" spans="1:6" x14ac:dyDescent="0.25">
      <c r="A87" t="s">
        <v>82</v>
      </c>
      <c r="B87" s="34">
        <v>1.3</v>
      </c>
      <c r="C87" s="34">
        <f>B87+(B96-B87)/2</f>
        <v>1.2344300315139449</v>
      </c>
      <c r="D87" s="34">
        <f t="shared" ref="D87:F87" si="107">C87+(C96-C87)/2</f>
        <v>1.2056061594699354</v>
      </c>
      <c r="E87" s="34">
        <f t="shared" si="107"/>
        <v>1.1928237023342014</v>
      </c>
      <c r="F87" s="34">
        <f t="shared" si="107"/>
        <v>1.1871340379499724</v>
      </c>
    </row>
    <row r="88" spans="1:6" x14ac:dyDescent="0.25">
      <c r="A88" t="s">
        <v>83</v>
      </c>
      <c r="B88" s="34">
        <f>B87*B86*'Seprate Lat Long'!$B$9*'Seprate Lat Long'!$B$7/'Seprate Lat Long'!$B$4</f>
        <v>114.78857142857143</v>
      </c>
      <c r="C88" s="34">
        <f>C87*C86*'Seprate Lat Long'!$B$9*'Seprate Lat Long'!$B$7/'Seprate Lat Long'!$B$4</f>
        <v>108.99881526616322</v>
      </c>
      <c r="D88" s="34">
        <f>D87*D86*'Seprate Lat Long'!$B$9*'Seprate Lat Long'!$B$7/'Seprate Lat Long'!$B$4</f>
        <v>106.45369903926182</v>
      </c>
      <c r="E88" s="34">
        <f>E87*E86*'Seprate Lat Long'!$B$9*'Seprate Lat Long'!$B$7/'Seprate Lat Long'!$B$4</f>
        <v>105.32502212083271</v>
      </c>
      <c r="F88" s="34">
        <f>F87*F86*'Seprate Lat Long'!$B$9*'Seprate Lat Long'!$B$7/'Seprate Lat Long'!$B$4</f>
        <v>104.82263100808372</v>
      </c>
    </row>
    <row r="89" spans="1:6" x14ac:dyDescent="0.25">
      <c r="A89" t="s">
        <v>84</v>
      </c>
      <c r="B89" s="34">
        <f>(B86*'Seprate Lat Long'!$B$9/2)+B88</f>
        <v>282.18857142857144</v>
      </c>
      <c r="C89" s="34">
        <f>(C86*'Seprate Lat Long'!$B$9/2)+C88</f>
        <v>276.39881526616324</v>
      </c>
      <c r="D89" s="34">
        <f>(D86*'Seprate Lat Long'!$B$9/2)+D88</f>
        <v>273.85369903926181</v>
      </c>
      <c r="E89" s="34">
        <f>(E86*'Seprate Lat Long'!$B$9/2)+E88</f>
        <v>272.7250221208327</v>
      </c>
      <c r="F89" s="34">
        <f>(F86*'Seprate Lat Long'!$B$9/2)+F88</f>
        <v>272.22263100808374</v>
      </c>
    </row>
    <row r="90" spans="1:6" x14ac:dyDescent="0.25">
      <c r="A90" t="s">
        <v>79</v>
      </c>
      <c r="B90" s="34">
        <f>0.42*(0.000000000546*B89^4- 0.000000494*B89^3 + 0.000153*B89^2 - 0.0209*B89 + 4.04)</f>
        <v>1.1286767896456011</v>
      </c>
      <c r="C90" s="34">
        <f t="shared" ref="C90" si="108">0.42*(0.000000000546*C89^4- 0.000000494*C89^3 + 0.000153*C89^2 - 0.0209*C89 + 4.04)</f>
        <v>1.1370837764245196</v>
      </c>
      <c r="D90" s="34">
        <f t="shared" ref="D90" si="109">0.42*(0.000000000546*D89^4- 0.000000494*D89^3 + 0.000153*D89^2 - 0.0209*D89 + 4.04)</f>
        <v>1.1407261281723107</v>
      </c>
      <c r="E90" s="34">
        <f t="shared" ref="E90" si="110">0.42*(0.000000000546*E89^4- 0.000000494*E89^3 + 0.000153*E89^2 - 0.0209*E89 + 4.04)</f>
        <v>1.1423291773004647</v>
      </c>
      <c r="F90" s="34">
        <f t="shared" ref="F90" si="111">0.42*(0.000000000546*F89^4- 0.000000494*F89^3 + 0.000153*F89^2 - 0.0209*F89 + 4.04)</f>
        <v>1.1430401550018747</v>
      </c>
    </row>
    <row r="91" spans="1:6" x14ac:dyDescent="0.25">
      <c r="A91" t="s">
        <v>85</v>
      </c>
      <c r="B91" s="34">
        <f>B89*B90</f>
        <v>318.49969087467844</v>
      </c>
      <c r="C91" s="34">
        <f>C89*C90</f>
        <v>314.28860866211204</v>
      </c>
      <c r="D91" s="34">
        <f t="shared" ref="D91" si="112">D89*D90</f>
        <v>312.39206979072236</v>
      </c>
      <c r="E91" s="34">
        <f t="shared" ref="E91" si="113">E89*E90</f>
        <v>311.54175014854184</v>
      </c>
      <c r="F91" s="34">
        <f t="shared" ref="F91" si="114">F89*F90</f>
        <v>311.16139834249816</v>
      </c>
    </row>
    <row r="92" spans="1:6" x14ac:dyDescent="0.25">
      <c r="A92" t="s">
        <v>86</v>
      </c>
      <c r="B92" s="34">
        <f>(B86*'Seprate Lat Long'!$B$9/2)-B88</f>
        <v>52.611428571428576</v>
      </c>
      <c r="C92" s="34">
        <f>(C86*'Seprate Lat Long'!$B$9/2)-C88</f>
        <v>58.401184733836786</v>
      </c>
      <c r="D92" s="34">
        <f>(D86*'Seprate Lat Long'!$B$9/2)-D88</f>
        <v>60.946300960738185</v>
      </c>
      <c r="E92" s="34">
        <f>(E86*'Seprate Lat Long'!$B$9/2)-E88</f>
        <v>62.074977879167292</v>
      </c>
      <c r="F92" s="34">
        <f>(F86*'Seprate Lat Long'!$B$9/2)-F88</f>
        <v>62.577368991916288</v>
      </c>
    </row>
    <row r="93" spans="1:6" x14ac:dyDescent="0.25">
      <c r="A93" t="s">
        <v>87</v>
      </c>
      <c r="B93" s="34">
        <f>0.42*(0.000000000546*B92^4- 0.000000494*B92^3 + 0.000153*B92^2 - 0.0209*B92 + 4.04)</f>
        <v>1.3843885293510745</v>
      </c>
      <c r="C93" s="34">
        <f t="shared" ref="C93" si="115">0.42*(0.000000000546*C92^4- 0.000000494*C92^3 + 0.000153*C92^2 - 0.0209*C92 + 4.04)</f>
        <v>1.3646658288065858</v>
      </c>
      <c r="D93" s="34">
        <f t="shared" ref="D93" si="116">0.42*(0.000000000546*D92^4- 0.000000494*D92^3 + 0.000153*D92^2 - 0.0209*D92 + 4.04)</f>
        <v>1.3566982376008514</v>
      </c>
      <c r="E93" s="34">
        <f t="shared" ref="E93" si="117">0.42*(0.000000000546*E92^4- 0.000000494*E92^3 + 0.000153*E92^2 - 0.0209*E92 + 4.04)</f>
        <v>1.3532961104680772</v>
      </c>
      <c r="F93" s="34">
        <f t="shared" ref="F93" si="118">0.42*(0.000000000546*F92^4- 0.000000494*F92^3 + 0.000153*F92^2 - 0.0209*F92 + 4.04)</f>
        <v>1.3518071899140527</v>
      </c>
    </row>
    <row r="94" spans="1:6" x14ac:dyDescent="0.25">
      <c r="A94" t="s">
        <v>88</v>
      </c>
      <c r="B94" s="34">
        <f>B92*B93</f>
        <v>72.834658227059109</v>
      </c>
      <c r="C94" s="34">
        <f>C92*C93</f>
        <v>79.698101168087902</v>
      </c>
      <c r="D94" s="34">
        <f t="shared" ref="D94" si="119">D92*D93</f>
        <v>82.685739101724579</v>
      </c>
      <c r="E94" s="34">
        <f t="shared" ref="E94" si="120">E92*E93</f>
        <v>84.005826121269024</v>
      </c>
      <c r="F94" s="34">
        <f t="shared" ref="F94" si="121">F92*F93</f>
        <v>84.592537329177134</v>
      </c>
    </row>
    <row r="95" spans="1:6" x14ac:dyDescent="0.25">
      <c r="A95" t="s">
        <v>90</v>
      </c>
      <c r="B95" s="34">
        <f>B91+B94</f>
        <v>391.33434910173753</v>
      </c>
      <c r="C95" s="34">
        <f>C91+C94</f>
        <v>393.98670983019997</v>
      </c>
      <c r="D95" s="34">
        <f t="shared" ref="D95" si="122">D91+D94</f>
        <v>395.07780889244691</v>
      </c>
      <c r="E95" s="34">
        <f t="shared" ref="E95" si="123">E91+E94</f>
        <v>395.54757626981086</v>
      </c>
      <c r="F95" s="34">
        <f t="shared" ref="F95" si="124">F91+F94</f>
        <v>395.75393567167532</v>
      </c>
    </row>
    <row r="96" spans="1:6" x14ac:dyDescent="0.25">
      <c r="A96" t="s">
        <v>91</v>
      </c>
      <c r="B96" s="34">
        <f>(B95/(B86*'Seprate Lat Long'!$B$9))</f>
        <v>1.1688600630278898</v>
      </c>
      <c r="C96" s="34">
        <f>(C95/(C86*'Seprate Lat Long'!$B$9))</f>
        <v>1.1767822874259257</v>
      </c>
      <c r="D96" s="34">
        <f>(D95/(D86*'Seprate Lat Long'!$B$9))</f>
        <v>1.1800412451984674</v>
      </c>
      <c r="E96" s="34">
        <f>(E95/(E86*'Seprate Lat Long'!$B$9))</f>
        <v>1.1814443735657432</v>
      </c>
      <c r="F96" s="34">
        <f>(F95/(F86*'Seprate Lat Long'!$B$9))</f>
        <v>1.1820607397600815</v>
      </c>
    </row>
    <row r="97" spans="1:6" x14ac:dyDescent="0.25">
      <c r="A97" t="s">
        <v>89</v>
      </c>
      <c r="B97" s="34"/>
      <c r="F97">
        <f>(4*PI()^2*9.125/(E96*9.81))^0.5</f>
        <v>5.5751320975052892</v>
      </c>
    </row>
    <row r="98" spans="1:6" x14ac:dyDescent="0.25">
      <c r="A98" t="s">
        <v>80</v>
      </c>
      <c r="B98" s="34"/>
      <c r="F98">
        <f>71.5*(((6.001/F97)^2-1)/((6.001/4.813)^2-1))+3.5</f>
        <v>23.948573546329769</v>
      </c>
    </row>
    <row r="100" spans="1:6" x14ac:dyDescent="0.25">
      <c r="A100" t="s">
        <v>81</v>
      </c>
      <c r="B100">
        <f>B86+10</f>
        <v>630</v>
      </c>
      <c r="C100">
        <f t="shared" ref="C100:F100" si="125">C86+10</f>
        <v>630</v>
      </c>
      <c r="D100">
        <f t="shared" si="125"/>
        <v>630</v>
      </c>
      <c r="E100">
        <f t="shared" si="125"/>
        <v>630</v>
      </c>
      <c r="F100">
        <f t="shared" si="125"/>
        <v>630</v>
      </c>
    </row>
    <row r="101" spans="1:6" x14ac:dyDescent="0.25">
      <c r="A101" t="s">
        <v>82</v>
      </c>
      <c r="B101" s="34">
        <v>1.3</v>
      </c>
      <c r="C101" s="34">
        <f>B101+(B110-B101)/2</f>
        <v>1.2313692043765447</v>
      </c>
      <c r="D101" s="34">
        <f t="shared" ref="D101:F101" si="126">C101+(C110-C101)/2</f>
        <v>1.2013304275161973</v>
      </c>
      <c r="E101" s="34">
        <f t="shared" si="126"/>
        <v>1.1880671466312083</v>
      </c>
      <c r="F101" s="34">
        <f t="shared" si="126"/>
        <v>1.1821892234848819</v>
      </c>
    </row>
    <row r="102" spans="1:6" x14ac:dyDescent="0.25">
      <c r="A102" t="s">
        <v>83</v>
      </c>
      <c r="B102" s="34">
        <f>B101*B100*'Seprate Lat Long'!$B$9*'Seprate Lat Long'!$B$7/'Seprate Lat Long'!$B$4</f>
        <v>116.64000000000001</v>
      </c>
      <c r="C102" s="34">
        <f>C101*C100*'Seprate Lat Long'!$B$9*'Seprate Lat Long'!$B$7/'Seprate Lat Long'!$B$4</f>
        <v>110.48223384498476</v>
      </c>
      <c r="D102" s="34">
        <f>D101*D100*'Seprate Lat Long'!$B$9*'Seprate Lat Long'!$B$7/'Seprate Lat Long'!$B$4</f>
        <v>107.78706235806867</v>
      </c>
      <c r="E102" s="34">
        <f>E101*E100*'Seprate Lat Long'!$B$9*'Seprate Lat Long'!$B$7/'Seprate Lat Long'!$B$4</f>
        <v>106.5970399869724</v>
      </c>
      <c r="F102" s="34">
        <f>F101*F100*'Seprate Lat Long'!$B$9*'Seprate Lat Long'!$B$7/'Seprate Lat Long'!$B$4</f>
        <v>106.06965463636664</v>
      </c>
    </row>
    <row r="103" spans="1:6" x14ac:dyDescent="0.25">
      <c r="A103" t="s">
        <v>84</v>
      </c>
      <c r="B103" s="34">
        <f>(B100*'Seprate Lat Long'!$B$9/2)+B102</f>
        <v>286.74</v>
      </c>
      <c r="C103" s="34">
        <f>(C100*'Seprate Lat Long'!$B$9/2)+C102</f>
        <v>280.58223384498478</v>
      </c>
      <c r="D103" s="34">
        <f>(D100*'Seprate Lat Long'!$B$9/2)+D102</f>
        <v>277.8870623580687</v>
      </c>
      <c r="E103" s="34">
        <f>(E100*'Seprate Lat Long'!$B$9/2)+E102</f>
        <v>276.69703998697241</v>
      </c>
      <c r="F103" s="34">
        <f>(F100*'Seprate Lat Long'!$B$9/2)+F102</f>
        <v>276.16965463636666</v>
      </c>
    </row>
    <row r="104" spans="1:6" x14ac:dyDescent="0.25">
      <c r="A104" t="s">
        <v>79</v>
      </c>
      <c r="B104" s="34">
        <f>0.42*(0.000000000546*B103^4- 0.000000494*B103^3 + 0.000153*B103^2 - 0.0209*B103 + 4.04)</f>
        <v>1.1219795359909077</v>
      </c>
      <c r="C104" s="34">
        <f t="shared" ref="C104" si="127">0.42*(0.000000000546*C103^4- 0.000000494*C103^3 + 0.000153*C103^2 - 0.0209*C103 + 4.04)</f>
        <v>1.1310239803003728</v>
      </c>
      <c r="D104" s="34">
        <f t="shared" ref="D104" si="128">0.42*(0.000000000546*D103^4- 0.000000494*D103^3 + 0.000153*D103^2 - 0.0209*D103 + 4.04)</f>
        <v>1.134937633697775</v>
      </c>
      <c r="E104" s="34">
        <f t="shared" ref="E104" si="129">0.42*(0.000000000546*E103^4- 0.000000494*E103^3 + 0.000153*E103^2 - 0.0209*E103 + 4.04)</f>
        <v>1.1366546351512179</v>
      </c>
      <c r="F104" s="34">
        <f t="shared" ref="F104" si="130">0.42*(0.000000000546*F103^4- 0.000000494*F103^3 + 0.000153*F103^2 - 0.0209*F103 + 4.04)</f>
        <v>1.1374132135474437</v>
      </c>
    </row>
    <row r="105" spans="1:6" x14ac:dyDescent="0.25">
      <c r="A105" t="s">
        <v>85</v>
      </c>
      <c r="B105" s="34">
        <f>B103*B104</f>
        <v>321.71641215003291</v>
      </c>
      <c r="C105" s="34">
        <f>C103*C104</f>
        <v>317.34523492492468</v>
      </c>
      <c r="D105" s="34">
        <f t="shared" ref="D105" si="131">D103*D104</f>
        <v>315.38448498789256</v>
      </c>
      <c r="E105" s="34">
        <f t="shared" ref="E105" si="132">E103*E104</f>
        <v>314.50897303381407</v>
      </c>
      <c r="F105" s="34">
        <f t="shared" ref="F105" si="133">F103*F104</f>
        <v>314.1190143642375</v>
      </c>
    </row>
    <row r="106" spans="1:6" x14ac:dyDescent="0.25">
      <c r="A106" t="s">
        <v>86</v>
      </c>
      <c r="B106" s="34">
        <f>(B100*'Seprate Lat Long'!$B$9/2)-B102</f>
        <v>53.460000000000008</v>
      </c>
      <c r="C106" s="34">
        <f>(C100*'Seprate Lat Long'!$B$9/2)-C102</f>
        <v>59.617766155015261</v>
      </c>
      <c r="D106" s="34">
        <f>(D100*'Seprate Lat Long'!$B$9/2)-D102</f>
        <v>62.312937641931356</v>
      </c>
      <c r="E106" s="34">
        <f>(E100*'Seprate Lat Long'!$B$9/2)-E102</f>
        <v>63.502960013027618</v>
      </c>
      <c r="F106" s="34">
        <f>(F100*'Seprate Lat Long'!$B$9/2)-F102</f>
        <v>64.030345363633387</v>
      </c>
    </row>
    <row r="107" spans="1:6" x14ac:dyDescent="0.25">
      <c r="A107" t="s">
        <v>87</v>
      </c>
      <c r="B107" s="34">
        <f>0.42*(0.000000000546*B106^4- 0.000000494*B106^3 + 0.000153*B106^2 - 0.0209*B106 + 4.04)</f>
        <v>1.3813541808411551</v>
      </c>
      <c r="C107" s="34">
        <f t="shared" ref="C107" si="134">0.42*(0.000000000546*C106^4- 0.000000494*C106^3 + 0.000153*C106^2 - 0.0209*C106 + 4.04)</f>
        <v>1.3608055091707043</v>
      </c>
      <c r="D107" s="34">
        <f t="shared" ref="D107" si="135">0.42*(0.000000000546*D106^4- 0.000000494*D106^3 + 0.000153*D106^2 - 0.0209*D106 + 4.04)</f>
        <v>1.3525889378429083</v>
      </c>
      <c r="E107" s="34">
        <f t="shared" ref="E107" si="136">0.42*(0.000000000546*E106^4- 0.000000494*E106^3 + 0.000153*E106^2 - 0.0209*E106 + 4.04)</f>
        <v>1.3491045350293425</v>
      </c>
      <c r="F107" s="34">
        <f t="shared" ref="F107" si="137">0.42*(0.000000000546*F106^4- 0.000000494*F106^3 + 0.000153*F106^2 - 0.0209*F106 + 4.04)</f>
        <v>1.3475878601323952</v>
      </c>
    </row>
    <row r="108" spans="1:6" x14ac:dyDescent="0.25">
      <c r="A108" t="s">
        <v>88</v>
      </c>
      <c r="B108" s="34">
        <f>B106*B107</f>
        <v>73.847194507768165</v>
      </c>
      <c r="C108" s="34">
        <f>C106*C107</f>
        <v>81.128184628195527</v>
      </c>
      <c r="D108" s="34">
        <f t="shared" ref="D108" si="138">D106*D107</f>
        <v>84.283790138971312</v>
      </c>
      <c r="E108" s="34">
        <f t="shared" ref="E108" si="139">E106*E107</f>
        <v>85.672131341362558</v>
      </c>
      <c r="F108" s="34">
        <f t="shared" ref="F108" si="140">F106*F107</f>
        <v>86.286516092116941</v>
      </c>
    </row>
    <row r="109" spans="1:6" x14ac:dyDescent="0.25">
      <c r="A109" t="s">
        <v>90</v>
      </c>
      <c r="B109" s="34">
        <f>B105+B108</f>
        <v>395.56360665780107</v>
      </c>
      <c r="C109" s="34">
        <f>C105+C108</f>
        <v>398.47341955312021</v>
      </c>
      <c r="D109" s="34">
        <f t="shared" ref="D109" si="141">D105+D108</f>
        <v>399.66827512686388</v>
      </c>
      <c r="E109" s="34">
        <f t="shared" ref="E109" si="142">E105+E108</f>
        <v>400.18110437517663</v>
      </c>
      <c r="F109" s="34">
        <f t="shared" ref="F109" si="143">F105+F108</f>
        <v>400.40553045635443</v>
      </c>
    </row>
    <row r="110" spans="1:6" x14ac:dyDescent="0.25">
      <c r="A110" t="s">
        <v>91</v>
      </c>
      <c r="B110" s="34">
        <f>(B109/(B100*'Seprate Lat Long'!$B$9))</f>
        <v>1.1627384087530894</v>
      </c>
      <c r="C110" s="34">
        <f>(C109/(C100*'Seprate Lat Long'!$B$9))</f>
        <v>1.1712916506558499</v>
      </c>
      <c r="D110" s="34">
        <f>(D109/(D100*'Seprate Lat Long'!$B$9))</f>
        <v>1.1748038657462194</v>
      </c>
      <c r="E110" s="34">
        <f>(E109/(E100*'Seprate Lat Long'!$B$9))</f>
        <v>1.1763113003385555</v>
      </c>
      <c r="F110" s="34">
        <f>(F109/(F100*'Seprate Lat Long'!$B$9))</f>
        <v>1.1769709889957507</v>
      </c>
    </row>
    <row r="111" spans="1:6" x14ac:dyDescent="0.25">
      <c r="A111" t="s">
        <v>89</v>
      </c>
      <c r="B111" s="34"/>
      <c r="F111">
        <f>(4*PI()^2*9.125/(E110*9.81))^0.5</f>
        <v>5.5872829667504913</v>
      </c>
    </row>
    <row r="112" spans="1:6" x14ac:dyDescent="0.25">
      <c r="A112" t="s">
        <v>80</v>
      </c>
      <c r="B112" s="34"/>
      <c r="F112">
        <f>71.5*(((6.001/F111)^2-1)/((6.001/4.813)^2-1))+3.5</f>
        <v>23.299586437625166</v>
      </c>
    </row>
    <row r="114" spans="1:6" x14ac:dyDescent="0.25">
      <c r="A114" t="s">
        <v>81</v>
      </c>
      <c r="B114">
        <f>B100+10</f>
        <v>640</v>
      </c>
      <c r="C114">
        <f t="shared" ref="C114:F114" si="144">C100+10</f>
        <v>640</v>
      </c>
      <c r="D114">
        <f t="shared" si="144"/>
        <v>640</v>
      </c>
      <c r="E114">
        <f t="shared" si="144"/>
        <v>640</v>
      </c>
      <c r="F114">
        <f t="shared" si="144"/>
        <v>640</v>
      </c>
    </row>
    <row r="115" spans="1:6" x14ac:dyDescent="0.25">
      <c r="A115" t="s">
        <v>82</v>
      </c>
      <c r="B115" s="34">
        <v>1.3</v>
      </c>
      <c r="C115" s="34">
        <f>B115+(B124-B115)/2</f>
        <v>1.2282933701169561</v>
      </c>
      <c r="D115" s="34">
        <f t="shared" ref="D115:F115" si="145">C115+(C124-C115)/2</f>
        <v>1.1970314710092982</v>
      </c>
      <c r="E115" s="34">
        <f t="shared" si="145"/>
        <v>1.1832843231083165</v>
      </c>
      <c r="F115" s="34">
        <f t="shared" si="145"/>
        <v>1.1772171309150221</v>
      </c>
    </row>
    <row r="116" spans="1:6" x14ac:dyDescent="0.25">
      <c r="A116" t="s">
        <v>83</v>
      </c>
      <c r="B116" s="34">
        <f>B115*B114*'Seprate Lat Long'!$B$9*'Seprate Lat Long'!$B$7/'Seprate Lat Long'!$B$4</f>
        <v>118.49142857142859</v>
      </c>
      <c r="C116" s="34">
        <f>C115*C114*'Seprate Lat Long'!$B$9*'Seprate Lat Long'!$B$7/'Seprate Lat Long'!$B$4</f>
        <v>111.95556625382508</v>
      </c>
      <c r="D116" s="34">
        <f>D115*D114*'Seprate Lat Long'!$B$9*'Seprate Lat Long'!$B$7/'Seprate Lat Long'!$B$4</f>
        <v>109.10613003450027</v>
      </c>
      <c r="E116" s="34">
        <f>E115*E114*'Seprate Lat Long'!$B$9*'Seprate Lat Long'!$B$7/'Seprate Lat Long'!$B$4</f>
        <v>107.85311527021562</v>
      </c>
      <c r="F116" s="34">
        <f>F115*F114*'Seprate Lat Long'!$B$9*'Seprate Lat Long'!$B$7/'Seprate Lat Long'!$B$4</f>
        <v>107.30010736990724</v>
      </c>
    </row>
    <row r="117" spans="1:6" x14ac:dyDescent="0.25">
      <c r="A117" t="s">
        <v>84</v>
      </c>
      <c r="B117" s="34">
        <f>(B114*'Seprate Lat Long'!$B$9/2)+B116</f>
        <v>291.29142857142858</v>
      </c>
      <c r="C117" s="34">
        <f>(C114*'Seprate Lat Long'!$B$9/2)+C116</f>
        <v>284.75556625382512</v>
      </c>
      <c r="D117" s="34">
        <f>(D114*'Seprate Lat Long'!$B$9/2)+D116</f>
        <v>281.90613003450028</v>
      </c>
      <c r="E117" s="34">
        <f>(E114*'Seprate Lat Long'!$B$9/2)+E116</f>
        <v>280.65311527021561</v>
      </c>
      <c r="F117" s="34">
        <f>(F114*'Seprate Lat Long'!$B$9/2)+F116</f>
        <v>280.10010736990728</v>
      </c>
    </row>
    <row r="118" spans="1:6" x14ac:dyDescent="0.25">
      <c r="A118" t="s">
        <v>79</v>
      </c>
      <c r="B118" s="34">
        <f>0.42*(0.000000000546*B117^4- 0.000000494*B117^3 + 0.000153*B117^2 - 0.0209*B117 + 4.04)</f>
        <v>1.1152372969692053</v>
      </c>
      <c r="C118" s="34">
        <f t="shared" ref="C118" si="146">0.42*(0.000000000546*C117^4- 0.000000494*C117^3 + 0.000153*C117^2 - 0.0209*C117 + 4.04)</f>
        <v>1.1249069196751378</v>
      </c>
      <c r="D118" s="34">
        <f t="shared" ref="D118" si="147">0.42*(0.000000000546*D117^4- 0.000000494*D117^3 + 0.000153*D117^2 - 0.0209*D117 + 4.04)</f>
        <v>1.1290902115034758</v>
      </c>
      <c r="E118" s="34">
        <f t="shared" ref="E118" si="148">0.42*(0.000000000546*E117^4- 0.000000494*E117^3 + 0.000153*E117^2 - 0.0209*E117 + 4.04)</f>
        <v>1.1309206234166294</v>
      </c>
      <c r="F118" s="34">
        <f t="shared" ref="F118" si="149">0.42*(0.000000000546*F117^4- 0.000000494*F117^3 + 0.000153*F117^2 - 0.0209*F117 + 4.04)</f>
        <v>1.1317264448646787</v>
      </c>
    </row>
    <row r="119" spans="1:6" x14ac:dyDescent="0.25">
      <c r="A119" t="s">
        <v>85</v>
      </c>
      <c r="B119" s="34">
        <f>B117*B118</f>
        <v>324.85906543029836</v>
      </c>
      <c r="C119" s="34">
        <f>C117*C118</f>
        <v>320.32350689494001</v>
      </c>
      <c r="D119" s="34">
        <f t="shared" ref="D119" si="150">D117*D118</f>
        <v>318.29745198478025</v>
      </c>
      <c r="E119" s="34">
        <f t="shared" ref="E119" si="151">E117*E118</f>
        <v>317.39639608521139</v>
      </c>
      <c r="F119" s="34">
        <f t="shared" ref="F119" si="152">F117*F118</f>
        <v>316.99669871995997</v>
      </c>
    </row>
    <row r="120" spans="1:6" x14ac:dyDescent="0.25">
      <c r="A120" t="s">
        <v>86</v>
      </c>
      <c r="B120" s="34">
        <f>(B114*'Seprate Lat Long'!$B$9/2)-B116</f>
        <v>54.308571428571426</v>
      </c>
      <c r="C120" s="34">
        <f>(C114*'Seprate Lat Long'!$B$9/2)-C116</f>
        <v>60.844433746174929</v>
      </c>
      <c r="D120" s="34">
        <f>(D114*'Seprate Lat Long'!$B$9/2)-D116</f>
        <v>63.693869965499744</v>
      </c>
      <c r="E120" s="34">
        <f>(E114*'Seprate Lat Long'!$B$9/2)-E116</f>
        <v>64.946884729784387</v>
      </c>
      <c r="F120" s="34">
        <f>(F114*'Seprate Lat Long'!$B$9/2)-F116</f>
        <v>65.499892630092774</v>
      </c>
    </row>
    <row r="121" spans="1:6" x14ac:dyDescent="0.25">
      <c r="A121" t="s">
        <v>87</v>
      </c>
      <c r="B121" s="34">
        <f>0.42*(0.000000000546*B120^4- 0.000000494*B120^3 + 0.000153*B120^2 - 0.0209*B120 + 4.04)</f>
        <v>1.3783701177446128</v>
      </c>
      <c r="C121" s="34">
        <f t="shared" ref="C121" si="153">0.42*(0.000000000546*C120^4- 0.000000494*C120^3 + 0.000153*C120^2 - 0.0209*C120 + 4.04)</f>
        <v>1.3570092130154388</v>
      </c>
      <c r="D121" s="34">
        <f t="shared" ref="D121" si="154">0.42*(0.000000000546*D120^4- 0.000000494*D120^3 + 0.000153*D120^2 - 0.0209*D120 + 4.04)</f>
        <v>1.3485535705932163</v>
      </c>
      <c r="E121" s="34">
        <f t="shared" ref="E121" si="155">0.42*(0.000000000546*E120^4- 0.000000494*E120^3 + 0.000153*E120^2 - 0.0209*E120 + 4.04)</f>
        <v>1.3449917282477124</v>
      </c>
      <c r="F121" s="34">
        <f t="shared" ref="F121" si="156">0.42*(0.000000000546*F120^4- 0.000000494*F120^3 + 0.000153*F120^2 - 0.0209*F120 + 4.04)</f>
        <v>1.3434494427265644</v>
      </c>
    </row>
    <row r="122" spans="1:6" x14ac:dyDescent="0.25">
      <c r="A122" t="s">
        <v>88</v>
      </c>
      <c r="B122" s="34">
        <f>B120*B121</f>
        <v>74.857311994541718</v>
      </c>
      <c r="C122" s="34">
        <f>C120*C121</f>
        <v>82.566457154266843</v>
      </c>
      <c r="D122" s="34">
        <f t="shared" ref="D122" si="157">D120*D121</f>
        <v>85.894595766874701</v>
      </c>
      <c r="E122" s="34">
        <f t="shared" ref="E122" si="158">E120*E121</f>
        <v>87.353022737017668</v>
      </c>
      <c r="F122" s="34">
        <f t="shared" ref="F122" si="159">F120*F121</f>
        <v>87.995794252547938</v>
      </c>
    </row>
    <row r="123" spans="1:6" x14ac:dyDescent="0.25">
      <c r="A123" t="s">
        <v>90</v>
      </c>
      <c r="B123" s="34">
        <f>B119+B122</f>
        <v>399.71637742484006</v>
      </c>
      <c r="C123" s="34">
        <f>C119+C122</f>
        <v>402.88996404920687</v>
      </c>
      <c r="D123" s="34">
        <f t="shared" ref="D123" si="160">D119+D122</f>
        <v>404.19204775165497</v>
      </c>
      <c r="E123" s="34">
        <f t="shared" ref="E123" si="161">E119+E122</f>
        <v>404.74941882222907</v>
      </c>
      <c r="F123" s="34">
        <f t="shared" ref="F123" si="162">F119+F122</f>
        <v>404.99249297250788</v>
      </c>
    </row>
    <row r="124" spans="1:6" x14ac:dyDescent="0.25">
      <c r="A124" t="s">
        <v>91</v>
      </c>
      <c r="B124" s="34">
        <f>(B123/(B114*'Seprate Lat Long'!$B$9))</f>
        <v>1.1565867402339121</v>
      </c>
      <c r="C124" s="34">
        <f>(C123/(C114*'Seprate Lat Long'!$B$9))</f>
        <v>1.1657695719016401</v>
      </c>
      <c r="D124" s="34">
        <f>(D123/(D114*'Seprate Lat Long'!$B$9))</f>
        <v>1.1695371752073349</v>
      </c>
      <c r="E124" s="34">
        <f>(E123/(E114*'Seprate Lat Long'!$B$9))</f>
        <v>1.1711499387217277</v>
      </c>
      <c r="F124" s="36">
        <f>(F123/(F114*'Seprate Lat Long'!$B$9))</f>
        <v>1.1718532782769324</v>
      </c>
    </row>
    <row r="125" spans="1:6" x14ac:dyDescent="0.25">
      <c r="A125" t="s">
        <v>89</v>
      </c>
      <c r="B125" s="34"/>
      <c r="F125">
        <f>(4*PI()^2*9.125/(E124*9.81))^0.5</f>
        <v>5.5995812574402333</v>
      </c>
    </row>
    <row r="126" spans="1:6" x14ac:dyDescent="0.25">
      <c r="A126" t="s">
        <v>80</v>
      </c>
      <c r="B126" s="34"/>
      <c r="F126" s="38">
        <f>71.5*(((6.001/F125)^2-1)/((6.001/4.813)^2-1))+3.5</f>
        <v>22.647022758045772</v>
      </c>
    </row>
    <row r="128" spans="1:6" x14ac:dyDescent="0.25">
      <c r="A128" t="s">
        <v>81</v>
      </c>
      <c r="B128">
        <f>B114+10</f>
        <v>650</v>
      </c>
      <c r="C128">
        <f t="shared" ref="C128:F128" si="163">C114+10</f>
        <v>650</v>
      </c>
      <c r="D128">
        <f t="shared" si="163"/>
        <v>650</v>
      </c>
      <c r="E128">
        <f t="shared" si="163"/>
        <v>650</v>
      </c>
      <c r="F128">
        <f t="shared" si="163"/>
        <v>650</v>
      </c>
    </row>
    <row r="129" spans="1:6" x14ac:dyDescent="0.25">
      <c r="A129" t="s">
        <v>82</v>
      </c>
      <c r="B129" s="34">
        <v>1.3</v>
      </c>
      <c r="C129" s="34">
        <f>B129+(B138-B129)/2</f>
        <v>1.2252162221865222</v>
      </c>
      <c r="D129" s="34">
        <f t="shared" ref="D129:F129" si="164">C129+(C138-C129)/2</f>
        <v>1.1927249956056825</v>
      </c>
      <c r="E129" s="34">
        <f t="shared" si="164"/>
        <v>1.1784906388208407</v>
      </c>
      <c r="F129" s="34">
        <f t="shared" si="164"/>
        <v>1.1722326030120356</v>
      </c>
    </row>
    <row r="130" spans="1:6" x14ac:dyDescent="0.25">
      <c r="A130" t="s">
        <v>83</v>
      </c>
      <c r="B130" s="34">
        <f>B129*B128*'Seprate Lat Long'!$B$9*'Seprate Lat Long'!$B$7/'Seprate Lat Long'!$B$4</f>
        <v>120.34285714285716</v>
      </c>
      <c r="C130" s="34">
        <f>C129*C128*'Seprate Lat Long'!$B$9*'Seprate Lat Long'!$B$7/'Seprate Lat Long'!$B$4</f>
        <v>113.42001599669518</v>
      </c>
      <c r="D130" s="34">
        <f>D129*D128*'Seprate Lat Long'!$B$9*'Seprate Lat Long'!$B$7/'Seprate Lat Long'!$B$4</f>
        <v>110.41225673606888</v>
      </c>
      <c r="E130" s="34">
        <f>E129*E128*'Seprate Lat Long'!$B$9*'Seprate Lat Long'!$B$7/'Seprate Lat Long'!$B$4</f>
        <v>109.09456199370068</v>
      </c>
      <c r="F130" s="34">
        <f>F129*F128*'Seprate Lat Long'!$B$9*'Seprate Lat Long'!$B$7/'Seprate Lat Long'!$B$4</f>
        <v>108.51524667882843</v>
      </c>
    </row>
    <row r="131" spans="1:6" x14ac:dyDescent="0.25">
      <c r="A131" t="s">
        <v>84</v>
      </c>
      <c r="B131" s="34">
        <f>(B128*'Seprate Lat Long'!$B$9/2)+B130</f>
        <v>295.84285714285716</v>
      </c>
      <c r="C131" s="34">
        <f>(C128*'Seprate Lat Long'!$B$9/2)+C130</f>
        <v>288.92001599669516</v>
      </c>
      <c r="D131" s="34">
        <f>(D128*'Seprate Lat Long'!$B$9/2)+D130</f>
        <v>285.91225673606891</v>
      </c>
      <c r="E131" s="34">
        <f>(E128*'Seprate Lat Long'!$B$9/2)+E130</f>
        <v>284.59456199370067</v>
      </c>
      <c r="F131" s="34">
        <f>(F128*'Seprate Lat Long'!$B$9/2)+F130</f>
        <v>284.01524667882842</v>
      </c>
    </row>
    <row r="132" spans="1:6" x14ac:dyDescent="0.25">
      <c r="A132" t="s">
        <v>79</v>
      </c>
      <c r="B132" s="34">
        <f>0.42*(0.000000000546*B131^4- 0.000000494*B131^3 + 0.000153*B131^2 - 0.0209*B131 + 4.04)</f>
        <v>1.1084826735497573</v>
      </c>
      <c r="C132" s="34">
        <f t="shared" ref="C132" si="165">0.42*(0.000000000546*C131^4- 0.000000494*C131^3 + 0.000153*C131^2 - 0.0209*C131 + 4.04)</f>
        <v>1.118753841752766</v>
      </c>
      <c r="D132" s="34">
        <f t="shared" ref="D132" si="166">0.42*(0.000000000546*D131^4- 0.000000494*D131^3 + 0.000153*D131^2 - 0.0209*D131 + 4.04)</f>
        <v>1.1232017930537279</v>
      </c>
      <c r="E132" s="34">
        <f t="shared" ref="E132" si="167">0.42*(0.000000000546*E131^4- 0.000000494*E131^3 + 0.000153*E131^2 - 0.0209*E131 + 4.04)</f>
        <v>1.1251439739432587</v>
      </c>
      <c r="F132" s="34">
        <f t="shared" ref="F132" si="168">0.42*(0.000000000546*F131^4- 0.000000494*F131^3 + 0.000153*F131^2 - 0.0209*F131 + 4.04)</f>
        <v>1.1259962996796142</v>
      </c>
    </row>
    <row r="133" spans="1:6" x14ac:dyDescent="0.25">
      <c r="A133" t="s">
        <v>85</v>
      </c>
      <c r="B133" s="34">
        <f>B131*B132</f>
        <v>327.93668123631318</v>
      </c>
      <c r="C133" s="34">
        <f>C131*C132</f>
        <v>323.23037785557335</v>
      </c>
      <c r="D133" s="34">
        <f t="shared" ref="D133" si="169">D131*D132</f>
        <v>321.13715942199042</v>
      </c>
      <c r="E133" s="34">
        <f t="shared" ref="E133" si="170">E131*E132</f>
        <v>320.20985644423348</v>
      </c>
      <c r="F133" s="34">
        <f t="shared" ref="F133" si="171">F131*F132</f>
        <v>319.80011681295366</v>
      </c>
    </row>
    <row r="134" spans="1:6" x14ac:dyDescent="0.25">
      <c r="A134" t="s">
        <v>86</v>
      </c>
      <c r="B134" s="34">
        <f>(B128*'Seprate Lat Long'!$B$9/2)-B130</f>
        <v>55.157142857142844</v>
      </c>
      <c r="C134" s="34">
        <f>(C128*'Seprate Lat Long'!$B$9/2)-C130</f>
        <v>62.079984003304816</v>
      </c>
      <c r="D134" s="34">
        <f>(D128*'Seprate Lat Long'!$B$9/2)-D130</f>
        <v>65.087743263931117</v>
      </c>
      <c r="E134" s="34">
        <f>(E128*'Seprate Lat Long'!$B$9/2)-E130</f>
        <v>66.40543800629932</v>
      </c>
      <c r="F134" s="34">
        <f>(F128*'Seprate Lat Long'!$B$9/2)-F130</f>
        <v>66.984753321171567</v>
      </c>
    </row>
    <row r="135" spans="1:6" x14ac:dyDescent="0.25">
      <c r="A135" t="s">
        <v>87</v>
      </c>
      <c r="B135" s="34">
        <f>0.42*(0.000000000546*B134^4- 0.000000494*B134^3 + 0.000153*B134^2 - 0.0209*B134 + 4.04)</f>
        <v>1.3754357606070404</v>
      </c>
      <c r="C135" s="34">
        <f t="shared" ref="C135" si="172">0.42*(0.000000000546*C134^4- 0.000000494*C134^3 + 0.000153*C134^2 - 0.0209*C134 + 4.04)</f>
        <v>1.3532811971677379</v>
      </c>
      <c r="D135" s="34">
        <f t="shared" ref="D135" si="173">0.42*(0.000000000546*D134^4- 0.000000494*D134^3 + 0.000153*D134^2 - 0.0209*D134 + 4.04)</f>
        <v>1.3445971727390227</v>
      </c>
      <c r="E135" s="34">
        <f t="shared" ref="E135" si="174">0.42*(0.000000000546*E134^4- 0.000000494*E134^3 + 0.000153*E134^2 - 0.0209*E134 + 4.04)</f>
        <v>1.340962718078198</v>
      </c>
      <c r="F135" s="34">
        <f t="shared" ref="F135" si="175">0.42*(0.000000000546*F134^4- 0.000000494*F134^3 + 0.000153*F134^2 - 0.0209*F134 + 4.04)</f>
        <v>1.3393968380802959</v>
      </c>
    </row>
    <row r="136" spans="1:6" x14ac:dyDescent="0.25">
      <c r="A136" t="s">
        <v>88</v>
      </c>
      <c r="B136" s="34">
        <f>B134*B135</f>
        <v>75.865106738625457</v>
      </c>
      <c r="C136" s="34">
        <f>C134*C135</f>
        <v>84.01167507214636</v>
      </c>
      <c r="D136" s="34">
        <f t="shared" ref="D136" si="176">D134*D135</f>
        <v>87.516795572645151</v>
      </c>
      <c r="E136" s="34">
        <f t="shared" ref="E136" si="177">E134*E135</f>
        <v>89.047216644100416</v>
      </c>
      <c r="F136" s="34">
        <f t="shared" ref="F136" si="178">F134*F135</f>
        <v>89.719166797965798</v>
      </c>
    </row>
    <row r="137" spans="1:6" x14ac:dyDescent="0.25">
      <c r="A137" t="s">
        <v>90</v>
      </c>
      <c r="B137" s="34">
        <f>B133+B136</f>
        <v>403.80178797493863</v>
      </c>
      <c r="C137" s="34">
        <f>C133+C136</f>
        <v>407.24205292771973</v>
      </c>
      <c r="D137" s="34">
        <f t="shared" ref="D137" si="179">D133+D136</f>
        <v>408.65395499463557</v>
      </c>
      <c r="E137" s="34">
        <f t="shared" ref="E137" si="180">E133+E136</f>
        <v>409.25707308833387</v>
      </c>
      <c r="F137" s="34">
        <f t="shared" ref="F137" si="181">F133+F136</f>
        <v>409.51928361091944</v>
      </c>
    </row>
    <row r="138" spans="1:6" x14ac:dyDescent="0.25">
      <c r="A138" t="s">
        <v>91</v>
      </c>
      <c r="B138" s="34">
        <f>(B137/(B128*'Seprate Lat Long'!$B$9))</f>
        <v>1.1504324443730445</v>
      </c>
      <c r="C138" s="34">
        <f>(C137/(C128*'Seprate Lat Long'!$B$9))</f>
        <v>1.1602337690248425</v>
      </c>
      <c r="D138" s="34">
        <f>(D137/(D128*'Seprate Lat Long'!$B$9))</f>
        <v>1.1642562820359987</v>
      </c>
      <c r="E138" s="34">
        <f>(E137/(E128*'Seprate Lat Long'!$B$9))</f>
        <v>1.1659745672032304</v>
      </c>
      <c r="F138" s="34">
        <f>(F137/(F128*'Seprate Lat Long'!$B$9))</f>
        <v>1.1667216057291152</v>
      </c>
    </row>
    <row r="139" spans="1:6" x14ac:dyDescent="0.25">
      <c r="A139" t="s">
        <v>89</v>
      </c>
      <c r="B139" s="34"/>
      <c r="F139">
        <f>(4*PI()^2*9.125/(E138*9.81))^0.5</f>
        <v>5.6119948328746547</v>
      </c>
    </row>
    <row r="140" spans="1:6" x14ac:dyDescent="0.25">
      <c r="A140" t="s">
        <v>80</v>
      </c>
      <c r="B140" s="34"/>
      <c r="F140">
        <f>71.5*(((6.001/F139)^2-1)/((6.001/4.813)^2-1))+3.5</f>
        <v>21.992687772043258</v>
      </c>
    </row>
    <row r="142" spans="1:6" x14ac:dyDescent="0.25">
      <c r="A142" t="s">
        <v>81</v>
      </c>
      <c r="B142">
        <f>B128+10</f>
        <v>660</v>
      </c>
      <c r="C142">
        <f t="shared" ref="C142:F142" si="182">C128+10</f>
        <v>660</v>
      </c>
      <c r="D142">
        <f t="shared" si="182"/>
        <v>660</v>
      </c>
      <c r="E142">
        <f t="shared" si="182"/>
        <v>660</v>
      </c>
      <c r="F142">
        <f t="shared" si="182"/>
        <v>660</v>
      </c>
    </row>
    <row r="143" spans="1:6" x14ac:dyDescent="0.25">
      <c r="A143" t="s">
        <v>82</v>
      </c>
      <c r="B143" s="34">
        <v>1.3</v>
      </c>
      <c r="C143" s="34">
        <f>B143+(B152-B143)/2</f>
        <v>1.2221524495930578</v>
      </c>
      <c r="D143" s="34">
        <f t="shared" ref="D143:F143" si="183">C143+(C152-C143)/2</f>
        <v>1.1884275690002601</v>
      </c>
      <c r="E143" s="34">
        <f t="shared" si="183"/>
        <v>1.1737021438693755</v>
      </c>
      <c r="F143" s="34">
        <f t="shared" si="183"/>
        <v>1.1672509793610153</v>
      </c>
    </row>
    <row r="144" spans="1:6" x14ac:dyDescent="0.25">
      <c r="A144" t="s">
        <v>83</v>
      </c>
      <c r="B144" s="34">
        <f>B143*B142*'Seprate Lat Long'!$B$9*'Seprate Lat Long'!$B$7/'Seprate Lat Long'!$B$4</f>
        <v>122.19428571428571</v>
      </c>
      <c r="C144" s="34">
        <f>C143*C142*'Seprate Lat Long'!$B$9*'Seprate Lat Long'!$B$7/'Seprate Lat Long'!$B$4</f>
        <v>114.87695816306793</v>
      </c>
      <c r="D144" s="34">
        <f>D143*D142*'Seprate Lat Long'!$B$9*'Seprate Lat Long'!$B$7/'Seprate Lat Long'!$B$4</f>
        <v>111.70696762857831</v>
      </c>
      <c r="E144" s="34">
        <f>E143*E142*'Seprate Lat Long'!$B$9*'Seprate Lat Long'!$B$7/'Seprate Lat Long'!$B$4</f>
        <v>110.32284239341858</v>
      </c>
      <c r="F144" s="34">
        <f>F143*F142*'Seprate Lat Long'!$B$9*'Seprate Lat Long'!$B$7/'Seprate Lat Long'!$B$4</f>
        <v>109.71646128639978</v>
      </c>
    </row>
    <row r="145" spans="1:6" x14ac:dyDescent="0.25">
      <c r="A145" t="s">
        <v>84</v>
      </c>
      <c r="B145" s="34">
        <f>(B142*'Seprate Lat Long'!$B$9/2)+B144</f>
        <v>300.39428571428573</v>
      </c>
      <c r="C145" s="34">
        <f>(C142*'Seprate Lat Long'!$B$9/2)+C144</f>
        <v>293.07695816306796</v>
      </c>
      <c r="D145" s="34">
        <f>(D142*'Seprate Lat Long'!$B$9/2)+D144</f>
        <v>289.90696762857834</v>
      </c>
      <c r="E145" s="34">
        <f>(E142*'Seprate Lat Long'!$B$9/2)+E144</f>
        <v>288.52284239341861</v>
      </c>
      <c r="F145" s="34">
        <f>(F142*'Seprate Lat Long'!$B$9/2)+F144</f>
        <v>287.91646128639979</v>
      </c>
    </row>
    <row r="146" spans="1:6" x14ac:dyDescent="0.25">
      <c r="A146" t="s">
        <v>79</v>
      </c>
      <c r="B146" s="34">
        <f>0.42*(0.000000000546*B145^4- 0.000000494*B145^3 + 0.000153*B145^2 - 0.0209*B145 + 4.04)</f>
        <v>1.1017506285071719</v>
      </c>
      <c r="C146" s="34">
        <f t="shared" ref="C146" si="184">0.42*(0.000000000546*C145^4- 0.000000494*C145^3 + 0.000153*C145^2 - 0.0209*C145 + 4.04)</f>
        <v>1.1125870465892467</v>
      </c>
      <c r="D146" s="34">
        <f t="shared" ref="D146" si="185">0.42*(0.000000000546*D145^4- 0.000000494*D145^3 + 0.000153*D145^2 - 0.0209*D145 + 4.04)</f>
        <v>1.1172910187179095</v>
      </c>
      <c r="E146" s="34">
        <f t="shared" ref="E146" si="186">0.42*(0.000000000546*E145^4- 0.000000494*E145^3 + 0.000153*E145^2 - 0.0209*E145 + 4.04)</f>
        <v>1.119342140228351</v>
      </c>
      <c r="F146" s="34">
        <f t="shared" ref="F146" si="187">0.42*(0.000000000546*F145^4- 0.000000494*F145^3 + 0.000153*F145^2 - 0.0209*F145 + 4.04)</f>
        <v>1.1202398320188292</v>
      </c>
    </row>
    <row r="147" spans="1:6" x14ac:dyDescent="0.25">
      <c r="A147" t="s">
        <v>85</v>
      </c>
      <c r="B147" s="34">
        <f>B145*B146</f>
        <v>330.95959308567728</v>
      </c>
      <c r="C147" s="34">
        <f>C145*C146</f>
        <v>326.07362730600801</v>
      </c>
      <c r="D147" s="34">
        <f t="shared" ref="D147" si="188">D145*D146</f>
        <v>323.91045119515428</v>
      </c>
      <c r="E147" s="34">
        <f t="shared" ref="E147" si="189">E145*E146</f>
        <v>322.95577590941639</v>
      </c>
      <c r="F147" s="34">
        <f t="shared" ref="F147" si="190">F145*F146</f>
        <v>322.53548822693222</v>
      </c>
    </row>
    <row r="148" spans="1:6" x14ac:dyDescent="0.25">
      <c r="A148" t="s">
        <v>86</v>
      </c>
      <c r="B148" s="34">
        <f>(B142*'Seprate Lat Long'!$B$9/2)-B144</f>
        <v>56.005714285714305</v>
      </c>
      <c r="C148" s="34">
        <f>(C142*'Seprate Lat Long'!$B$9/2)-C144</f>
        <v>63.323041836932092</v>
      </c>
      <c r="D148" s="34">
        <f>(D142*'Seprate Lat Long'!$B$9/2)-D144</f>
        <v>66.493032371421705</v>
      </c>
      <c r="E148" s="34">
        <f>(E142*'Seprate Lat Long'!$B$9/2)-E144</f>
        <v>67.877157606581434</v>
      </c>
      <c r="F148" s="34">
        <f>(F142*'Seprate Lat Long'!$B$9/2)-F144</f>
        <v>68.48353871360024</v>
      </c>
    </row>
    <row r="149" spans="1:6" x14ac:dyDescent="0.25">
      <c r="A149" t="s">
        <v>87</v>
      </c>
      <c r="B149" s="34">
        <f>0.42*(0.000000000546*B148^4- 0.000000494*B148^3 + 0.000153*B148^2 - 0.0209*B148 + 4.04)</f>
        <v>1.3725505328277203</v>
      </c>
      <c r="C149" s="34">
        <f t="shared" ref="C149" si="191">0.42*(0.000000000546*C148^4- 0.000000494*C148^3 + 0.000153*C148^2 - 0.0209*C148 + 4.04)</f>
        <v>1.3496257975492145</v>
      </c>
      <c r="D149" s="34">
        <f t="shared" ref="D149" si="192">0.42*(0.000000000546*D148^4- 0.000000494*D148^3 + 0.000153*D148^2 - 0.0209*D148 + 4.04)</f>
        <v>1.3407247072936861</v>
      </c>
      <c r="E149" s="34">
        <f t="shared" ref="E149" si="193">0.42*(0.000000000546*E148^4- 0.000000494*E148^3 + 0.000153*E148^2 - 0.0209*E148 + 4.04)</f>
        <v>1.3370223695882986</v>
      </c>
      <c r="F149" s="34">
        <f t="shared" ref="F149" si="194">0.42*(0.000000000546*F148^4- 0.000000494*F148^3 + 0.000153*F148^2 - 0.0209*F148 + 4.04)</f>
        <v>1.3354347416834957</v>
      </c>
    </row>
    <row r="150" spans="1:6" x14ac:dyDescent="0.25">
      <c r="A150" t="s">
        <v>88</v>
      </c>
      <c r="B150" s="34">
        <f>B148*B149</f>
        <v>76.870672984254242</v>
      </c>
      <c r="C150" s="34">
        <f>C148*C149</f>
        <v>85.462410842411757</v>
      </c>
      <c r="D150" s="34">
        <f t="shared" ref="D150" si="195">D148*D149</f>
        <v>89.148851363243963</v>
      </c>
      <c r="E150" s="34">
        <f t="shared" ref="E150" si="196">E148*E149</f>
        <v>90.753278104069921</v>
      </c>
      <c r="F150" s="34">
        <f t="shared" ref="F150" si="197">F148*F149</f>
        <v>91.455296831568418</v>
      </c>
    </row>
    <row r="151" spans="1:6" x14ac:dyDescent="0.25">
      <c r="A151" t="s">
        <v>90</v>
      </c>
      <c r="B151" s="34">
        <f>B147+B150</f>
        <v>407.83026606993155</v>
      </c>
      <c r="C151" s="34">
        <f>C147+C150</f>
        <v>411.53603814841978</v>
      </c>
      <c r="D151" s="34">
        <f t="shared" ref="D151" si="198">D147+D150</f>
        <v>413.05930255839826</v>
      </c>
      <c r="E151" s="34">
        <f t="shared" ref="E151" si="199">E147+E150</f>
        <v>413.70905401348631</v>
      </c>
      <c r="F151" s="34">
        <f t="shared" ref="F151" si="200">F147+F150</f>
        <v>413.99078505850065</v>
      </c>
    </row>
    <row r="152" spans="1:6" x14ac:dyDescent="0.25">
      <c r="A152" t="s">
        <v>91</v>
      </c>
      <c r="B152" s="34">
        <f>(B151/(B142*'Seprate Lat Long'!$B$9))</f>
        <v>1.1443048991861153</v>
      </c>
      <c r="C152" s="34">
        <f>(C151/(C142*'Seprate Lat Long'!$B$9))</f>
        <v>1.1547026884074627</v>
      </c>
      <c r="D152" s="34">
        <f>(D151/(D142*'Seprate Lat Long'!$B$9))</f>
        <v>1.1589767187384912</v>
      </c>
      <c r="E152" s="34">
        <f>(E151/(E142*'Seprate Lat Long'!$B$9))</f>
        <v>1.160799814852655</v>
      </c>
      <c r="F152" s="34">
        <f>(F151/(F142*'Seprate Lat Long'!$B$9))</f>
        <v>1.1615903060002823</v>
      </c>
    </row>
    <row r="153" spans="1:6" x14ac:dyDescent="0.25">
      <c r="A153" t="s">
        <v>89</v>
      </c>
      <c r="B153" s="34"/>
      <c r="F153">
        <f>(4*PI()^2*9.125/(E152*9.81))^0.5</f>
        <v>5.6244898340641418</v>
      </c>
    </row>
    <row r="154" spans="1:6" x14ac:dyDescent="0.25">
      <c r="A154" t="s">
        <v>80</v>
      </c>
      <c r="B154" s="34"/>
      <c r="F154">
        <f>71.5*(((6.001/F153)^2-1)/((6.001/4.813)^2-1))+3.5</f>
        <v>21.338431068968255</v>
      </c>
    </row>
    <row r="156" spans="1:6" x14ac:dyDescent="0.25">
      <c r="A156" t="s">
        <v>81</v>
      </c>
      <c r="B156">
        <f>B142+10</f>
        <v>670</v>
      </c>
      <c r="C156">
        <f t="shared" ref="C156:F156" si="201">C142+10</f>
        <v>670</v>
      </c>
      <c r="D156">
        <f t="shared" si="201"/>
        <v>670</v>
      </c>
      <c r="E156">
        <f t="shared" si="201"/>
        <v>670</v>
      </c>
      <c r="F156">
        <f t="shared" si="201"/>
        <v>670</v>
      </c>
    </row>
    <row r="157" spans="1:6" x14ac:dyDescent="0.25">
      <c r="A157" t="s">
        <v>82</v>
      </c>
      <c r="B157" s="34">
        <v>1.3</v>
      </c>
      <c r="C157" s="34">
        <f>B157+(B166-B157)/2</f>
        <v>1.2191177369008437</v>
      </c>
      <c r="D157" s="34">
        <f t="shared" ref="D157:F157" si="202">C157+(C166-C157)/2</f>
        <v>1.1841566252684301</v>
      </c>
      <c r="E157" s="34">
        <f t="shared" si="202"/>
        <v>1.1689355312928154</v>
      </c>
      <c r="F157" s="34">
        <f t="shared" si="202"/>
        <v>1.1622880914248936</v>
      </c>
    </row>
    <row r="158" spans="1:6" x14ac:dyDescent="0.25">
      <c r="A158" t="s">
        <v>83</v>
      </c>
      <c r="B158" s="34">
        <f>B157*B156*'Seprate Lat Long'!$B$9*'Seprate Lat Long'!$B$7/'Seprate Lat Long'!$B$4</f>
        <v>124.04571428571428</v>
      </c>
      <c r="C158" s="34">
        <f>C157*C156*'Seprate Lat Long'!$B$9*'Seprate Lat Long'!$B$7/'Seprate Lat Long'!$B$4</f>
        <v>116.32794651711436</v>
      </c>
      <c r="D158" s="34">
        <f>D157*D156*'Seprate Lat Long'!$B$9*'Seprate Lat Long'!$B$7/'Seprate Lat Long'!$B$4</f>
        <v>112.99196492891025</v>
      </c>
      <c r="E158" s="34">
        <f>E157*E156*'Seprate Lat Long'!$B$9*'Seprate Lat Long'!$B$7/'Seprate Lat Long'!$B$4</f>
        <v>111.53957148705248</v>
      </c>
      <c r="F158" s="34">
        <f>F157*F156*'Seprate Lat Long'!$B$9*'Seprate Lat Long'!$B$7/'Seprate Lat Long'!$B$4</f>
        <v>110.90527423583119</v>
      </c>
    </row>
    <row r="159" spans="1:6" x14ac:dyDescent="0.25">
      <c r="A159" t="s">
        <v>84</v>
      </c>
      <c r="B159" s="34">
        <f>(B156*'Seprate Lat Long'!$B$9/2)+B158</f>
        <v>304.9457142857143</v>
      </c>
      <c r="C159" s="34">
        <f>(C156*'Seprate Lat Long'!$B$9/2)+C158</f>
        <v>297.22794651711433</v>
      </c>
      <c r="D159" s="34">
        <f>(D156*'Seprate Lat Long'!$B$9/2)+D158</f>
        <v>293.89196492891028</v>
      </c>
      <c r="E159" s="34">
        <f>(E156*'Seprate Lat Long'!$B$9/2)+E158</f>
        <v>292.43957148705249</v>
      </c>
      <c r="F159" s="34">
        <f>(F156*'Seprate Lat Long'!$B$9/2)+F158</f>
        <v>291.80527423583118</v>
      </c>
    </row>
    <row r="160" spans="1:6" x14ac:dyDescent="0.25">
      <c r="A160" t="s">
        <v>79</v>
      </c>
      <c r="B160" s="34">
        <f>0.42*(0.000000000546*B159^4- 0.000000494*B159^3 + 0.000153*B159^2 - 0.0209*B159 + 4.04)</f>
        <v>1.0950784864213934</v>
      </c>
      <c r="C160" s="34">
        <f t="shared" ref="C160" si="203">0.42*(0.000000000546*C159^4- 0.000000494*C159^3 + 0.000153*C159^2 - 0.0209*C159 + 4.04)</f>
        <v>1.1064299179003234</v>
      </c>
      <c r="D160" s="34">
        <f t="shared" ref="D160" si="204">0.42*(0.000000000546*D159^4- 0.000000494*D159^3 + 0.000153*D159^2 - 0.0209*D159 + 4.04)</f>
        <v>1.1113772557634258</v>
      </c>
      <c r="E160" s="34">
        <f t="shared" ref="E160" si="205">0.42*(0.000000000546*E159^4- 0.000000494*E159^3 + 0.000153*E159^2 - 0.0209*E159 + 4.04)</f>
        <v>1.1135332085597174</v>
      </c>
      <c r="F160" s="34">
        <f t="shared" ref="F160" si="206">0.42*(0.000000000546*F159^4- 0.000000494*F159^3 + 0.000153*F159^2 - 0.0209*F159 + 4.04)</f>
        <v>1.1144747071221512</v>
      </c>
    </row>
    <row r="161" spans="1:6" x14ac:dyDescent="0.25">
      <c r="A161" t="s">
        <v>85</v>
      </c>
      <c r="B161" s="34">
        <f>B159*B160</f>
        <v>333.9394912406907</v>
      </c>
      <c r="C161" s="34">
        <f>C159*C160</f>
        <v>328.8618924626125</v>
      </c>
      <c r="D161" s="34">
        <f t="shared" ref="D161" si="207">D159*D160</f>
        <v>326.62484547361328</v>
      </c>
      <c r="E161" s="34">
        <f t="shared" ref="E161" si="208">E159*E160</f>
        <v>325.64117434780638</v>
      </c>
      <c r="F161" s="34">
        <f t="shared" ref="F161" si="209">F159*F160</f>
        <v>325.20959754067695</v>
      </c>
    </row>
    <row r="162" spans="1:6" x14ac:dyDescent="0.25">
      <c r="A162" t="s">
        <v>86</v>
      </c>
      <c r="B162" s="34">
        <f>(B156*'Seprate Lat Long'!$B$9/2)-B158</f>
        <v>56.854285714285723</v>
      </c>
      <c r="C162" s="34">
        <f>(C156*'Seprate Lat Long'!$B$9/2)-C158</f>
        <v>64.57205348288565</v>
      </c>
      <c r="D162" s="34">
        <f>(D156*'Seprate Lat Long'!$B$9/2)-D158</f>
        <v>67.908035071089756</v>
      </c>
      <c r="E162" s="34">
        <f>(E156*'Seprate Lat Long'!$B$9/2)-E158</f>
        <v>69.360428512947522</v>
      </c>
      <c r="F162" s="34">
        <f>(F156*'Seprate Lat Long'!$B$9/2)-F158</f>
        <v>69.99472576416882</v>
      </c>
    </row>
    <row r="163" spans="1:6" x14ac:dyDescent="0.25">
      <c r="A163" t="s">
        <v>87</v>
      </c>
      <c r="B163" s="34">
        <f>0.42*(0.000000000546*B162^4- 0.000000494*B162^3 + 0.000153*B162^2 - 0.0209*B162 + 4.04)</f>
        <v>1.3697138606596257</v>
      </c>
      <c r="C163" s="34">
        <f t="shared" ref="C163" si="210">0.42*(0.000000000546*C162^4- 0.000000494*C162^3 + 0.000153*C162^2 - 0.0209*C162 + 4.04)</f>
        <v>1.3460473948522491</v>
      </c>
      <c r="D163" s="34">
        <f t="shared" ref="D163" si="211">0.42*(0.000000000546*D162^4- 0.000000494*D162^3 + 0.000153*D162^2 - 0.0209*D162 + 4.04)</f>
        <v>1.3369410240291464</v>
      </c>
      <c r="E163" s="34">
        <f t="shared" ref="E163" si="212">0.42*(0.000000000546*E162^4- 0.000000494*E162^3 + 0.000153*E162^2 - 0.0209*E162 + 4.04)</f>
        <v>1.3331753475001198</v>
      </c>
      <c r="F163" s="34">
        <f t="shared" ref="F163" si="213">0.42*(0.000000000546*F162^4- 0.000000494*F162^3 + 0.000153*F162^2 - 0.0209*F162 + 4.04)</f>
        <v>1.3315676088399959</v>
      </c>
    </row>
    <row r="164" spans="1:6" x14ac:dyDescent="0.25">
      <c r="A164" t="s">
        <v>88</v>
      </c>
      <c r="B164" s="34">
        <f>B162*B163</f>
        <v>77.874103180759704</v>
      </c>
      <c r="C164" s="34">
        <f>C162*C163</f>
        <v>86.917044370898324</v>
      </c>
      <c r="D164" s="34">
        <f t="shared" ref="D164" si="214">D162*D163</f>
        <v>90.789037947749932</v>
      </c>
      <c r="E164" s="34">
        <f t="shared" ref="E164" si="215">E162*E163</f>
        <v>92.469613385506022</v>
      </c>
      <c r="F164" s="34">
        <f t="shared" ref="F164" si="216">F162*F163</f>
        <v>93.202709617205528</v>
      </c>
    </row>
    <row r="165" spans="1:6" x14ac:dyDescent="0.25">
      <c r="A165" t="s">
        <v>90</v>
      </c>
      <c r="B165" s="34">
        <f>B161+B164</f>
        <v>411.81359442145038</v>
      </c>
      <c r="C165" s="34">
        <f>C161+C164</f>
        <v>415.77893683351084</v>
      </c>
      <c r="D165" s="34">
        <f t="shared" ref="D165" si="217">D161+D164</f>
        <v>417.41388342136321</v>
      </c>
      <c r="E165" s="34">
        <f t="shared" ref="E165" si="218">E161+E164</f>
        <v>418.11078773331241</v>
      </c>
      <c r="F165" s="34">
        <f t="shared" ref="F165" si="219">F161+F164</f>
        <v>418.41230715788248</v>
      </c>
    </row>
    <row r="166" spans="1:6" x14ac:dyDescent="0.25">
      <c r="A166" t="s">
        <v>91</v>
      </c>
      <c r="B166" s="34">
        <f>(B165/(B156*'Seprate Lat Long'!$B$9))</f>
        <v>1.1382354738016871</v>
      </c>
      <c r="C166" s="34">
        <f>(C165/(C156*'Seprate Lat Long'!$B$9))</f>
        <v>1.1491955136360166</v>
      </c>
      <c r="D166" s="34">
        <f>(D165/(D156*'Seprate Lat Long'!$B$9))</f>
        <v>1.1537144373172006</v>
      </c>
      <c r="E166" s="34">
        <f>(E165/(E156*'Seprate Lat Long'!$B$9))</f>
        <v>1.1556406515569717</v>
      </c>
      <c r="F166" s="34">
        <f>(F165/(F156*'Seprate Lat Long'!$B$9))</f>
        <v>1.1564740385790007</v>
      </c>
    </row>
    <row r="167" spans="1:6" x14ac:dyDescent="0.25">
      <c r="A167" t="s">
        <v>89</v>
      </c>
      <c r="B167" s="34"/>
      <c r="F167">
        <f>(4*PI()^2*9.125/(E166*9.81))^0.5</f>
        <v>5.6370306474401408</v>
      </c>
    </row>
    <row r="168" spans="1:6" x14ac:dyDescent="0.25">
      <c r="A168" t="s">
        <v>80</v>
      </c>
      <c r="B168" s="34"/>
      <c r="F168">
        <f>71.5*(((6.001/F167)^2-1)/((6.001/4.813)^2-1))+3.5</f>
        <v>20.686145328553231</v>
      </c>
    </row>
    <row r="170" spans="1:6" x14ac:dyDescent="0.25">
      <c r="A170" t="s">
        <v>81</v>
      </c>
      <c r="B170">
        <f>B156+10</f>
        <v>680</v>
      </c>
      <c r="C170">
        <f t="shared" ref="C170:F170" si="220">C156+10</f>
        <v>680</v>
      </c>
      <c r="D170">
        <f t="shared" si="220"/>
        <v>680</v>
      </c>
      <c r="E170">
        <f t="shared" si="220"/>
        <v>680</v>
      </c>
      <c r="F170">
        <f t="shared" si="220"/>
        <v>680</v>
      </c>
    </row>
    <row r="171" spans="1:6" x14ac:dyDescent="0.25">
      <c r="A171" t="s">
        <v>82</v>
      </c>
      <c r="B171" s="34">
        <v>1.3</v>
      </c>
      <c r="C171" s="34">
        <f>B171+(B180-B171)/2</f>
        <v>1.2161287642306351</v>
      </c>
      <c r="D171" s="34">
        <f t="shared" ref="D171:F171" si="221">C171+(C180-C171)/2</f>
        <v>1.1799304806999897</v>
      </c>
      <c r="E171" s="34">
        <f t="shared" si="221"/>
        <v>1.1642081521642977</v>
      </c>
      <c r="F171" s="34">
        <f t="shared" si="221"/>
        <v>1.1573602730428671</v>
      </c>
    </row>
    <row r="172" spans="1:6" x14ac:dyDescent="0.25">
      <c r="A172" t="s">
        <v>83</v>
      </c>
      <c r="B172" s="34">
        <f>B171*B170*'Seprate Lat Long'!$B$9*'Seprate Lat Long'!$B$7/'Seprate Lat Long'!$B$4</f>
        <v>125.89714285714285</v>
      </c>
      <c r="C172" s="34">
        <f>C171*C170*'Seprate Lat Long'!$B$9*'Seprate Lat Long'!$B$7/'Seprate Lat Long'!$B$4</f>
        <v>117.77472058694222</v>
      </c>
      <c r="D172" s="34">
        <f>D171*D170*'Seprate Lat Long'!$B$9*'Seprate Lat Long'!$B$7/'Seprate Lat Long'!$B$4</f>
        <v>114.26913560783375</v>
      </c>
      <c r="E172" s="34">
        <f>E171*E170*'Seprate Lat Long'!$B$9*'Seprate Lat Long'!$B$7/'Seprate Lat Long'!$B$4</f>
        <v>112.74652311421454</v>
      </c>
      <c r="F172" s="34">
        <f>F171*F170*'Seprate Lat Long'!$B$9*'Seprate Lat Long'!$B$7/'Seprate Lat Long'!$B$4</f>
        <v>112.08334740958441</v>
      </c>
    </row>
    <row r="173" spans="1:6" x14ac:dyDescent="0.25">
      <c r="A173" t="s">
        <v>84</v>
      </c>
      <c r="B173" s="34">
        <f>(B170*'Seprate Lat Long'!$B$9/2)+B172</f>
        <v>309.49714285714288</v>
      </c>
      <c r="C173" s="34">
        <f>(C170*'Seprate Lat Long'!$B$9/2)+C172</f>
        <v>301.37472058694226</v>
      </c>
      <c r="D173" s="34">
        <f>(D170*'Seprate Lat Long'!$B$9/2)+D172</f>
        <v>297.86913560783375</v>
      </c>
      <c r="E173" s="34">
        <f>(E170*'Seprate Lat Long'!$B$9/2)+E172</f>
        <v>296.34652311421456</v>
      </c>
      <c r="F173" s="34">
        <f>(F170*'Seprate Lat Long'!$B$9/2)+F172</f>
        <v>295.68334740958443</v>
      </c>
    </row>
    <row r="174" spans="1:6" x14ac:dyDescent="0.25">
      <c r="A174" t="s">
        <v>79</v>
      </c>
      <c r="B174" s="34">
        <f>0.42*(0.000000000546*B173^4- 0.000000494*B173^3 + 0.000153*B173^2 - 0.0209*B173 + 4.04)</f>
        <v>1.0885059336777172</v>
      </c>
      <c r="C174" s="34">
        <f t="shared" ref="C174" si="222">0.42*(0.000000000546*C173^4- 0.000000494*C173^3 + 0.000153*C173^2 - 0.0209*C173 + 4.04)</f>
        <v>1.1003069805781323</v>
      </c>
      <c r="D174" s="34">
        <f t="shared" ref="D174" si="223">0.42*(0.000000000546*D173^4- 0.000000494*D173^3 + 0.000153*D173^2 - 0.0209*D173 + 4.04)</f>
        <v>1.1054806387052827</v>
      </c>
      <c r="E174" s="34">
        <f t="shared" ref="E174" si="224">0.42*(0.000000000546*E173^4- 0.000000494*E173^3 + 0.000153*E173^2 - 0.0209*E173 + 4.04)</f>
        <v>1.1077359275478256</v>
      </c>
      <c r="F174" s="34">
        <f t="shared" ref="F174" si="225">0.42*(0.000000000546*F173^4- 0.000000494*F173^3 + 0.000153*F173^2 - 0.0209*F173 + 4.04)</f>
        <v>1.1087192255871696</v>
      </c>
    </row>
    <row r="175" spans="1:6" x14ac:dyDescent="0.25">
      <c r="A175" t="s">
        <v>85</v>
      </c>
      <c r="B175" s="34">
        <f>B173*B174</f>
        <v>336.88947645630014</v>
      </c>
      <c r="C175" s="34">
        <f>C173*C174</f>
        <v>331.60470883159672</v>
      </c>
      <c r="D175" s="34">
        <f t="shared" ref="D175" si="226">D173*D174</f>
        <v>329.28856228233855</v>
      </c>
      <c r="E175" s="34">
        <f t="shared" ref="E175" si="227">E173*E174</f>
        <v>328.27369065749758</v>
      </c>
      <c r="F175" s="34">
        <f t="shared" ref="F175" si="228">F173*F174</f>
        <v>327.82981195897651</v>
      </c>
    </row>
    <row r="176" spans="1:6" x14ac:dyDescent="0.25">
      <c r="A176" t="s">
        <v>86</v>
      </c>
      <c r="B176" s="34">
        <f>(B170*'Seprate Lat Long'!$B$9/2)-B172</f>
        <v>57.702857142857169</v>
      </c>
      <c r="C176" s="34">
        <f>(C170*'Seprate Lat Long'!$B$9/2)-C172</f>
        <v>65.8252794130578</v>
      </c>
      <c r="D176" s="34">
        <f>(D170*'Seprate Lat Long'!$B$9/2)-D172</f>
        <v>69.330864392166276</v>
      </c>
      <c r="E176" s="34">
        <f>(E170*'Seprate Lat Long'!$B$9/2)-E172</f>
        <v>70.853476885785483</v>
      </c>
      <c r="F176" s="34">
        <f>(F170*'Seprate Lat Long'!$B$9/2)-F172</f>
        <v>71.516652590415617</v>
      </c>
    </row>
    <row r="177" spans="1:6" x14ac:dyDescent="0.25">
      <c r="A177" t="s">
        <v>87</v>
      </c>
      <c r="B177" s="34">
        <f>0.42*(0.000000000546*B176^4- 0.000000494*B176^3 + 0.000153*B176^2 - 0.0209*B176 + 4.04)</f>
        <v>1.366925173209419</v>
      </c>
      <c r="C177" s="34">
        <f t="shared" ref="C177" si="229">0.42*(0.000000000546*C176^4- 0.000000494*C176^3 + 0.000153*C176^2 - 0.0209*C176 + 4.04)</f>
        <v>1.3425503812059145</v>
      </c>
      <c r="D177" s="34">
        <f t="shared" ref="D177" si="230">0.42*(0.000000000546*D176^4- 0.000000494*D176^3 + 0.000153*D176^2 - 0.0209*D176 + 4.04)</f>
        <v>1.3332508250759656</v>
      </c>
      <c r="E177" s="34">
        <f t="shared" ref="E177" si="231">0.42*(0.000000000546*E176^4- 0.000000494*E176^3 + 0.000153*E176^2 - 0.0209*E176 + 4.04)</f>
        <v>1.3294260850782786</v>
      </c>
      <c r="F177" s="34">
        <f t="shared" ref="F177" si="232">0.42*(0.000000000546*F176^4- 0.000000494*F176^3 + 0.000153*F176^2 - 0.0209*F176 + 4.04)</f>
        <v>1.3277996259918492</v>
      </c>
    </row>
    <row r="178" spans="1:6" x14ac:dyDescent="0.25">
      <c r="A178" t="s">
        <v>88</v>
      </c>
      <c r="B178" s="34">
        <f>B176*B177</f>
        <v>78.875487994678394</v>
      </c>
      <c r="C178" s="34">
        <f>C176*C177</f>
        <v>88.373753968986591</v>
      </c>
      <c r="D178" s="34">
        <f t="shared" ref="D178" si="233">D176*D177</f>
        <v>92.435432154085575</v>
      </c>
      <c r="E178" s="34">
        <f t="shared" ref="E178" si="234">E176*E177</f>
        <v>94.194460390454097</v>
      </c>
      <c r="F178" s="34">
        <f t="shared" ref="F178" si="235">F176*F177</f>
        <v>94.959784561742865</v>
      </c>
    </row>
    <row r="179" spans="1:6" x14ac:dyDescent="0.25">
      <c r="A179" t="s">
        <v>90</v>
      </c>
      <c r="B179" s="34">
        <f>B175+B178</f>
        <v>415.76496445097854</v>
      </c>
      <c r="C179" s="34">
        <f>C175+C178</f>
        <v>419.97846280058332</v>
      </c>
      <c r="D179" s="34">
        <f t="shared" ref="D179" si="236">D175+D178</f>
        <v>421.72399443642411</v>
      </c>
      <c r="E179" s="34">
        <f t="shared" ref="E179" si="237">E175+E178</f>
        <v>422.46815104795166</v>
      </c>
      <c r="F179" s="34">
        <f t="shared" ref="F179" si="238">F175+F178</f>
        <v>422.78959652071939</v>
      </c>
    </row>
    <row r="180" spans="1:6" x14ac:dyDescent="0.25">
      <c r="A180" t="s">
        <v>91</v>
      </c>
      <c r="B180" s="34">
        <f>(B179/(B170*'Seprate Lat Long'!$B$9))</f>
        <v>1.1322575284612704</v>
      </c>
      <c r="C180" s="34">
        <f>(C179/(C170*'Seprate Lat Long'!$B$9))</f>
        <v>1.1437321971693444</v>
      </c>
      <c r="D180" s="34">
        <f>(D179/(D170*'Seprate Lat Long'!$B$9))</f>
        <v>1.1484858236286057</v>
      </c>
      <c r="E180" s="34">
        <f>(E179/(E170*'Seprate Lat Long'!$B$9))</f>
        <v>1.1505123939214368</v>
      </c>
      <c r="F180" s="34">
        <f>(F179/(F170*'Seprate Lat Long'!$B$9))</f>
        <v>1.151387790089105</v>
      </c>
    </row>
    <row r="181" spans="1:6" x14ac:dyDescent="0.25">
      <c r="A181" t="s">
        <v>89</v>
      </c>
      <c r="B181" s="34"/>
      <c r="F181">
        <f>(4*PI()^2*9.125/(E180*9.81))^0.5</f>
        <v>5.6495798401488431</v>
      </c>
    </row>
    <row r="182" spans="1:6" x14ac:dyDescent="0.25">
      <c r="A182" t="s">
        <v>80</v>
      </c>
      <c r="B182" s="34"/>
      <c r="F182">
        <f>71.5*(((6.001/F181)^2-1)/((6.001/4.813)^2-1))+3.5</f>
        <v>20.03776706697878</v>
      </c>
    </row>
    <row r="184" spans="1:6" x14ac:dyDescent="0.25">
      <c r="A184" t="s">
        <v>81</v>
      </c>
      <c r="B184">
        <f>B170+10</f>
        <v>690</v>
      </c>
      <c r="C184">
        <f t="shared" ref="C184:F184" si="239">C170+10</f>
        <v>690</v>
      </c>
      <c r="D184">
        <f t="shared" si="239"/>
        <v>690</v>
      </c>
      <c r="E184">
        <f t="shared" si="239"/>
        <v>690</v>
      </c>
      <c r="F184">
        <f t="shared" si="239"/>
        <v>690</v>
      </c>
    </row>
    <row r="185" spans="1:6" x14ac:dyDescent="0.25">
      <c r="A185" t="s">
        <v>82</v>
      </c>
      <c r="B185" s="34">
        <v>1.3</v>
      </c>
      <c r="C185" s="34">
        <f>B185+(B194-B185)/2</f>
        <v>1.2132032072596539</v>
      </c>
      <c r="D185" s="34">
        <f t="shared" ref="D185:F185" si="240">C185+(C194-C185)/2</f>
        <v>1.1757683626331137</v>
      </c>
      <c r="E185" s="34">
        <f t="shared" si="240"/>
        <v>1.1595380476461346</v>
      </c>
      <c r="F185" s="34">
        <f t="shared" si="240"/>
        <v>1.152484387873888</v>
      </c>
    </row>
    <row r="186" spans="1:6" x14ac:dyDescent="0.25">
      <c r="A186" t="s">
        <v>83</v>
      </c>
      <c r="B186" s="34">
        <f>B185*B184*'Seprate Lat Long'!$B$9*'Seprate Lat Long'!$B$7/'Seprate Lat Long'!$B$4</f>
        <v>127.74857142857144</v>
      </c>
      <c r="C186" s="34">
        <f>C185*C184*'Seprate Lat Long'!$B$9*'Seprate Lat Long'!$B$7/'Seprate Lat Long'!$B$4</f>
        <v>119.2192127538322</v>
      </c>
      <c r="D186" s="34">
        <f>D185*D184*'Seprate Lat Long'!$B$9*'Seprate Lat Long'!$B$7/'Seprate Lat Long'!$B$4</f>
        <v>115.54056050560831</v>
      </c>
      <c r="E186" s="34">
        <f>E185*E184*'Seprate Lat Long'!$B$9*'Seprate Lat Long'!$B$7/'Seprate Lat Long'!$B$4</f>
        <v>113.94563777220654</v>
      </c>
      <c r="F186" s="34">
        <f>F185*F184*'Seprate Lat Long'!$B$9*'Seprate Lat Long'!$B$7/'Seprate Lat Long'!$B$4</f>
        <v>113.25248780355447</v>
      </c>
    </row>
    <row r="187" spans="1:6" x14ac:dyDescent="0.25">
      <c r="A187" t="s">
        <v>84</v>
      </c>
      <c r="B187" s="34">
        <f>(B184*'Seprate Lat Long'!$B$9/2)+B186</f>
        <v>314.04857142857145</v>
      </c>
      <c r="C187" s="34">
        <f>(C184*'Seprate Lat Long'!$B$9/2)+C186</f>
        <v>305.51921275383222</v>
      </c>
      <c r="D187" s="34">
        <f>(D184*'Seprate Lat Long'!$B$9/2)+D186</f>
        <v>301.84056050560832</v>
      </c>
      <c r="E187" s="34">
        <f>(E184*'Seprate Lat Long'!$B$9/2)+E186</f>
        <v>300.24563777220658</v>
      </c>
      <c r="F187" s="34">
        <f>(F184*'Seprate Lat Long'!$B$9/2)+F186</f>
        <v>299.55248780355447</v>
      </c>
    </row>
    <row r="188" spans="1:6" x14ac:dyDescent="0.25">
      <c r="A188" t="s">
        <v>79</v>
      </c>
      <c r="B188" s="34">
        <f>0.42*(0.000000000546*B187^4- 0.000000494*B187^3 + 0.000153*B187^2 - 0.0209*B187 + 4.04)</f>
        <v>1.0820750184667722</v>
      </c>
      <c r="C188" s="34">
        <f t="shared" ref="C188" si="241">0.42*(0.000000000546*C187^4- 0.000000494*C187^3 + 0.000153*C187^2 - 0.0209*C187 + 4.04)</f>
        <v>1.0942439882150594</v>
      </c>
      <c r="D188" s="34">
        <f t="shared" ref="D188" si="242">0.42*(0.000000000546*D187^4- 0.000000494*D187^3 + 0.000153*D187^2 - 0.0209*D187 + 4.04)</f>
        <v>1.0996221343432113</v>
      </c>
      <c r="E188" s="34">
        <f t="shared" ref="E188" si="243">0.42*(0.000000000546*E187^4- 0.000000494*E187^3 + 0.000153*E187^2 - 0.0209*E187 + 4.04)</f>
        <v>1.1019697575726144</v>
      </c>
      <c r="F188" s="34">
        <f t="shared" ref="F188" si="244">0.42*(0.000000000546*F187^4- 0.000000494*F187^3 + 0.000153*F187^2 - 0.0209*F187 + 4.04)</f>
        <v>1.1029923648552349</v>
      </c>
    </row>
    <row r="189" spans="1:6" x14ac:dyDescent="0.25">
      <c r="A189" t="s">
        <v>85</v>
      </c>
      <c r="B189" s="34">
        <f>B187*B188</f>
        <v>339.82411372803489</v>
      </c>
      <c r="C189" s="34">
        <f>C187*C188</f>
        <v>334.31256184007862</v>
      </c>
      <c r="D189" s="34">
        <f t="shared" ref="D189" si="245">D187*D188</f>
        <v>331.91056137452824</v>
      </c>
      <c r="E189" s="34">
        <f t="shared" ref="E189" si="246">E187*E188</f>
        <v>330.86161266807346</v>
      </c>
      <c r="F189" s="34">
        <f t="shared" ref="F189" si="247">F187*F188</f>
        <v>330.40410692071146</v>
      </c>
    </row>
    <row r="190" spans="1:6" x14ac:dyDescent="0.25">
      <c r="A190" t="s">
        <v>86</v>
      </c>
      <c r="B190" s="34">
        <f>(B184*'Seprate Lat Long'!$B$9/2)-B186</f>
        <v>58.551428571428573</v>
      </c>
      <c r="C190" s="34">
        <f>(C184*'Seprate Lat Long'!$B$9/2)-C186</f>
        <v>67.080787246167816</v>
      </c>
      <c r="D190" s="34">
        <f>(D184*'Seprate Lat Long'!$B$9/2)-D186</f>
        <v>70.7594394943917</v>
      </c>
      <c r="E190" s="34">
        <f>(E184*'Seprate Lat Long'!$B$9/2)-E186</f>
        <v>72.354362227793473</v>
      </c>
      <c r="F190" s="34">
        <f>(F184*'Seprate Lat Long'!$B$9/2)-F186</f>
        <v>73.047512196445538</v>
      </c>
    </row>
    <row r="191" spans="1:6" x14ac:dyDescent="0.25">
      <c r="A191" t="s">
        <v>87</v>
      </c>
      <c r="B191" s="34">
        <f>0.42*(0.000000000546*B190^4- 0.000000494*B190^3 + 0.000153*B190^2 - 0.0209*B190 + 4.04)</f>
        <v>1.3641839024374534</v>
      </c>
      <c r="C191" s="34">
        <f t="shared" ref="C191" si="248">0.42*(0.000000000546*C190^4- 0.000000494*C190^3 + 0.000153*C190^2 - 0.0209*C190 + 4.04)</f>
        <v>1.3391391284589085</v>
      </c>
      <c r="D191" s="34">
        <f t="shared" ref="D191" si="249">0.42*(0.000000000546*D190^4- 0.000000494*D190^3 + 0.000153*D190^2 - 0.0209*D190 + 4.04)</f>
        <v>1.3296586361700922</v>
      </c>
      <c r="E191" s="34">
        <f t="shared" ref="E191" si="250">0.42*(0.000000000546*E190^4- 0.000000494*E190^3 + 0.000153*E190^2 - 0.0209*E190 + 4.04)</f>
        <v>1.3257787598292194</v>
      </c>
      <c r="F191" s="34">
        <f t="shared" ref="F191" si="251">0.42*(0.000000000546*F190^4- 0.000000494*F190^3 + 0.000153*F190^2 - 0.0209*F190 + 4.04)</f>
        <v>1.3241346889553944</v>
      </c>
    </row>
    <row r="192" spans="1:6" x14ac:dyDescent="0.25">
      <c r="A192" t="s">
        <v>88</v>
      </c>
      <c r="B192" s="34">
        <f>B190*B191</f>
        <v>79.874916321859232</v>
      </c>
      <c r="C192" s="34">
        <f>C190*C191</f>
        <v>89.830506969170628</v>
      </c>
      <c r="D192" s="34">
        <f t="shared" ref="D192" si="252">D190*D191</f>
        <v>94.08589981427302</v>
      </c>
      <c r="E192" s="34">
        <f t="shared" ref="E192" si="253">E190*E191</f>
        <v>95.925876622598153</v>
      </c>
      <c r="F192" s="34">
        <f t="shared" ref="F192" si="254">F190*F191</f>
        <v>96.724744841205791</v>
      </c>
    </row>
    <row r="193" spans="1:6" x14ac:dyDescent="0.25">
      <c r="A193" t="s">
        <v>90</v>
      </c>
      <c r="B193" s="34">
        <f>B189+B192</f>
        <v>419.69903004989413</v>
      </c>
      <c r="C193" s="34">
        <f>C189+C192</f>
        <v>424.14306880924926</v>
      </c>
      <c r="D193" s="34">
        <f t="shared" ref="D193" si="255">D189+D192</f>
        <v>425.99646118880128</v>
      </c>
      <c r="E193" s="34">
        <f t="shared" ref="E193" si="256">E189+E192</f>
        <v>426.7874892906716</v>
      </c>
      <c r="F193" s="34">
        <f t="shared" ref="F193" si="257">F189+F192</f>
        <v>427.12885176191725</v>
      </c>
    </row>
    <row r="194" spans="1:6" x14ac:dyDescent="0.25">
      <c r="A194" t="s">
        <v>91</v>
      </c>
      <c r="B194" s="34">
        <f>(B193/(B184*'Seprate Lat Long'!$B$9))</f>
        <v>1.1264064145193078</v>
      </c>
      <c r="C194" s="34">
        <f>(C193/(C184*'Seprate Lat Long'!$B$9))</f>
        <v>1.1383335180065735</v>
      </c>
      <c r="D194" s="34">
        <f>(D193/(D184*'Seprate Lat Long'!$B$9))</f>
        <v>1.1433077326591552</v>
      </c>
      <c r="E194" s="34">
        <f>(E193/(E184*'Seprate Lat Long'!$B$9))</f>
        <v>1.1454307281016414</v>
      </c>
      <c r="F194" s="34">
        <f>(F193/(F184*'Seprate Lat Long'!$B$9))</f>
        <v>1.1463468914705239</v>
      </c>
    </row>
    <row r="195" spans="1:6" x14ac:dyDescent="0.25">
      <c r="A195" t="s">
        <v>89</v>
      </c>
      <c r="B195" s="34"/>
      <c r="F195">
        <f>(4*PI()^2*9.125/(E194*9.81))^0.5</f>
        <v>5.662098059087354</v>
      </c>
    </row>
    <row r="196" spans="1:6" x14ac:dyDescent="0.25">
      <c r="A196" t="s">
        <v>80</v>
      </c>
      <c r="B196" s="34"/>
      <c r="F196">
        <f>71.5*(((6.001/F195)^2-1)/((6.001/4.813)^2-1))+3.5</f>
        <v>19.395279523585764</v>
      </c>
    </row>
    <row r="198" spans="1:6" x14ac:dyDescent="0.25">
      <c r="A198" t="s">
        <v>81</v>
      </c>
      <c r="B198">
        <f>B184+10</f>
        <v>700</v>
      </c>
      <c r="C198">
        <f t="shared" ref="C198:F198" si="258">C184+10</f>
        <v>700</v>
      </c>
      <c r="D198">
        <f t="shared" si="258"/>
        <v>700</v>
      </c>
      <c r="E198">
        <f t="shared" si="258"/>
        <v>700</v>
      </c>
      <c r="F198">
        <f t="shared" si="258"/>
        <v>700</v>
      </c>
    </row>
    <row r="199" spans="1:6" x14ac:dyDescent="0.25">
      <c r="A199" t="s">
        <v>82</v>
      </c>
      <c r="B199" s="34">
        <v>1.3</v>
      </c>
      <c r="C199" s="34">
        <f>B199+(B208-B199)/2</f>
        <v>1.2103597372215931</v>
      </c>
      <c r="D199" s="34">
        <f t="shared" ref="D199:F199" si="259">C199+(C208-C199)/2</f>
        <v>1.1716904529422356</v>
      </c>
      <c r="E199" s="34">
        <f t="shared" si="259"/>
        <v>1.1549440000179072</v>
      </c>
      <c r="F199" s="34">
        <f t="shared" si="259"/>
        <v>1.1476778755771053</v>
      </c>
    </row>
    <row r="200" spans="1:6" x14ac:dyDescent="0.25">
      <c r="A200" t="s">
        <v>83</v>
      </c>
      <c r="B200" s="34">
        <f>B199*B198*'Seprate Lat Long'!$B$9*'Seprate Lat Long'!$B$7/'Seprate Lat Long'!$B$4</f>
        <v>129.6</v>
      </c>
      <c r="C200" s="34">
        <f>C199*C198*'Seprate Lat Long'!$B$9*'Seprate Lat Long'!$B$7/'Seprate Lat Long'!$B$4</f>
        <v>120.66355534147574</v>
      </c>
      <c r="D200" s="34">
        <f>D199*D198*'Seprate Lat Long'!$B$9*'Seprate Lat Long'!$B$7/'Seprate Lat Long'!$B$4</f>
        <v>116.80852515485674</v>
      </c>
      <c r="E200" s="34">
        <f>E199*E198*'Seprate Lat Long'!$B$9*'Seprate Lat Long'!$B$7/'Seprate Lat Long'!$B$4</f>
        <v>115.13903261716985</v>
      </c>
      <c r="F200" s="34">
        <f>F199*F198*'Seprate Lat Long'!$B$9*'Seprate Lat Long'!$B$7/'Seprate Lat Long'!$B$4</f>
        <v>114.41465590368682</v>
      </c>
    </row>
    <row r="201" spans="1:6" x14ac:dyDescent="0.25">
      <c r="A201" t="s">
        <v>84</v>
      </c>
      <c r="B201" s="34">
        <f>(B198*'Seprate Lat Long'!$B$9/2)+B200</f>
        <v>318.60000000000002</v>
      </c>
      <c r="C201" s="34">
        <f>(C198*'Seprate Lat Long'!$B$9/2)+C200</f>
        <v>309.66355534147573</v>
      </c>
      <c r="D201" s="34">
        <f>(D198*'Seprate Lat Long'!$B$9/2)+D200</f>
        <v>305.80852515485674</v>
      </c>
      <c r="E201" s="34">
        <f>(E198*'Seprate Lat Long'!$B$9/2)+E200</f>
        <v>304.13903261716985</v>
      </c>
      <c r="F201" s="34">
        <f>(F198*'Seprate Lat Long'!$B$9/2)+F200</f>
        <v>303.41465590368682</v>
      </c>
    </row>
    <row r="202" spans="1:6" x14ac:dyDescent="0.25">
      <c r="A202" t="s">
        <v>79</v>
      </c>
      <c r="B202" s="34">
        <f>0.42*(0.000000000546*B201^4- 0.000000494*B201^3 + 0.000153*B201^2 - 0.0209*B201 + 4.04)</f>
        <v>1.0758301507845349</v>
      </c>
      <c r="C202" s="34">
        <f t="shared" ref="C202" si="260">0.42*(0.000000000546*C201^4- 0.000000494*C201^3 + 0.000153*C201^2 - 0.0209*C201 + 4.04)</f>
        <v>1.0882680442408932</v>
      </c>
      <c r="D202" s="34">
        <f t="shared" ref="D202" si="261">0.42*(0.000000000546*D201^4- 0.000000494*D201^3 + 0.000153*D201^2 - 0.0209*D201 + 4.04)</f>
        <v>1.0938236342756871</v>
      </c>
      <c r="E202" s="34">
        <f t="shared" ref="E202" si="262">0.42*(0.000000000546*E201^4- 0.000000494*E201^3 + 0.000153*E201^2 - 0.0209*E201 + 4.04)</f>
        <v>1.0962549420705805</v>
      </c>
      <c r="F202" s="34">
        <f t="shared" ref="F202" si="263">0.42*(0.000000000546*F201^4- 0.000000494*F201^3 + 0.000153*F201^2 - 0.0209*F201 + 4.04)</f>
        <v>1.0973138394885693</v>
      </c>
    </row>
    <row r="203" spans="1:6" x14ac:dyDescent="0.25">
      <c r="A203" t="s">
        <v>85</v>
      </c>
      <c r="B203" s="34">
        <f>B201*B202</f>
        <v>342.75948603995283</v>
      </c>
      <c r="C203" s="34">
        <f>C201*C202</f>
        <v>336.99695174414938</v>
      </c>
      <c r="D203" s="34">
        <f t="shared" ref="D203" si="264">D201*D202</f>
        <v>334.50059237737327</v>
      </c>
      <c r="E203" s="34">
        <f t="shared" ref="E203" si="265">E201*E202</f>
        <v>333.4139175831379</v>
      </c>
      <c r="F203" s="34">
        <f t="shared" ref="F203" si="266">F201*F202</f>
        <v>332.94110102677769</v>
      </c>
    </row>
    <row r="204" spans="1:6" x14ac:dyDescent="0.25">
      <c r="A204" t="s">
        <v>86</v>
      </c>
      <c r="B204" s="34">
        <f>(B198*'Seprate Lat Long'!$B$9/2)-B200</f>
        <v>59.400000000000006</v>
      </c>
      <c r="C204" s="34">
        <f>(C198*'Seprate Lat Long'!$B$9/2)-C200</f>
        <v>68.336444658524258</v>
      </c>
      <c r="D204" s="34">
        <f>(D198*'Seprate Lat Long'!$B$9/2)-D200</f>
        <v>72.191474845143262</v>
      </c>
      <c r="E204" s="34">
        <f>(E198*'Seprate Lat Long'!$B$9/2)-E200</f>
        <v>73.860967382830154</v>
      </c>
      <c r="F204" s="34">
        <f>(F198*'Seprate Lat Long'!$B$9/2)-F200</f>
        <v>74.585344096313179</v>
      </c>
    </row>
    <row r="205" spans="1:6" x14ac:dyDescent="0.25">
      <c r="A205" t="s">
        <v>87</v>
      </c>
      <c r="B205" s="34">
        <f>0.42*(0.000000000546*B204^4- 0.000000494*B204^3 + 0.000153*B204^2 - 0.0209*B204 + 4.04)</f>
        <v>1.3614894831577711</v>
      </c>
      <c r="C205" s="34">
        <f t="shared" ref="C205" si="267">0.42*(0.000000000546*C204^4- 0.000000494*C204^3 + 0.000153*C204^2 - 0.0209*C204 + 4.04)</f>
        <v>1.3358179587271193</v>
      </c>
      <c r="D205" s="34">
        <f t="shared" ref="D205" si="268">0.42*(0.000000000546*D204^4- 0.000000494*D204^3 + 0.000153*D204^2 - 0.0209*D204 + 4.04)</f>
        <v>1.3261687841862999</v>
      </c>
      <c r="E205" s="34">
        <f t="shared" ref="E205" si="269">0.42*(0.000000000546*E204^4- 0.000000494*E204^3 + 0.000153*E204^2 - 0.0209*E204 + 4.04)</f>
        <v>1.3222372764249399</v>
      </c>
      <c r="F205" s="34">
        <f t="shared" ref="F205" si="270">0.42*(0.000000000546*F204^4- 0.000000494*F204^3 + 0.000153*F204^2 - 0.0209*F204 + 4.04)</f>
        <v>1.3205763883131161</v>
      </c>
    </row>
    <row r="206" spans="1:6" x14ac:dyDescent="0.25">
      <c r="A206" t="s">
        <v>88</v>
      </c>
      <c r="B206" s="34">
        <f>B204*B205</f>
        <v>80.872475299571605</v>
      </c>
      <c r="C206" s="34">
        <f>C204*C205</f>
        <v>91.28505001041863</v>
      </c>
      <c r="D206" s="34">
        <f t="shared" ref="D206" si="271">D204*D205</f>
        <v>95.738080423999492</v>
      </c>
      <c r="E206" s="34">
        <f t="shared" ref="E206" si="272">E204*E205</f>
        <v>97.661724346384673</v>
      </c>
      <c r="F206" s="34">
        <f t="shared" ref="F206" si="273">F204*F205</f>
        <v>98.49564432780025</v>
      </c>
    </row>
    <row r="207" spans="1:6" x14ac:dyDescent="0.25">
      <c r="A207" t="s">
        <v>90</v>
      </c>
      <c r="B207" s="34">
        <f>B203+B206</f>
        <v>423.63196133952442</v>
      </c>
      <c r="C207" s="34">
        <f>C203+C206</f>
        <v>428.282001754568</v>
      </c>
      <c r="D207" s="34">
        <f t="shared" ref="D207" si="274">D203+D206</f>
        <v>430.23867280137279</v>
      </c>
      <c r="E207" s="34">
        <f t="shared" ref="E207" si="275">E203+E206</f>
        <v>431.07564192952259</v>
      </c>
      <c r="F207" s="34">
        <f t="shared" ref="F207" si="276">F203+F206</f>
        <v>431.43674535457797</v>
      </c>
    </row>
    <row r="208" spans="1:6" x14ac:dyDescent="0.25">
      <c r="A208" t="s">
        <v>91</v>
      </c>
      <c r="B208" s="34">
        <f>(B207/(B198*'Seprate Lat Long'!$B$9))</f>
        <v>1.1207194744431863</v>
      </c>
      <c r="C208" s="34">
        <f>(C207/(C198*'Seprate Lat Long'!$B$9))</f>
        <v>1.1330211686628784</v>
      </c>
      <c r="D208" s="34">
        <f>(D207/(D198*'Seprate Lat Long'!$B$9))</f>
        <v>1.1381975470935788</v>
      </c>
      <c r="E208" s="34">
        <f>(E207/(E198*'Seprate Lat Long'!$B$9))</f>
        <v>1.1404117511363032</v>
      </c>
      <c r="F208" s="34">
        <f>(F207/(F198*'Seprate Lat Long'!$B$9))</f>
        <v>1.1413670512025873</v>
      </c>
    </row>
    <row r="209" spans="1:6" x14ac:dyDescent="0.25">
      <c r="A209" t="s">
        <v>89</v>
      </c>
      <c r="B209" s="34"/>
      <c r="F209">
        <f>(4*PI()^2*9.125/(E208*9.81))^0.5</f>
        <v>5.6745438889937256</v>
      </c>
    </row>
    <row r="210" spans="1:6" x14ac:dyDescent="0.25">
      <c r="A210" t="s">
        <v>80</v>
      </c>
      <c r="B210" s="34"/>
      <c r="F210">
        <f>71.5*(((6.001/F209)^2-1)/((6.001/4.813)^2-1))+3.5</f>
        <v>18.76071788668223</v>
      </c>
    </row>
    <row r="212" spans="1:6" x14ac:dyDescent="0.25">
      <c r="A212" t="s">
        <v>81</v>
      </c>
      <c r="B212">
        <f>B198+10</f>
        <v>710</v>
      </c>
      <c r="C212">
        <f t="shared" ref="C212:F212" si="277">C198+10</f>
        <v>710</v>
      </c>
      <c r="D212">
        <f t="shared" si="277"/>
        <v>710</v>
      </c>
      <c r="E212">
        <f t="shared" si="277"/>
        <v>710</v>
      </c>
      <c r="F212">
        <f t="shared" si="277"/>
        <v>710</v>
      </c>
    </row>
    <row r="213" spans="1:6" x14ac:dyDescent="0.25">
      <c r="A213" t="s">
        <v>82</v>
      </c>
      <c r="B213" s="34">
        <v>1.3</v>
      </c>
      <c r="C213" s="34">
        <f>B213+(B222-B213)/2</f>
        <v>1.2076180209066152</v>
      </c>
      <c r="D213" s="34">
        <f t="shared" ref="D213:F213" si="278">C213+(C222-C213)/2</f>
        <v>1.1677179480119571</v>
      </c>
      <c r="E213" s="34">
        <f t="shared" si="278"/>
        <v>1.1504456050346541</v>
      </c>
      <c r="F213" s="34">
        <f t="shared" si="278"/>
        <v>1.142958818906225</v>
      </c>
    </row>
    <row r="214" spans="1:6" x14ac:dyDescent="0.25">
      <c r="A214" t="s">
        <v>83</v>
      </c>
      <c r="B214" s="34">
        <f>B213*B212*'Seprate Lat Long'!$B$9*'Seprate Lat Long'!$B$7/'Seprate Lat Long'!$B$4</f>
        <v>131.45142857142858</v>
      </c>
      <c r="C214" s="34">
        <f>C213*C212*'Seprate Lat Long'!$B$9*'Seprate Lat Long'!$B$7/'Seprate Lat Long'!$B$4</f>
        <v>122.11008770521221</v>
      </c>
      <c r="D214" s="34">
        <f>D213*D212*'Seprate Lat Long'!$B$9*'Seprate Lat Long'!$B$7/'Seprate Lat Long'!$B$4</f>
        <v>118.07553264205302</v>
      </c>
      <c r="E214" s="34">
        <f>E213*E212*'Seprate Lat Long'!$B$9*'Seprate Lat Long'!$B$7/'Seprate Lat Long'!$B$4</f>
        <v>116.32901405809753</v>
      </c>
      <c r="F214" s="34">
        <f>F213*F212*'Seprate Lat Long'!$B$9*'Seprate Lat Long'!$B$7/'Seprate Lat Long'!$B$4</f>
        <v>115.57197657195076</v>
      </c>
    </row>
    <row r="215" spans="1:6" x14ac:dyDescent="0.25">
      <c r="A215" t="s">
        <v>84</v>
      </c>
      <c r="B215" s="34">
        <f>(B212*'Seprate Lat Long'!$B$9/2)+B214</f>
        <v>323.1514285714286</v>
      </c>
      <c r="C215" s="34">
        <f>(C212*'Seprate Lat Long'!$B$9/2)+C214</f>
        <v>313.81008770521225</v>
      </c>
      <c r="D215" s="34">
        <f>(D212*'Seprate Lat Long'!$B$9/2)+D214</f>
        <v>309.77553264205301</v>
      </c>
      <c r="E215" s="34">
        <f>(E212*'Seprate Lat Long'!$B$9/2)+E214</f>
        <v>308.02901405809757</v>
      </c>
      <c r="F215" s="34">
        <f>(F212*'Seprate Lat Long'!$B$9/2)+F214</f>
        <v>307.27197657195074</v>
      </c>
    </row>
    <row r="216" spans="1:6" x14ac:dyDescent="0.25">
      <c r="A216" t="s">
        <v>79</v>
      </c>
      <c r="B216" s="34">
        <f>0.42*(0.000000000546*B215^4- 0.000000494*B215^3 + 0.000153*B215^2 - 0.0209*B215 + 4.04)</f>
        <v>1.0698181024323217</v>
      </c>
      <c r="C216" s="34">
        <f t="shared" ref="C216" si="279">0.42*(0.000000000546*C215^4- 0.000000494*C215^3 + 0.000153*C215^2 - 0.0209*C215 + 4.04)</f>
        <v>1.0824077606511844</v>
      </c>
      <c r="D216" s="34">
        <f t="shared" ref="D216" si="280">0.42*(0.000000000546*D215^4- 0.000000494*D215^3 + 0.000153*D215^2 - 0.0209*D215 + 4.04)</f>
        <v>1.0881080782949077</v>
      </c>
      <c r="E216" s="34">
        <f t="shared" ref="E216" si="281">0.42*(0.000000000546*E215^4- 0.000000494*E215^3 + 0.000153*E215^2 - 0.0209*E215 + 4.04)</f>
        <v>1.0906126031381069</v>
      </c>
      <c r="F216" s="34">
        <f t="shared" ref="F216" si="282">0.42*(0.000000000546*F215^4- 0.000000494*F215^3 + 0.000153*F215^2 - 0.0209*F215 + 4.04)</f>
        <v>1.0917041821523645</v>
      </c>
    </row>
    <row r="217" spans="1:6" x14ac:dyDescent="0.25">
      <c r="A217" t="s">
        <v>85</v>
      </c>
      <c r="B217" s="34">
        <f>B215*B216</f>
        <v>345.71324811257966</v>
      </c>
      <c r="C217" s="34">
        <f>C215*C216</f>
        <v>339.67047430275056</v>
      </c>
      <c r="D217" s="34">
        <f t="shared" ref="D217" si="283">D215*D216</f>
        <v>337.06925952592576</v>
      </c>
      <c r="E217" s="34">
        <f t="shared" ref="E217" si="284">E215*E216</f>
        <v>335.94032486396634</v>
      </c>
      <c r="F217" s="34">
        <f t="shared" ref="F217" si="285">F215*F216</f>
        <v>335.45010188182198</v>
      </c>
    </row>
    <row r="218" spans="1:6" x14ac:dyDescent="0.25">
      <c r="A218" t="s">
        <v>86</v>
      </c>
      <c r="B218" s="34">
        <f>(B212*'Seprate Lat Long'!$B$9/2)-B214</f>
        <v>60.248571428571438</v>
      </c>
      <c r="C218" s="34">
        <f>(C212*'Seprate Lat Long'!$B$9/2)-C214</f>
        <v>69.589912294787808</v>
      </c>
      <c r="D218" s="34">
        <f>(D212*'Seprate Lat Long'!$B$9/2)-D214</f>
        <v>73.624467357946997</v>
      </c>
      <c r="E218" s="34">
        <f>(E212*'Seprate Lat Long'!$B$9/2)-E214</f>
        <v>75.370985941902489</v>
      </c>
      <c r="F218" s="34">
        <f>(F212*'Seprate Lat Long'!$B$9/2)-F214</f>
        <v>76.128023428049261</v>
      </c>
    </row>
    <row r="219" spans="1:6" x14ac:dyDescent="0.25">
      <c r="A219" t="s">
        <v>87</v>
      </c>
      <c r="B219" s="34">
        <f>0.42*(0.000000000546*B218^4- 0.000000494*B218^3 + 0.000153*B218^2 - 0.0209*B218 + 4.04)</f>
        <v>1.3588413530381049</v>
      </c>
      <c r="C219" s="34">
        <f t="shared" ref="C219" si="286">0.42*(0.000000000546*C218^4- 0.000000494*C218^3 + 0.000153*C218^2 - 0.0209*C218 + 4.04)</f>
        <v>1.3325911178676324</v>
      </c>
      <c r="D219" s="34">
        <f t="shared" ref="D219" si="287">0.42*(0.000000000546*D218^4- 0.000000494*D218^3 + 0.000153*D218^2 - 0.0209*D218 + 4.04)</f>
        <v>1.3227853815685442</v>
      </c>
      <c r="E219" s="34">
        <f t="shared" ref="E219" si="288">0.42*(0.000000000546*E218^4- 0.000000494*E218^3 + 0.000153*E218^2 - 0.0209*E218 + 4.04)</f>
        <v>1.3188052572333335</v>
      </c>
      <c r="F219" s="34">
        <f t="shared" ref="F219" si="289">0.42*(0.000000000546*F218^4- 0.000000494*F218^3 + 0.000153*F218^2 - 0.0209*F218 + 4.04)</f>
        <v>1.3171280021798435</v>
      </c>
    </row>
    <row r="220" spans="1:6" x14ac:dyDescent="0.25">
      <c r="A220" t="s">
        <v>88</v>
      </c>
      <c r="B220" s="34">
        <f>B218*B219</f>
        <v>81.868250318612922</v>
      </c>
      <c r="C220" s="34">
        <f>C218*C219</f>
        <v>92.734899017221778</v>
      </c>
      <c r="D220" s="34">
        <f t="shared" ref="D220" si="290">D218*D219</f>
        <v>97.389369146862748</v>
      </c>
      <c r="E220" s="34">
        <f t="shared" ref="E220" si="291">E218*E219</f>
        <v>99.399652503040684</v>
      </c>
      <c r="F220" s="34">
        <f t="shared" ref="F220" si="292">F218*F219</f>
        <v>100.27035140768685</v>
      </c>
    </row>
    <row r="221" spans="1:6" x14ac:dyDescent="0.25">
      <c r="A221" t="s">
        <v>90</v>
      </c>
      <c r="B221" s="34">
        <f>B217+B220</f>
        <v>427.58149843119259</v>
      </c>
      <c r="C221" s="34">
        <f>C217+C220</f>
        <v>432.40537331997234</v>
      </c>
      <c r="D221" s="34">
        <f t="shared" ref="D221" si="293">D217+D220</f>
        <v>434.45862867278851</v>
      </c>
      <c r="E221" s="34">
        <f t="shared" ref="E221" si="294">E217+E220</f>
        <v>435.33997736700701</v>
      </c>
      <c r="F221" s="34">
        <f t="shared" ref="F221" si="295">F217+F220</f>
        <v>435.72045328950884</v>
      </c>
    </row>
    <row r="222" spans="1:6" x14ac:dyDescent="0.25">
      <c r="A222" t="s">
        <v>91</v>
      </c>
      <c r="B222" s="34">
        <f>(B221/(B212*'Seprate Lat Long'!$B$9))</f>
        <v>1.1152360418132303</v>
      </c>
      <c r="C222" s="34">
        <f>(C221/(C212*'Seprate Lat Long'!$B$9))</f>
        <v>1.1278178751172987</v>
      </c>
      <c r="D222" s="34">
        <f>(D221/(D212*'Seprate Lat Long'!$B$9))</f>
        <v>1.1331732620573511</v>
      </c>
      <c r="E222" s="34">
        <f>(E221/(E212*'Seprate Lat Long'!$B$9))</f>
        <v>1.1354720327777958</v>
      </c>
      <c r="F222" s="34">
        <f>(F221/(F212*'Seprate Lat Long'!$B$9))</f>
        <v>1.1364644060759228</v>
      </c>
    </row>
    <row r="223" spans="1:6" x14ac:dyDescent="0.25">
      <c r="A223" t="s">
        <v>89</v>
      </c>
      <c r="B223" s="34"/>
      <c r="F223">
        <f>(4*PI()^2*9.125/(E222*9.81))^0.5</f>
        <v>5.6868736637734107</v>
      </c>
    </row>
    <row r="224" spans="1:6" x14ac:dyDescent="0.25">
      <c r="A224" t="s">
        <v>80</v>
      </c>
      <c r="B224" s="34"/>
      <c r="F224">
        <f>71.5*(((6.001/F223)^2-1)/((6.001/4.813)^2-1))+3.5</f>
        <v>18.136177110929609</v>
      </c>
    </row>
    <row r="227" spans="2:6" x14ac:dyDescent="0.25">
      <c r="B227" s="34"/>
      <c r="C227" s="34"/>
      <c r="D227" s="34"/>
      <c r="E227" s="34"/>
      <c r="F227" s="34"/>
    </row>
    <row r="228" spans="2:6" x14ac:dyDescent="0.25">
      <c r="B228" s="34"/>
      <c r="C228" s="34"/>
      <c r="D228" s="34"/>
      <c r="E228" s="34"/>
      <c r="F228" s="34"/>
    </row>
    <row r="229" spans="2:6" x14ac:dyDescent="0.25">
      <c r="B229" s="34"/>
      <c r="C229" s="34"/>
      <c r="D229" s="34"/>
      <c r="E229" s="34"/>
      <c r="F229" s="34"/>
    </row>
    <row r="230" spans="2:6" x14ac:dyDescent="0.25">
      <c r="B230" s="34"/>
      <c r="C230" s="34"/>
      <c r="D230" s="34"/>
      <c r="E230" s="34"/>
      <c r="F230" s="34"/>
    </row>
    <row r="231" spans="2:6" x14ac:dyDescent="0.25">
      <c r="B231" s="34"/>
      <c r="C231" s="34"/>
      <c r="D231" s="34"/>
      <c r="E231" s="34"/>
      <c r="F231" s="34"/>
    </row>
    <row r="232" spans="2:6" x14ac:dyDescent="0.25">
      <c r="B232" s="34"/>
      <c r="C232" s="34"/>
      <c r="D232" s="34"/>
      <c r="E232" s="34"/>
      <c r="F232" s="34"/>
    </row>
    <row r="233" spans="2:6" x14ac:dyDescent="0.25">
      <c r="B233" s="34"/>
      <c r="C233" s="34"/>
      <c r="D233" s="34"/>
      <c r="E233" s="34"/>
      <c r="F233" s="34"/>
    </row>
    <row r="234" spans="2:6" x14ac:dyDescent="0.25">
      <c r="B234" s="34"/>
      <c r="C234" s="34"/>
      <c r="D234" s="34"/>
      <c r="E234" s="34"/>
      <c r="F234" s="34"/>
    </row>
    <row r="235" spans="2:6" x14ac:dyDescent="0.25">
      <c r="B235" s="34"/>
      <c r="C235" s="34"/>
      <c r="D235" s="34"/>
      <c r="E235" s="34"/>
      <c r="F235" s="34"/>
    </row>
    <row r="236" spans="2:6" x14ac:dyDescent="0.25">
      <c r="B236" s="34"/>
      <c r="C236" s="34"/>
      <c r="D236" s="34"/>
      <c r="E236" s="34"/>
      <c r="F236" s="34"/>
    </row>
    <row r="237" spans="2:6" x14ac:dyDescent="0.25">
      <c r="B237" s="34"/>
    </row>
    <row r="238" spans="2:6" x14ac:dyDescent="0.25">
      <c r="B238" s="34"/>
    </row>
    <row r="241" spans="2:6" x14ac:dyDescent="0.25">
      <c r="B241" s="34"/>
      <c r="C241" s="34"/>
      <c r="D241" s="34"/>
      <c r="E241" s="34"/>
      <c r="F241" s="34"/>
    </row>
    <row r="242" spans="2:6" x14ac:dyDescent="0.25">
      <c r="B242" s="34"/>
      <c r="C242" s="34"/>
      <c r="D242" s="34"/>
      <c r="E242" s="34"/>
      <c r="F242" s="34"/>
    </row>
    <row r="243" spans="2:6" x14ac:dyDescent="0.25">
      <c r="B243" s="34"/>
      <c r="C243" s="34"/>
      <c r="D243" s="34"/>
      <c r="E243" s="34"/>
      <c r="F243" s="34"/>
    </row>
    <row r="244" spans="2:6" x14ac:dyDescent="0.25">
      <c r="B244" s="34"/>
      <c r="C244" s="34"/>
      <c r="D244" s="34"/>
      <c r="E244" s="34"/>
      <c r="F244" s="34"/>
    </row>
    <row r="245" spans="2:6" x14ac:dyDescent="0.25">
      <c r="B245" s="34"/>
      <c r="C245" s="34"/>
      <c r="D245" s="34"/>
      <c r="E245" s="34"/>
      <c r="F245" s="34"/>
    </row>
    <row r="246" spans="2:6" x14ac:dyDescent="0.25">
      <c r="B246" s="34"/>
      <c r="C246" s="34"/>
      <c r="D246" s="34"/>
      <c r="E246" s="34"/>
      <c r="F246" s="34"/>
    </row>
    <row r="247" spans="2:6" x14ac:dyDescent="0.25">
      <c r="B247" s="34"/>
      <c r="C247" s="34"/>
      <c r="D247" s="34"/>
      <c r="E247" s="34"/>
      <c r="F247" s="34"/>
    </row>
    <row r="248" spans="2:6" x14ac:dyDescent="0.25">
      <c r="B248" s="34"/>
      <c r="C248" s="34"/>
      <c r="D248" s="34"/>
      <c r="E248" s="34"/>
      <c r="F248" s="34"/>
    </row>
    <row r="249" spans="2:6" x14ac:dyDescent="0.25">
      <c r="B249" s="34"/>
      <c r="C249" s="34"/>
      <c r="D249" s="34"/>
      <c r="E249" s="34"/>
      <c r="F249" s="34"/>
    </row>
    <row r="250" spans="2:6" x14ac:dyDescent="0.25">
      <c r="B250" s="34"/>
      <c r="C250" s="34"/>
      <c r="D250" s="34"/>
      <c r="E250" s="34"/>
      <c r="F250" s="34"/>
    </row>
    <row r="251" spans="2:6" x14ac:dyDescent="0.25">
      <c r="B251" s="34"/>
    </row>
    <row r="252" spans="2:6" x14ac:dyDescent="0.25">
      <c r="B252" s="34"/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Seprate Lat Long</vt:lpstr>
      <vt:lpstr>Lat with Long</vt:lpstr>
      <vt:lpstr>Long with Lat (not needed)</vt:lpstr>
      <vt:lpstr>Skidpad Versus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Gil</dc:creator>
  <cp:lastModifiedBy>Lahav Gil</cp:lastModifiedBy>
  <dcterms:created xsi:type="dcterms:W3CDTF">2017-06-14T17:04:58Z</dcterms:created>
  <dcterms:modified xsi:type="dcterms:W3CDTF">2018-06-06T21:48:26Z</dcterms:modified>
</cp:coreProperties>
</file>