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Selectividad_artes_de_pesca\"/>
    </mc:Choice>
  </mc:AlternateContent>
  <xr:revisionPtr revIDLastSave="0" documentId="13_ncr:1_{9280583C-4E76-434F-B915-011AC8BADEC1}" xr6:coauthVersionLast="47" xr6:coauthVersionMax="47" xr10:uidLastSave="{00000000-0000-0000-0000-000000000000}"/>
  <bookViews>
    <workbookView xWindow="1770" yWindow="1770" windowWidth="15375" windowHeight="7875" activeTab="1" xr2:uid="{00000000-000D-0000-FFFF-FFFF00000000}"/>
  </bookViews>
  <sheets>
    <sheet name="Sobrecopo" sheetId="1" r:id="rId1"/>
    <sheet name="Dejupa" sheetId="2" r:id="rId2"/>
    <sheet name="FLEXIGIRD" sheetId="3" r:id="rId3"/>
    <sheet name="Tangonera" sheetId="4" r:id="rId4"/>
  </sheets>
  <definedNames>
    <definedName name="solver_adj" localSheetId="1" hidden="1">Dejupa!$T$5:$T$6</definedName>
    <definedName name="solver_adj" localSheetId="2" hidden="1">FLEXIGIRD!$H$5:$H$6</definedName>
    <definedName name="solver_adj" localSheetId="0" hidden="1">Sobrecopo!$L$9:$L$10</definedName>
    <definedName name="solver_adj" localSheetId="3" hidden="1">Tangonera!$E$5:$E$6</definedName>
    <definedName name="solver_cvg" localSheetId="1" hidden="1">0.0001</definedName>
    <definedName name="solver_cvg" localSheetId="2" hidden="1">0.0001</definedName>
    <definedName name="solver_cvg" localSheetId="0" hidden="1">0.0001</definedName>
    <definedName name="solver_cvg" localSheetId="3" hidden="1">0.0001</definedName>
    <definedName name="solver_drv" localSheetId="1" hidden="1">1</definedName>
    <definedName name="solver_drv" localSheetId="2" hidden="1">1</definedName>
    <definedName name="solver_drv" localSheetId="0" hidden="1">1</definedName>
    <definedName name="solver_drv" localSheetId="3" hidden="1">1</definedName>
    <definedName name="solver_est" localSheetId="1" hidden="1">2</definedName>
    <definedName name="solver_est" localSheetId="2" hidden="1">2</definedName>
    <definedName name="solver_est" localSheetId="0" hidden="1">2</definedName>
    <definedName name="solver_est" localSheetId="3" hidden="1">2</definedName>
    <definedName name="solver_itr" localSheetId="1" hidden="1">1000</definedName>
    <definedName name="solver_itr" localSheetId="2" hidden="1">1000</definedName>
    <definedName name="solver_itr" localSheetId="0" hidden="1">1000</definedName>
    <definedName name="solver_itr" localSheetId="3" hidden="1">1000</definedName>
    <definedName name="solver_lin" localSheetId="1" hidden="1">2</definedName>
    <definedName name="solver_lin" localSheetId="2" hidden="1">2</definedName>
    <definedName name="solver_lin" localSheetId="0" hidden="1">2</definedName>
    <definedName name="solver_lin" localSheetId="3" hidden="1">2</definedName>
    <definedName name="solver_neg" localSheetId="1" hidden="1">2</definedName>
    <definedName name="solver_neg" localSheetId="2" hidden="1">2</definedName>
    <definedName name="solver_neg" localSheetId="0" hidden="1">2</definedName>
    <definedName name="solver_neg" localSheetId="3" hidden="1">2</definedName>
    <definedName name="solver_num" localSheetId="1" hidden="1">0</definedName>
    <definedName name="solver_num" localSheetId="2" hidden="1">0</definedName>
    <definedName name="solver_num" localSheetId="0" hidden="1">0</definedName>
    <definedName name="solver_num" localSheetId="3" hidden="1">0</definedName>
    <definedName name="solver_nwt" localSheetId="1" hidden="1">1</definedName>
    <definedName name="solver_nwt" localSheetId="2" hidden="1">1</definedName>
    <definedName name="solver_nwt" localSheetId="0" hidden="1">1</definedName>
    <definedName name="solver_nwt" localSheetId="3" hidden="1">1</definedName>
    <definedName name="solver_opt" localSheetId="1" hidden="1">Dejupa!$V$6</definedName>
    <definedName name="solver_opt" localSheetId="2" hidden="1">FLEXIGIRD!$J$9</definedName>
    <definedName name="solver_opt" localSheetId="0" hidden="1">Sobrecopo!$L$16</definedName>
    <definedName name="solver_opt" localSheetId="3" hidden="1">Tangonera!$H$9</definedName>
    <definedName name="solver_pre" localSheetId="1" hidden="1">0.000001</definedName>
    <definedName name="solver_pre" localSheetId="2" hidden="1">0.000001</definedName>
    <definedName name="solver_pre" localSheetId="0" hidden="1">0.000001</definedName>
    <definedName name="solver_pre" localSheetId="3" hidden="1">0.000001</definedName>
    <definedName name="solver_scl" localSheetId="1" hidden="1">2</definedName>
    <definedName name="solver_scl" localSheetId="2" hidden="1">2</definedName>
    <definedName name="solver_scl" localSheetId="0" hidden="1">2</definedName>
    <definedName name="solver_scl" localSheetId="3" hidden="1">2</definedName>
    <definedName name="solver_sho" localSheetId="1" hidden="1">2</definedName>
    <definedName name="solver_sho" localSheetId="2" hidden="1">2</definedName>
    <definedName name="solver_sho" localSheetId="0" hidden="1">2</definedName>
    <definedName name="solver_sho" localSheetId="3" hidden="1">2</definedName>
    <definedName name="solver_tim" localSheetId="1" hidden="1">1000</definedName>
    <definedName name="solver_tim" localSheetId="2" hidden="1">1000</definedName>
    <definedName name="solver_tim" localSheetId="0" hidden="1">1000</definedName>
    <definedName name="solver_tim" localSheetId="3" hidden="1">1000</definedName>
    <definedName name="solver_tol" localSheetId="1" hidden="1">0.02</definedName>
    <definedName name="solver_tol" localSheetId="2" hidden="1">0.02</definedName>
    <definedName name="solver_tol" localSheetId="0" hidden="1">0.02</definedName>
    <definedName name="solver_tol" localSheetId="3" hidden="1">0.02</definedName>
    <definedName name="solver_typ" localSheetId="1" hidden="1">1</definedName>
    <definedName name="solver_typ" localSheetId="2" hidden="1">1</definedName>
    <definedName name="solver_typ" localSheetId="0" hidden="1">1</definedName>
    <definedName name="solver_typ" localSheetId="3" hidden="1">1</definedName>
    <definedName name="solver_val" localSheetId="1" hidden="1">0</definedName>
    <definedName name="solver_val" localSheetId="2" hidden="1">0</definedName>
    <definedName name="solver_val" localSheetId="0" hidden="1">0</definedName>
    <definedName name="solver_val" localSheetId="3" hidden="1">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2" l="1"/>
  <c r="G17" i="2"/>
  <c r="G20" i="2"/>
  <c r="G21" i="2"/>
  <c r="G24" i="2"/>
  <c r="G25" i="2"/>
  <c r="G28" i="2"/>
  <c r="G29" i="2"/>
  <c r="G32" i="2"/>
  <c r="G33" i="2"/>
  <c r="G36" i="2"/>
  <c r="G37" i="2"/>
  <c r="G40" i="2"/>
  <c r="G41" i="2"/>
  <c r="G44" i="2"/>
  <c r="G45" i="2"/>
  <c r="G48" i="2"/>
  <c r="G49" i="2"/>
  <c r="G52" i="2"/>
  <c r="G53" i="2"/>
  <c r="G56" i="2"/>
  <c r="G57" i="2"/>
  <c r="G60" i="2"/>
  <c r="G61" i="2"/>
  <c r="G64" i="2"/>
  <c r="G65" i="2"/>
  <c r="G68" i="2"/>
  <c r="G69" i="2"/>
  <c r="G72" i="2"/>
  <c r="G73" i="2"/>
  <c r="G76" i="2"/>
  <c r="G77" i="2"/>
  <c r="G80" i="2"/>
  <c r="G81" i="2"/>
  <c r="T9" i="2"/>
  <c r="T8" i="2"/>
  <c r="T7" i="2"/>
  <c r="P7" i="2"/>
  <c r="P13" i="2"/>
  <c r="P14" i="2"/>
  <c r="P15" i="2"/>
  <c r="P16" i="2"/>
  <c r="Q16" i="2" s="1"/>
  <c r="R16" i="2" s="1"/>
  <c r="P17" i="2"/>
  <c r="P18" i="2"/>
  <c r="P19" i="2"/>
  <c r="P20" i="2"/>
  <c r="Q20" i="2" s="1"/>
  <c r="R20" i="2" s="1"/>
  <c r="P21" i="2"/>
  <c r="P22" i="2"/>
  <c r="P23" i="2"/>
  <c r="P24" i="2"/>
  <c r="Q24" i="2" s="1"/>
  <c r="R24" i="2" s="1"/>
  <c r="P25" i="2"/>
  <c r="P26" i="2"/>
  <c r="P27" i="2"/>
  <c r="P28" i="2"/>
  <c r="Q28" i="2" s="1"/>
  <c r="R28" i="2" s="1"/>
  <c r="P29" i="2"/>
  <c r="P30" i="2"/>
  <c r="P31" i="2"/>
  <c r="P32" i="2"/>
  <c r="Q32" i="2" s="1"/>
  <c r="R32" i="2" s="1"/>
  <c r="P33" i="2"/>
  <c r="P34" i="2"/>
  <c r="P35" i="2"/>
  <c r="P36" i="2"/>
  <c r="Q36" i="2" s="1"/>
  <c r="R36" i="2" s="1"/>
  <c r="P37" i="2"/>
  <c r="P38" i="2"/>
  <c r="P39" i="2"/>
  <c r="P40" i="2"/>
  <c r="Q40" i="2" s="1"/>
  <c r="R40" i="2" s="1"/>
  <c r="P41" i="2"/>
  <c r="P42" i="2"/>
  <c r="P43" i="2"/>
  <c r="P44" i="2"/>
  <c r="Q44" i="2" s="1"/>
  <c r="R44" i="2" s="1"/>
  <c r="P45" i="2"/>
  <c r="P46" i="2"/>
  <c r="P47" i="2"/>
  <c r="P48" i="2"/>
  <c r="Q48" i="2" s="1"/>
  <c r="R48" i="2" s="1"/>
  <c r="P49" i="2"/>
  <c r="P50" i="2"/>
  <c r="P51" i="2"/>
  <c r="P52" i="2"/>
  <c r="Q52" i="2" s="1"/>
  <c r="R52" i="2" s="1"/>
  <c r="P53" i="2"/>
  <c r="P54" i="2"/>
  <c r="P55" i="2"/>
  <c r="P56" i="2"/>
  <c r="Q56" i="2" s="1"/>
  <c r="R56" i="2" s="1"/>
  <c r="P57" i="2"/>
  <c r="P58" i="2"/>
  <c r="P59" i="2"/>
  <c r="P60" i="2"/>
  <c r="Q60" i="2" s="1"/>
  <c r="R60" i="2" s="1"/>
  <c r="P61" i="2"/>
  <c r="P62" i="2"/>
  <c r="P63" i="2"/>
  <c r="P64" i="2"/>
  <c r="Q64" i="2" s="1"/>
  <c r="R64" i="2" s="1"/>
  <c r="P65" i="2"/>
  <c r="P66" i="2"/>
  <c r="P67" i="2"/>
  <c r="P68" i="2"/>
  <c r="Q68" i="2" s="1"/>
  <c r="R68" i="2" s="1"/>
  <c r="P69" i="2"/>
  <c r="P70" i="2"/>
  <c r="P71" i="2"/>
  <c r="P72" i="2"/>
  <c r="Q72" i="2" s="1"/>
  <c r="R72" i="2" s="1"/>
  <c r="P73" i="2"/>
  <c r="P74" i="2"/>
  <c r="P75" i="2"/>
  <c r="P76" i="2"/>
  <c r="Q76" i="2" s="1"/>
  <c r="R76" i="2" s="1"/>
  <c r="P77" i="2"/>
  <c r="P78" i="2"/>
  <c r="P79" i="2"/>
  <c r="P80" i="2"/>
  <c r="Q80" i="2" s="1"/>
  <c r="R80" i="2" s="1"/>
  <c r="P81" i="2"/>
  <c r="P82" i="2"/>
  <c r="P83" i="2"/>
  <c r="J5" i="2"/>
  <c r="D13" i="2"/>
  <c r="F23" i="2"/>
  <c r="F24" i="2"/>
  <c r="F27" i="2"/>
  <c r="F28" i="2"/>
  <c r="F31" i="2"/>
  <c r="F32" i="2"/>
  <c r="F35" i="2"/>
  <c r="F36" i="2"/>
  <c r="F39" i="2"/>
  <c r="F40" i="2"/>
  <c r="F43" i="2"/>
  <c r="F44" i="2"/>
  <c r="F47" i="2"/>
  <c r="F48" i="2"/>
  <c r="F51" i="2"/>
  <c r="F52" i="2"/>
  <c r="F55" i="2"/>
  <c r="F56" i="2"/>
  <c r="F59" i="2"/>
  <c r="F60" i="2"/>
  <c r="F63" i="2"/>
  <c r="F64" i="2"/>
  <c r="F67" i="2"/>
  <c r="F68" i="2"/>
  <c r="F71" i="2"/>
  <c r="F72" i="2"/>
  <c r="F75" i="2"/>
  <c r="F76" i="2"/>
  <c r="F79" i="2"/>
  <c r="F80" i="2"/>
  <c r="F83" i="2"/>
  <c r="F14" i="2"/>
  <c r="D14" i="2"/>
  <c r="G14" i="2" s="1"/>
  <c r="D15" i="2"/>
  <c r="F15" i="2" s="1"/>
  <c r="D16" i="2"/>
  <c r="F16" i="2" s="1"/>
  <c r="D17" i="2"/>
  <c r="F17" i="2" s="1"/>
  <c r="D18" i="2"/>
  <c r="G18" i="2" s="1"/>
  <c r="D19" i="2"/>
  <c r="F19" i="2" s="1"/>
  <c r="D20" i="2"/>
  <c r="F20" i="2" s="1"/>
  <c r="D21" i="2"/>
  <c r="F21" i="2" s="1"/>
  <c r="D22" i="2"/>
  <c r="D23" i="2"/>
  <c r="G23" i="2" s="1"/>
  <c r="D24" i="2"/>
  <c r="D25" i="2"/>
  <c r="F25" i="2" s="1"/>
  <c r="D26" i="2"/>
  <c r="D27" i="2"/>
  <c r="G27" i="2" s="1"/>
  <c r="D28" i="2"/>
  <c r="D29" i="2"/>
  <c r="F29" i="2" s="1"/>
  <c r="D30" i="2"/>
  <c r="D31" i="2"/>
  <c r="G31" i="2" s="1"/>
  <c r="D32" i="2"/>
  <c r="D33" i="2"/>
  <c r="F33" i="2" s="1"/>
  <c r="D34" i="2"/>
  <c r="D35" i="2"/>
  <c r="G35" i="2" s="1"/>
  <c r="D36" i="2"/>
  <c r="D37" i="2"/>
  <c r="F37" i="2" s="1"/>
  <c r="D38" i="2"/>
  <c r="D39" i="2"/>
  <c r="G39" i="2" s="1"/>
  <c r="D40" i="2"/>
  <c r="D41" i="2"/>
  <c r="F41" i="2" s="1"/>
  <c r="D42" i="2"/>
  <c r="D43" i="2"/>
  <c r="G43" i="2" s="1"/>
  <c r="D44" i="2"/>
  <c r="D45" i="2"/>
  <c r="F45" i="2" s="1"/>
  <c r="D46" i="2"/>
  <c r="D47" i="2"/>
  <c r="G47" i="2" s="1"/>
  <c r="D48" i="2"/>
  <c r="D49" i="2"/>
  <c r="F49" i="2" s="1"/>
  <c r="D50" i="2"/>
  <c r="D51" i="2"/>
  <c r="G51" i="2" s="1"/>
  <c r="D52" i="2"/>
  <c r="D53" i="2"/>
  <c r="F53" i="2" s="1"/>
  <c r="D54" i="2"/>
  <c r="D55" i="2"/>
  <c r="G55" i="2" s="1"/>
  <c r="D56" i="2"/>
  <c r="D57" i="2"/>
  <c r="F57" i="2" s="1"/>
  <c r="D58" i="2"/>
  <c r="D59" i="2"/>
  <c r="G59" i="2" s="1"/>
  <c r="D60" i="2"/>
  <c r="D61" i="2"/>
  <c r="F61" i="2" s="1"/>
  <c r="D62" i="2"/>
  <c r="D63" i="2"/>
  <c r="G63" i="2" s="1"/>
  <c r="D64" i="2"/>
  <c r="D65" i="2"/>
  <c r="F65" i="2" s="1"/>
  <c r="D66" i="2"/>
  <c r="D67" i="2"/>
  <c r="G67" i="2" s="1"/>
  <c r="D68" i="2"/>
  <c r="D69" i="2"/>
  <c r="F69" i="2" s="1"/>
  <c r="D70" i="2"/>
  <c r="D71" i="2"/>
  <c r="G71" i="2" s="1"/>
  <c r="D72" i="2"/>
  <c r="D73" i="2"/>
  <c r="F73" i="2" s="1"/>
  <c r="D74" i="2"/>
  <c r="D75" i="2"/>
  <c r="G75" i="2" s="1"/>
  <c r="D76" i="2"/>
  <c r="D77" i="2"/>
  <c r="F77" i="2" s="1"/>
  <c r="D78" i="2"/>
  <c r="D79" i="2"/>
  <c r="G79" i="2" s="1"/>
  <c r="D80" i="2"/>
  <c r="D81" i="2"/>
  <c r="F81" i="2" s="1"/>
  <c r="D82" i="2"/>
  <c r="D83" i="2"/>
  <c r="G83" i="2" s="1"/>
  <c r="M13" i="2"/>
  <c r="M14" i="2"/>
  <c r="M15" i="2"/>
  <c r="M16" i="2"/>
  <c r="M17" i="2"/>
  <c r="M18" i="2"/>
  <c r="M19" i="2"/>
  <c r="M20" i="2"/>
  <c r="M21" i="2"/>
  <c r="M22" i="2"/>
  <c r="M23" i="2"/>
  <c r="N23" i="2" s="1"/>
  <c r="O23" i="2" s="1"/>
  <c r="M24" i="2"/>
  <c r="M25" i="2"/>
  <c r="M26" i="2"/>
  <c r="M27" i="2"/>
  <c r="N27" i="2" s="1"/>
  <c r="O27" i="2" s="1"/>
  <c r="M28" i="2"/>
  <c r="M29" i="2"/>
  <c r="M30" i="2"/>
  <c r="M31" i="2"/>
  <c r="N31" i="2" s="1"/>
  <c r="O31" i="2" s="1"/>
  <c r="M32" i="2"/>
  <c r="M33" i="2"/>
  <c r="M34" i="2"/>
  <c r="M35" i="2"/>
  <c r="N35" i="2" s="1"/>
  <c r="O35" i="2" s="1"/>
  <c r="M36" i="2"/>
  <c r="M37" i="2"/>
  <c r="M38" i="2"/>
  <c r="M39" i="2"/>
  <c r="N39" i="2" s="1"/>
  <c r="O39" i="2" s="1"/>
  <c r="M40" i="2"/>
  <c r="M41" i="2"/>
  <c r="M42" i="2"/>
  <c r="M43" i="2"/>
  <c r="N43" i="2" s="1"/>
  <c r="O43" i="2" s="1"/>
  <c r="M44" i="2"/>
  <c r="M45" i="2"/>
  <c r="M46" i="2"/>
  <c r="M47" i="2"/>
  <c r="N47" i="2" s="1"/>
  <c r="O47" i="2" s="1"/>
  <c r="M48" i="2"/>
  <c r="M49" i="2"/>
  <c r="M50" i="2"/>
  <c r="M51" i="2"/>
  <c r="N51" i="2" s="1"/>
  <c r="O51" i="2" s="1"/>
  <c r="M52" i="2"/>
  <c r="M53" i="2"/>
  <c r="M54" i="2"/>
  <c r="M55" i="2"/>
  <c r="N55" i="2" s="1"/>
  <c r="O55" i="2" s="1"/>
  <c r="M56" i="2"/>
  <c r="M57" i="2"/>
  <c r="M58" i="2"/>
  <c r="M59" i="2"/>
  <c r="N59" i="2" s="1"/>
  <c r="O59" i="2" s="1"/>
  <c r="M60" i="2"/>
  <c r="M61" i="2"/>
  <c r="M62" i="2"/>
  <c r="M63" i="2"/>
  <c r="N63" i="2" s="1"/>
  <c r="O63" i="2" s="1"/>
  <c r="M64" i="2"/>
  <c r="M65" i="2"/>
  <c r="M66" i="2"/>
  <c r="M67" i="2"/>
  <c r="N67" i="2" s="1"/>
  <c r="O67" i="2" s="1"/>
  <c r="M68" i="2"/>
  <c r="M69" i="2"/>
  <c r="M70" i="2"/>
  <c r="M71" i="2"/>
  <c r="N71" i="2" s="1"/>
  <c r="O71" i="2" s="1"/>
  <c r="M72" i="2"/>
  <c r="M73" i="2"/>
  <c r="M74" i="2"/>
  <c r="M75" i="2"/>
  <c r="N75" i="2" s="1"/>
  <c r="O75" i="2" s="1"/>
  <c r="M76" i="2"/>
  <c r="M77" i="2"/>
  <c r="M78" i="2"/>
  <c r="M79" i="2"/>
  <c r="N79" i="2" s="1"/>
  <c r="O79" i="2" s="1"/>
  <c r="M80" i="2"/>
  <c r="M81" i="2"/>
  <c r="M82" i="2"/>
  <c r="M83" i="2"/>
  <c r="N83" i="2" s="1"/>
  <c r="O83" i="2" s="1"/>
  <c r="P8" i="2"/>
  <c r="F13" i="2" l="1"/>
  <c r="G13" i="2"/>
  <c r="N19" i="2"/>
  <c r="O19" i="2" s="1"/>
  <c r="G82" i="2"/>
  <c r="F82" i="2"/>
  <c r="G74" i="2"/>
  <c r="F74" i="2"/>
  <c r="G66" i="2"/>
  <c r="F66" i="2"/>
  <c r="G58" i="2"/>
  <c r="F58" i="2"/>
  <c r="N58" i="2" s="1"/>
  <c r="O58" i="2" s="1"/>
  <c r="G50" i="2"/>
  <c r="F50" i="2"/>
  <c r="G42" i="2"/>
  <c r="F42" i="2"/>
  <c r="G38" i="2"/>
  <c r="F38" i="2"/>
  <c r="G30" i="2"/>
  <c r="F30" i="2"/>
  <c r="G26" i="2"/>
  <c r="F26" i="2"/>
  <c r="G22" i="2"/>
  <c r="F22" i="2"/>
  <c r="N15" i="2"/>
  <c r="O15" i="2" s="1"/>
  <c r="G78" i="2"/>
  <c r="F78" i="2"/>
  <c r="G70" i="2"/>
  <c r="F70" i="2"/>
  <c r="N70" i="2" s="1"/>
  <c r="O70" i="2" s="1"/>
  <c r="G62" i="2"/>
  <c r="F62" i="2"/>
  <c r="G54" i="2"/>
  <c r="F54" i="2"/>
  <c r="G46" i="2"/>
  <c r="F46" i="2"/>
  <c r="G34" i="2"/>
  <c r="F34" i="2"/>
  <c r="F18" i="2"/>
  <c r="N82" i="2"/>
  <c r="O82" i="2" s="1"/>
  <c r="N74" i="2"/>
  <c r="O74" i="2" s="1"/>
  <c r="N66" i="2"/>
  <c r="O66" i="2" s="1"/>
  <c r="N50" i="2"/>
  <c r="O50" i="2" s="1"/>
  <c r="N42" i="2"/>
  <c r="O42" i="2" s="1"/>
  <c r="N34" i="2"/>
  <c r="O34" i="2" s="1"/>
  <c r="N26" i="2"/>
  <c r="O26" i="2" s="1"/>
  <c r="N18" i="2"/>
  <c r="O18" i="2" s="1"/>
  <c r="N81" i="2"/>
  <c r="O81" i="2" s="1"/>
  <c r="N77" i="2"/>
  <c r="O77" i="2" s="1"/>
  <c r="N73" i="2"/>
  <c r="O73" i="2" s="1"/>
  <c r="N69" i="2"/>
  <c r="O69" i="2" s="1"/>
  <c r="N65" i="2"/>
  <c r="O65" i="2" s="1"/>
  <c r="N61" i="2"/>
  <c r="O61" i="2" s="1"/>
  <c r="N57" i="2"/>
  <c r="O57" i="2" s="1"/>
  <c r="N53" i="2"/>
  <c r="O53" i="2" s="1"/>
  <c r="N49" i="2"/>
  <c r="O49" i="2" s="1"/>
  <c r="N45" i="2"/>
  <c r="O45" i="2" s="1"/>
  <c r="N41" i="2"/>
  <c r="O41" i="2" s="1"/>
  <c r="N37" i="2"/>
  <c r="O37" i="2" s="1"/>
  <c r="N33" i="2"/>
  <c r="O33" i="2" s="1"/>
  <c r="N29" i="2"/>
  <c r="O29" i="2" s="1"/>
  <c r="N25" i="2"/>
  <c r="O25" i="2" s="1"/>
  <c r="N21" i="2"/>
  <c r="O21" i="2" s="1"/>
  <c r="N17" i="2"/>
  <c r="O17" i="2" s="1"/>
  <c r="N13" i="2"/>
  <c r="O13" i="2" s="1"/>
  <c r="Q59" i="2"/>
  <c r="R59" i="2" s="1"/>
  <c r="G19" i="2"/>
  <c r="G15" i="2"/>
  <c r="Q13" i="2"/>
  <c r="R13" i="2" s="1"/>
  <c r="N78" i="2"/>
  <c r="O78" i="2" s="1"/>
  <c r="N62" i="2"/>
  <c r="O62" i="2" s="1"/>
  <c r="N54" i="2"/>
  <c r="O54" i="2" s="1"/>
  <c r="N46" i="2"/>
  <c r="O46" i="2" s="1"/>
  <c r="N38" i="2"/>
  <c r="O38" i="2" s="1"/>
  <c r="N30" i="2"/>
  <c r="O30" i="2" s="1"/>
  <c r="N22" i="2"/>
  <c r="O22" i="2" s="1"/>
  <c r="N14" i="2"/>
  <c r="O14" i="2" s="1"/>
  <c r="N80" i="2"/>
  <c r="O80" i="2" s="1"/>
  <c r="N76" i="2"/>
  <c r="O76" i="2" s="1"/>
  <c r="N72" i="2"/>
  <c r="O72" i="2" s="1"/>
  <c r="N68" i="2"/>
  <c r="O68" i="2" s="1"/>
  <c r="N64" i="2"/>
  <c r="O64" i="2" s="1"/>
  <c r="N60" i="2"/>
  <c r="O60" i="2" s="1"/>
  <c r="N56" i="2"/>
  <c r="O56" i="2" s="1"/>
  <c r="N52" i="2"/>
  <c r="O52" i="2" s="1"/>
  <c r="N48" i="2"/>
  <c r="O48" i="2" s="1"/>
  <c r="N44" i="2"/>
  <c r="O44" i="2" s="1"/>
  <c r="N40" i="2"/>
  <c r="O40" i="2" s="1"/>
  <c r="N36" i="2"/>
  <c r="O36" i="2" s="1"/>
  <c r="N32" i="2"/>
  <c r="O32" i="2" s="1"/>
  <c r="N28" i="2"/>
  <c r="O28" i="2" s="1"/>
  <c r="N24" i="2"/>
  <c r="O24" i="2" s="1"/>
  <c r="N20" i="2"/>
  <c r="O20" i="2" s="1"/>
  <c r="N16" i="2"/>
  <c r="O16" i="2" s="1"/>
  <c r="Q82" i="2"/>
  <c r="R82" i="2" s="1"/>
  <c r="Q78" i="2"/>
  <c r="R78" i="2" s="1"/>
  <c r="Q74" i="2"/>
  <c r="R74" i="2" s="1"/>
  <c r="Q70" i="2"/>
  <c r="R70" i="2" s="1"/>
  <c r="Q66" i="2"/>
  <c r="R66" i="2" s="1"/>
  <c r="Q62" i="2"/>
  <c r="R62" i="2" s="1"/>
  <c r="Q58" i="2"/>
  <c r="R58" i="2" s="1"/>
  <c r="Q54" i="2"/>
  <c r="R54" i="2" s="1"/>
  <c r="Q50" i="2"/>
  <c r="R50" i="2" s="1"/>
  <c r="Q46" i="2"/>
  <c r="R46" i="2" s="1"/>
  <c r="Q42" i="2"/>
  <c r="R42" i="2" s="1"/>
  <c r="Q38" i="2"/>
  <c r="R38" i="2" s="1"/>
  <c r="Q34" i="2"/>
  <c r="R34" i="2" s="1"/>
  <c r="Q30" i="2"/>
  <c r="R30" i="2" s="1"/>
  <c r="Q26" i="2"/>
  <c r="R26" i="2" s="1"/>
  <c r="Q22" i="2"/>
  <c r="R22" i="2" s="1"/>
  <c r="Q18" i="2"/>
  <c r="R18" i="2" s="1"/>
  <c r="Q14" i="2"/>
  <c r="R14" i="2" s="1"/>
  <c r="Q83" i="2"/>
  <c r="R83" i="2" s="1"/>
  <c r="Q81" i="2"/>
  <c r="R81" i="2" s="1"/>
  <c r="Q79" i="2"/>
  <c r="R79" i="2" s="1"/>
  <c r="Q77" i="2"/>
  <c r="R77" i="2" s="1"/>
  <c r="Q75" i="2"/>
  <c r="R75" i="2" s="1"/>
  <c r="Q73" i="2"/>
  <c r="R73" i="2" s="1"/>
  <c r="Q71" i="2"/>
  <c r="R71" i="2" s="1"/>
  <c r="Q69" i="2"/>
  <c r="R69" i="2" s="1"/>
  <c r="Q67" i="2"/>
  <c r="R67" i="2" s="1"/>
  <c r="Q65" i="2"/>
  <c r="R65" i="2" s="1"/>
  <c r="Q63" i="2"/>
  <c r="R63" i="2" s="1"/>
  <c r="Q61" i="2"/>
  <c r="R61" i="2" s="1"/>
  <c r="Q57" i="2"/>
  <c r="R57" i="2" s="1"/>
  <c r="Q55" i="2"/>
  <c r="R55" i="2" s="1"/>
  <c r="Q53" i="2"/>
  <c r="R53" i="2" s="1"/>
  <c r="Q51" i="2"/>
  <c r="R51" i="2" s="1"/>
  <c r="Q49" i="2"/>
  <c r="R49" i="2" s="1"/>
  <c r="Q47" i="2"/>
  <c r="R47" i="2" s="1"/>
  <c r="Q45" i="2"/>
  <c r="R45" i="2" s="1"/>
  <c r="Q43" i="2"/>
  <c r="R43" i="2" s="1"/>
  <c r="Q41" i="2"/>
  <c r="R41" i="2" s="1"/>
  <c r="Q39" i="2"/>
  <c r="R39" i="2" s="1"/>
  <c r="Q37" i="2"/>
  <c r="R37" i="2" s="1"/>
  <c r="Q35" i="2"/>
  <c r="R35" i="2" s="1"/>
  <c r="Q33" i="2"/>
  <c r="R33" i="2" s="1"/>
  <c r="Q31" i="2"/>
  <c r="R31" i="2" s="1"/>
  <c r="Q29" i="2"/>
  <c r="R29" i="2" s="1"/>
  <c r="Q27" i="2"/>
  <c r="R27" i="2" s="1"/>
  <c r="Q25" i="2"/>
  <c r="R25" i="2" s="1"/>
  <c r="Q23" i="2"/>
  <c r="R23" i="2" s="1"/>
  <c r="Q21" i="2"/>
  <c r="R21" i="2" s="1"/>
  <c r="Q19" i="2"/>
  <c r="R19" i="2" s="1"/>
  <c r="Q17" i="2"/>
  <c r="R17" i="2" s="1"/>
  <c r="Q15" i="2"/>
  <c r="R15" i="2" s="1"/>
  <c r="P9" i="2"/>
  <c r="Q7" i="2" l="1"/>
  <c r="V6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13" i="2"/>
  <c r="L11" i="1"/>
  <c r="L12" i="1"/>
  <c r="I21" i="1"/>
  <c r="E9" i="4"/>
  <c r="E8" i="4"/>
  <c r="E7" i="4"/>
  <c r="F17" i="4" l="1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16" i="4"/>
  <c r="E17" i="4"/>
  <c r="E21" i="4"/>
  <c r="E25" i="4"/>
  <c r="E29" i="4"/>
  <c r="E33" i="4"/>
  <c r="E37" i="4"/>
  <c r="E41" i="4"/>
  <c r="E45" i="4"/>
  <c r="E49" i="4"/>
  <c r="E53" i="4"/>
  <c r="E57" i="4"/>
  <c r="E61" i="4"/>
  <c r="E65" i="4"/>
  <c r="E69" i="4"/>
  <c r="D17" i="4"/>
  <c r="D18" i="4"/>
  <c r="E18" i="4" s="1"/>
  <c r="D19" i="4"/>
  <c r="E19" i="4" s="1"/>
  <c r="D20" i="4"/>
  <c r="E20" i="4" s="1"/>
  <c r="D21" i="4"/>
  <c r="D22" i="4"/>
  <c r="E22" i="4" s="1"/>
  <c r="D23" i="4"/>
  <c r="E23" i="4" s="1"/>
  <c r="D24" i="4"/>
  <c r="E24" i="4" s="1"/>
  <c r="D25" i="4"/>
  <c r="D26" i="4"/>
  <c r="E26" i="4" s="1"/>
  <c r="D27" i="4"/>
  <c r="E27" i="4" s="1"/>
  <c r="D28" i="4"/>
  <c r="E28" i="4" s="1"/>
  <c r="D29" i="4"/>
  <c r="D30" i="4"/>
  <c r="E30" i="4" s="1"/>
  <c r="D31" i="4"/>
  <c r="E31" i="4" s="1"/>
  <c r="D32" i="4"/>
  <c r="E32" i="4" s="1"/>
  <c r="D33" i="4"/>
  <c r="D34" i="4"/>
  <c r="E34" i="4" s="1"/>
  <c r="D35" i="4"/>
  <c r="E35" i="4" s="1"/>
  <c r="D36" i="4"/>
  <c r="E36" i="4" s="1"/>
  <c r="D37" i="4"/>
  <c r="D38" i="4"/>
  <c r="E38" i="4" s="1"/>
  <c r="D39" i="4"/>
  <c r="E39" i="4" s="1"/>
  <c r="D40" i="4"/>
  <c r="E40" i="4" s="1"/>
  <c r="D41" i="4"/>
  <c r="D42" i="4"/>
  <c r="E42" i="4" s="1"/>
  <c r="D43" i="4"/>
  <c r="E43" i="4" s="1"/>
  <c r="D44" i="4"/>
  <c r="E44" i="4" s="1"/>
  <c r="D45" i="4"/>
  <c r="D46" i="4"/>
  <c r="E46" i="4" s="1"/>
  <c r="D47" i="4"/>
  <c r="E47" i="4" s="1"/>
  <c r="D48" i="4"/>
  <c r="E48" i="4" s="1"/>
  <c r="D49" i="4"/>
  <c r="D50" i="4"/>
  <c r="E50" i="4" s="1"/>
  <c r="D51" i="4"/>
  <c r="E51" i="4" s="1"/>
  <c r="D52" i="4"/>
  <c r="E52" i="4" s="1"/>
  <c r="D53" i="4"/>
  <c r="D54" i="4"/>
  <c r="E54" i="4" s="1"/>
  <c r="D55" i="4"/>
  <c r="E55" i="4" s="1"/>
  <c r="D56" i="4"/>
  <c r="E56" i="4" s="1"/>
  <c r="D57" i="4"/>
  <c r="D58" i="4"/>
  <c r="E58" i="4" s="1"/>
  <c r="D59" i="4"/>
  <c r="E59" i="4" s="1"/>
  <c r="D60" i="4"/>
  <c r="E60" i="4" s="1"/>
  <c r="D61" i="4"/>
  <c r="D62" i="4"/>
  <c r="E62" i="4" s="1"/>
  <c r="D63" i="4"/>
  <c r="E63" i="4" s="1"/>
  <c r="D64" i="4"/>
  <c r="E64" i="4" s="1"/>
  <c r="D65" i="4"/>
  <c r="D66" i="4"/>
  <c r="E66" i="4" s="1"/>
  <c r="D67" i="4"/>
  <c r="E67" i="4" s="1"/>
  <c r="D68" i="4"/>
  <c r="E68" i="4" s="1"/>
  <c r="D69" i="4"/>
  <c r="D16" i="4"/>
  <c r="E16" i="4" s="1"/>
  <c r="G67" i="4" l="1"/>
  <c r="H67" i="4" s="1"/>
  <c r="G55" i="4"/>
  <c r="H55" i="4" s="1"/>
  <c r="G43" i="4"/>
  <c r="H43" i="4" s="1"/>
  <c r="G35" i="4"/>
  <c r="H35" i="4" s="1"/>
  <c r="G19" i="4"/>
  <c r="H19" i="4" s="1"/>
  <c r="G16" i="4"/>
  <c r="H16" i="4" s="1"/>
  <c r="G66" i="4"/>
  <c r="H66" i="4" s="1"/>
  <c r="G62" i="4"/>
  <c r="H62" i="4" s="1"/>
  <c r="G58" i="4"/>
  <c r="H58" i="4" s="1"/>
  <c r="G54" i="4"/>
  <c r="H54" i="4" s="1"/>
  <c r="G50" i="4"/>
  <c r="H50" i="4" s="1"/>
  <c r="G46" i="4"/>
  <c r="H46" i="4" s="1"/>
  <c r="G42" i="4"/>
  <c r="H42" i="4" s="1"/>
  <c r="G38" i="4"/>
  <c r="H38" i="4" s="1"/>
  <c r="G34" i="4"/>
  <c r="H34" i="4" s="1"/>
  <c r="G30" i="4"/>
  <c r="H30" i="4" s="1"/>
  <c r="G26" i="4"/>
  <c r="H26" i="4" s="1"/>
  <c r="G22" i="4"/>
  <c r="H22" i="4" s="1"/>
  <c r="G18" i="4"/>
  <c r="H18" i="4" s="1"/>
  <c r="G63" i="4"/>
  <c r="H63" i="4" s="1"/>
  <c r="G51" i="4"/>
  <c r="H51" i="4" s="1"/>
  <c r="G39" i="4"/>
  <c r="H39" i="4" s="1"/>
  <c r="G31" i="4"/>
  <c r="H31" i="4" s="1"/>
  <c r="G27" i="4"/>
  <c r="H27" i="4" s="1"/>
  <c r="G69" i="4"/>
  <c r="H69" i="4" s="1"/>
  <c r="G65" i="4"/>
  <c r="H65" i="4" s="1"/>
  <c r="G61" i="4"/>
  <c r="H61" i="4" s="1"/>
  <c r="G57" i="4"/>
  <c r="H57" i="4" s="1"/>
  <c r="G53" i="4"/>
  <c r="H53" i="4" s="1"/>
  <c r="G49" i="4"/>
  <c r="H49" i="4" s="1"/>
  <c r="G45" i="4"/>
  <c r="H45" i="4" s="1"/>
  <c r="G41" i="4"/>
  <c r="H41" i="4" s="1"/>
  <c r="G37" i="4"/>
  <c r="H37" i="4" s="1"/>
  <c r="G33" i="4"/>
  <c r="H33" i="4" s="1"/>
  <c r="G29" i="4"/>
  <c r="H29" i="4" s="1"/>
  <c r="G25" i="4"/>
  <c r="H25" i="4" s="1"/>
  <c r="H9" i="4" s="1"/>
  <c r="G21" i="4"/>
  <c r="H21" i="4" s="1"/>
  <c r="G17" i="4"/>
  <c r="H17" i="4" s="1"/>
  <c r="G59" i="4"/>
  <c r="H59" i="4" s="1"/>
  <c r="G47" i="4"/>
  <c r="H47" i="4" s="1"/>
  <c r="G23" i="4"/>
  <c r="H23" i="4" s="1"/>
  <c r="G68" i="4"/>
  <c r="H68" i="4" s="1"/>
  <c r="G64" i="4"/>
  <c r="H64" i="4" s="1"/>
  <c r="G60" i="4"/>
  <c r="H60" i="4" s="1"/>
  <c r="G56" i="4"/>
  <c r="H56" i="4" s="1"/>
  <c r="G52" i="4"/>
  <c r="H52" i="4" s="1"/>
  <c r="G48" i="4"/>
  <c r="H48" i="4" s="1"/>
  <c r="G44" i="4"/>
  <c r="H44" i="4" s="1"/>
  <c r="G40" i="4"/>
  <c r="H40" i="4" s="1"/>
  <c r="G36" i="4"/>
  <c r="H36" i="4" s="1"/>
  <c r="G32" i="4"/>
  <c r="H32" i="4" s="1"/>
  <c r="G28" i="4"/>
  <c r="H28" i="4" s="1"/>
  <c r="G24" i="4"/>
  <c r="H24" i="4" s="1"/>
  <c r="G20" i="4"/>
  <c r="H20" i="4" s="1"/>
  <c r="H8" i="3" l="1"/>
  <c r="H9" i="3" s="1"/>
  <c r="H7" i="3"/>
  <c r="J7" i="2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13" i="3"/>
  <c r="H13" i="3"/>
  <c r="G13" i="3"/>
  <c r="G14" i="3" l="1" a="1"/>
  <c r="G14" i="3" s="1"/>
  <c r="G15" i="3" a="1"/>
  <c r="G15" i="3"/>
  <c r="G16" i="3" a="1"/>
  <c r="G16" i="3" s="1"/>
  <c r="G17" i="3" a="1"/>
  <c r="G17" i="3"/>
  <c r="G18" i="3" a="1"/>
  <c r="G18" i="3" s="1"/>
  <c r="G19" i="3" a="1"/>
  <c r="G19" i="3"/>
  <c r="G20" i="3" a="1"/>
  <c r="G20" i="3" s="1"/>
  <c r="G21" i="3" a="1"/>
  <c r="G21" i="3"/>
  <c r="G22" i="3" a="1"/>
  <c r="G22" i="3" s="1"/>
  <c r="G23" i="3" a="1"/>
  <c r="G23" i="3"/>
  <c r="G24" i="3" a="1"/>
  <c r="G24" i="3" s="1"/>
  <c r="G25" i="3" a="1"/>
  <c r="G25" i="3"/>
  <c r="G26" i="3" a="1"/>
  <c r="G26" i="3" s="1"/>
  <c r="G27" i="3" a="1"/>
  <c r="G27" i="3"/>
  <c r="G28" i="3" a="1"/>
  <c r="G28" i="3" s="1"/>
  <c r="G29" i="3" a="1"/>
  <c r="G29" i="3"/>
  <c r="G30" i="3" a="1"/>
  <c r="G30" i="3" s="1"/>
  <c r="G31" i="3" a="1"/>
  <c r="G31" i="3"/>
  <c r="G32" i="3" a="1"/>
  <c r="G32" i="3" s="1"/>
  <c r="G33" i="3" a="1"/>
  <c r="G33" i="3"/>
  <c r="G34" i="3" a="1"/>
  <c r="G34" i="3" s="1"/>
  <c r="G35" i="3" a="1"/>
  <c r="G35" i="3"/>
  <c r="G36" i="3" a="1"/>
  <c r="G36" i="3" s="1"/>
  <c r="G37" i="3" a="1"/>
  <c r="G37" i="3"/>
  <c r="G38" i="3" a="1"/>
  <c r="G38" i="3" s="1"/>
  <c r="G39" i="3" a="1"/>
  <c r="G39" i="3"/>
  <c r="G40" i="3" a="1"/>
  <c r="G40" i="3" s="1"/>
  <c r="G41" i="3" a="1"/>
  <c r="G41" i="3"/>
  <c r="G42" i="3" a="1"/>
  <c r="G42" i="3" s="1"/>
  <c r="G43" i="3" a="1"/>
  <c r="G43" i="3"/>
  <c r="G44" i="3" a="1"/>
  <c r="G44" i="3" s="1"/>
  <c r="G45" i="3" a="1"/>
  <c r="G45" i="3"/>
  <c r="G46" i="3" a="1"/>
  <c r="G46" i="3" s="1"/>
  <c r="G47" i="3" a="1"/>
  <c r="G47" i="3"/>
  <c r="G48" i="3" a="1"/>
  <c r="G48" i="3" s="1"/>
  <c r="G49" i="3" a="1"/>
  <c r="G49" i="3"/>
  <c r="G50" i="3" a="1"/>
  <c r="G50" i="3" s="1"/>
  <c r="G51" i="3" a="1"/>
  <c r="G51" i="3"/>
  <c r="G52" i="3" a="1"/>
  <c r="G52" i="3" s="1"/>
  <c r="G53" i="3" a="1"/>
  <c r="G53" i="3"/>
  <c r="G54" i="3" a="1"/>
  <c r="G54" i="3" s="1"/>
  <c r="G55" i="3" a="1"/>
  <c r="G55" i="3"/>
  <c r="G56" i="3" a="1"/>
  <c r="G56" i="3" s="1"/>
  <c r="G57" i="3" a="1"/>
  <c r="G57" i="3"/>
  <c r="G58" i="3" a="1"/>
  <c r="G58" i="3" s="1"/>
  <c r="G59" i="3" a="1"/>
  <c r="G59" i="3"/>
  <c r="G60" i="3" a="1"/>
  <c r="G60" i="3" s="1"/>
  <c r="G61" i="3" a="1"/>
  <c r="G61" i="3"/>
  <c r="G62" i="3" a="1"/>
  <c r="G62" i="3" s="1"/>
  <c r="G63" i="3" a="1"/>
  <c r="G63" i="3"/>
  <c r="G64" i="3" a="1"/>
  <c r="G64" i="3" s="1"/>
  <c r="G65" i="3" a="1"/>
  <c r="G65" i="3"/>
  <c r="G66" i="3" a="1"/>
  <c r="G66" i="3" s="1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13" i="3"/>
  <c r="J13" i="3" s="1"/>
  <c r="K13" i="3" s="1"/>
  <c r="J8" i="2"/>
  <c r="J9" i="2" s="1"/>
  <c r="I13" i="2"/>
  <c r="J14" i="2"/>
  <c r="K14" i="2" s="1"/>
  <c r="L14" i="2" s="1"/>
  <c r="J15" i="2"/>
  <c r="K15" i="2" s="1"/>
  <c r="L15" i="2" s="1"/>
  <c r="J16" i="2"/>
  <c r="K16" i="2" s="1"/>
  <c r="L16" i="2" s="1"/>
  <c r="J17" i="2"/>
  <c r="K17" i="2" s="1"/>
  <c r="L17" i="2" s="1"/>
  <c r="J18" i="2"/>
  <c r="K18" i="2" s="1"/>
  <c r="L18" i="2" s="1"/>
  <c r="J19" i="2"/>
  <c r="K19" i="2" s="1"/>
  <c r="L19" i="2" s="1"/>
  <c r="J20" i="2"/>
  <c r="K20" i="2" s="1"/>
  <c r="L20" i="2" s="1"/>
  <c r="J21" i="2"/>
  <c r="K21" i="2" s="1"/>
  <c r="L21" i="2" s="1"/>
  <c r="J22" i="2"/>
  <c r="K22" i="2" s="1"/>
  <c r="L22" i="2" s="1"/>
  <c r="J23" i="2"/>
  <c r="K23" i="2" s="1"/>
  <c r="L23" i="2" s="1"/>
  <c r="J24" i="2"/>
  <c r="K24" i="2" s="1"/>
  <c r="L24" i="2" s="1"/>
  <c r="J25" i="2"/>
  <c r="K25" i="2" s="1"/>
  <c r="L25" i="2" s="1"/>
  <c r="J26" i="2"/>
  <c r="K26" i="2" s="1"/>
  <c r="L26" i="2" s="1"/>
  <c r="J27" i="2"/>
  <c r="K27" i="2" s="1"/>
  <c r="L27" i="2" s="1"/>
  <c r="J28" i="2"/>
  <c r="K28" i="2" s="1"/>
  <c r="L28" i="2" s="1"/>
  <c r="J29" i="2"/>
  <c r="K29" i="2" s="1"/>
  <c r="L29" i="2" s="1"/>
  <c r="J30" i="2"/>
  <c r="K30" i="2" s="1"/>
  <c r="L30" i="2" s="1"/>
  <c r="J31" i="2"/>
  <c r="K31" i="2" s="1"/>
  <c r="L31" i="2" s="1"/>
  <c r="J32" i="2"/>
  <c r="K32" i="2" s="1"/>
  <c r="L32" i="2" s="1"/>
  <c r="J33" i="2"/>
  <c r="K33" i="2" s="1"/>
  <c r="L33" i="2" s="1"/>
  <c r="J34" i="2"/>
  <c r="K34" i="2" s="1"/>
  <c r="L34" i="2" s="1"/>
  <c r="J35" i="2"/>
  <c r="K35" i="2" s="1"/>
  <c r="L35" i="2" s="1"/>
  <c r="J36" i="2"/>
  <c r="K36" i="2" s="1"/>
  <c r="L36" i="2" s="1"/>
  <c r="J37" i="2"/>
  <c r="K37" i="2" s="1"/>
  <c r="L37" i="2" s="1"/>
  <c r="J38" i="2"/>
  <c r="K38" i="2" s="1"/>
  <c r="L38" i="2" s="1"/>
  <c r="J39" i="2"/>
  <c r="K39" i="2" s="1"/>
  <c r="L39" i="2" s="1"/>
  <c r="J40" i="2"/>
  <c r="K40" i="2" s="1"/>
  <c r="L40" i="2" s="1"/>
  <c r="J41" i="2"/>
  <c r="K41" i="2" s="1"/>
  <c r="L41" i="2" s="1"/>
  <c r="J42" i="2"/>
  <c r="K42" i="2" s="1"/>
  <c r="L42" i="2" s="1"/>
  <c r="J43" i="2"/>
  <c r="K43" i="2" s="1"/>
  <c r="L43" i="2" s="1"/>
  <c r="J44" i="2"/>
  <c r="K44" i="2" s="1"/>
  <c r="L44" i="2" s="1"/>
  <c r="J45" i="2"/>
  <c r="K45" i="2" s="1"/>
  <c r="L45" i="2" s="1"/>
  <c r="J46" i="2"/>
  <c r="K46" i="2" s="1"/>
  <c r="L46" i="2" s="1"/>
  <c r="J47" i="2"/>
  <c r="K47" i="2" s="1"/>
  <c r="L47" i="2" s="1"/>
  <c r="J48" i="2"/>
  <c r="K48" i="2" s="1"/>
  <c r="L48" i="2" s="1"/>
  <c r="J49" i="2"/>
  <c r="K49" i="2" s="1"/>
  <c r="L49" i="2" s="1"/>
  <c r="J50" i="2"/>
  <c r="K50" i="2" s="1"/>
  <c r="L50" i="2" s="1"/>
  <c r="J51" i="2"/>
  <c r="K51" i="2" s="1"/>
  <c r="L51" i="2" s="1"/>
  <c r="J52" i="2"/>
  <c r="K52" i="2" s="1"/>
  <c r="L52" i="2" s="1"/>
  <c r="J53" i="2"/>
  <c r="K53" i="2" s="1"/>
  <c r="L53" i="2" s="1"/>
  <c r="J54" i="2"/>
  <c r="K54" i="2" s="1"/>
  <c r="L54" i="2" s="1"/>
  <c r="J55" i="2"/>
  <c r="K55" i="2" s="1"/>
  <c r="L55" i="2" s="1"/>
  <c r="J56" i="2"/>
  <c r="K56" i="2" s="1"/>
  <c r="L56" i="2" s="1"/>
  <c r="J57" i="2"/>
  <c r="K57" i="2" s="1"/>
  <c r="L57" i="2" s="1"/>
  <c r="J58" i="2"/>
  <c r="K58" i="2" s="1"/>
  <c r="L58" i="2" s="1"/>
  <c r="J59" i="2"/>
  <c r="K59" i="2" s="1"/>
  <c r="L59" i="2" s="1"/>
  <c r="J60" i="2"/>
  <c r="K60" i="2" s="1"/>
  <c r="L60" i="2" s="1"/>
  <c r="J61" i="2"/>
  <c r="K61" i="2" s="1"/>
  <c r="L61" i="2" s="1"/>
  <c r="J62" i="2"/>
  <c r="K62" i="2" s="1"/>
  <c r="L62" i="2" s="1"/>
  <c r="J63" i="2"/>
  <c r="K63" i="2" s="1"/>
  <c r="L63" i="2" s="1"/>
  <c r="J64" i="2"/>
  <c r="K64" i="2" s="1"/>
  <c r="L64" i="2" s="1"/>
  <c r="J65" i="2"/>
  <c r="K65" i="2" s="1"/>
  <c r="L65" i="2" s="1"/>
  <c r="J66" i="2"/>
  <c r="K66" i="2" s="1"/>
  <c r="L66" i="2" s="1"/>
  <c r="J67" i="2"/>
  <c r="K67" i="2" s="1"/>
  <c r="L67" i="2" s="1"/>
  <c r="J68" i="2"/>
  <c r="K68" i="2" s="1"/>
  <c r="L68" i="2" s="1"/>
  <c r="J69" i="2"/>
  <c r="K69" i="2" s="1"/>
  <c r="L69" i="2" s="1"/>
  <c r="J70" i="2"/>
  <c r="K70" i="2" s="1"/>
  <c r="L70" i="2" s="1"/>
  <c r="J71" i="2"/>
  <c r="K71" i="2" s="1"/>
  <c r="L71" i="2" s="1"/>
  <c r="J72" i="2"/>
  <c r="K72" i="2" s="1"/>
  <c r="L72" i="2" s="1"/>
  <c r="J73" i="2"/>
  <c r="K73" i="2" s="1"/>
  <c r="L73" i="2" s="1"/>
  <c r="J74" i="2"/>
  <c r="K74" i="2" s="1"/>
  <c r="L74" i="2" s="1"/>
  <c r="J75" i="2"/>
  <c r="K75" i="2" s="1"/>
  <c r="L75" i="2" s="1"/>
  <c r="J76" i="2"/>
  <c r="K76" i="2" s="1"/>
  <c r="L76" i="2" s="1"/>
  <c r="J77" i="2"/>
  <c r="K77" i="2" s="1"/>
  <c r="L77" i="2" s="1"/>
  <c r="J78" i="2"/>
  <c r="K78" i="2" s="1"/>
  <c r="L78" i="2" s="1"/>
  <c r="J79" i="2"/>
  <c r="K79" i="2" s="1"/>
  <c r="L79" i="2" s="1"/>
  <c r="J80" i="2"/>
  <c r="K80" i="2" s="1"/>
  <c r="L80" i="2" s="1"/>
  <c r="J81" i="2"/>
  <c r="K81" i="2" s="1"/>
  <c r="L81" i="2" s="1"/>
  <c r="J82" i="2"/>
  <c r="K82" i="2" s="1"/>
  <c r="L82" i="2" s="1"/>
  <c r="J83" i="2"/>
  <c r="K83" i="2" s="1"/>
  <c r="L83" i="2" s="1"/>
  <c r="J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H56" i="3" l="1"/>
  <c r="J56" i="3"/>
  <c r="K56" i="3" s="1"/>
  <c r="H48" i="3"/>
  <c r="J48" i="3"/>
  <c r="K48" i="3" s="1"/>
  <c r="H40" i="3"/>
  <c r="J40" i="3"/>
  <c r="K40" i="3" s="1"/>
  <c r="H24" i="3"/>
  <c r="J24" i="3"/>
  <c r="K24" i="3" s="1"/>
  <c r="H16" i="3"/>
  <c r="J16" i="3"/>
  <c r="K16" i="3" s="1"/>
  <c r="H66" i="3"/>
  <c r="J66" i="3"/>
  <c r="K66" i="3" s="1"/>
  <c r="H58" i="3"/>
  <c r="J58" i="3"/>
  <c r="K58" i="3" s="1"/>
  <c r="H50" i="3"/>
  <c r="J50" i="3"/>
  <c r="K50" i="3" s="1"/>
  <c r="H42" i="3"/>
  <c r="J42" i="3"/>
  <c r="K42" i="3" s="1"/>
  <c r="H34" i="3"/>
  <c r="J34" i="3"/>
  <c r="K34" i="3" s="1"/>
  <c r="H26" i="3"/>
  <c r="J26" i="3"/>
  <c r="K26" i="3" s="1"/>
  <c r="H18" i="3"/>
  <c r="J18" i="3"/>
  <c r="K18" i="3" s="1"/>
  <c r="H60" i="3"/>
  <c r="J60" i="3"/>
  <c r="K60" i="3" s="1"/>
  <c r="H52" i="3"/>
  <c r="J52" i="3"/>
  <c r="K52" i="3" s="1"/>
  <c r="H44" i="3"/>
  <c r="J44" i="3"/>
  <c r="K44" i="3" s="1"/>
  <c r="H36" i="3"/>
  <c r="J36" i="3"/>
  <c r="K36" i="3" s="1"/>
  <c r="H28" i="3"/>
  <c r="J28" i="3"/>
  <c r="K28" i="3" s="1"/>
  <c r="H20" i="3"/>
  <c r="J20" i="3"/>
  <c r="K20" i="3" s="1"/>
  <c r="H64" i="3"/>
  <c r="J64" i="3"/>
  <c r="K64" i="3" s="1"/>
  <c r="H62" i="3"/>
  <c r="J62" i="3"/>
  <c r="K62" i="3" s="1"/>
  <c r="H54" i="3"/>
  <c r="J54" i="3"/>
  <c r="K54" i="3" s="1"/>
  <c r="H46" i="3"/>
  <c r="J46" i="3"/>
  <c r="K46" i="3" s="1"/>
  <c r="H38" i="3"/>
  <c r="J38" i="3"/>
  <c r="K38" i="3" s="1"/>
  <c r="H30" i="3"/>
  <c r="J30" i="3"/>
  <c r="K30" i="3" s="1"/>
  <c r="H22" i="3"/>
  <c r="J22" i="3"/>
  <c r="K22" i="3" s="1"/>
  <c r="H14" i="3"/>
  <c r="J14" i="3"/>
  <c r="K14" i="3" s="1"/>
  <c r="J9" i="3" s="1"/>
  <c r="H17" i="3"/>
  <c r="J17" i="3"/>
  <c r="K17" i="3" s="1"/>
  <c r="H57" i="3"/>
  <c r="J57" i="3"/>
  <c r="K57" i="3" s="1"/>
  <c r="H31" i="3"/>
  <c r="J31" i="3"/>
  <c r="K31" i="3" s="1"/>
  <c r="H29" i="3"/>
  <c r="J29" i="3"/>
  <c r="K29" i="3" s="1"/>
  <c r="H27" i="3"/>
  <c r="J27" i="3"/>
  <c r="K27" i="3" s="1"/>
  <c r="H25" i="3"/>
  <c r="J25" i="3"/>
  <c r="K25" i="3" s="1"/>
  <c r="H23" i="3"/>
  <c r="J23" i="3"/>
  <c r="K23" i="3" s="1"/>
  <c r="H21" i="3"/>
  <c r="J21" i="3"/>
  <c r="K21" i="3" s="1"/>
  <c r="H19" i="3"/>
  <c r="J19" i="3"/>
  <c r="K19" i="3" s="1"/>
  <c r="H15" i="3"/>
  <c r="J15" i="3"/>
  <c r="K15" i="3" s="1"/>
  <c r="H65" i="3"/>
  <c r="J65" i="3"/>
  <c r="K65" i="3" s="1"/>
  <c r="H63" i="3"/>
  <c r="J63" i="3"/>
  <c r="K63" i="3" s="1"/>
  <c r="H61" i="3"/>
  <c r="J61" i="3"/>
  <c r="K61" i="3" s="1"/>
  <c r="H59" i="3"/>
  <c r="J59" i="3"/>
  <c r="K59" i="3" s="1"/>
  <c r="H55" i="3"/>
  <c r="J55" i="3"/>
  <c r="K55" i="3" s="1"/>
  <c r="H53" i="3"/>
  <c r="J53" i="3"/>
  <c r="K53" i="3" s="1"/>
  <c r="H51" i="3"/>
  <c r="J51" i="3"/>
  <c r="K51" i="3" s="1"/>
  <c r="H49" i="3"/>
  <c r="J49" i="3"/>
  <c r="K49" i="3" s="1"/>
  <c r="H47" i="3"/>
  <c r="J47" i="3"/>
  <c r="K47" i="3" s="1"/>
  <c r="H45" i="3"/>
  <c r="J45" i="3"/>
  <c r="K45" i="3" s="1"/>
  <c r="H43" i="3"/>
  <c r="J43" i="3"/>
  <c r="K43" i="3" s="1"/>
  <c r="H41" i="3"/>
  <c r="J41" i="3"/>
  <c r="K41" i="3" s="1"/>
  <c r="H39" i="3"/>
  <c r="J39" i="3"/>
  <c r="K39" i="3" s="1"/>
  <c r="H37" i="3"/>
  <c r="J37" i="3"/>
  <c r="K37" i="3" s="1"/>
  <c r="H35" i="3"/>
  <c r="J35" i="3"/>
  <c r="K35" i="3" s="1"/>
  <c r="H33" i="3"/>
  <c r="J33" i="3"/>
  <c r="K33" i="3" s="1"/>
  <c r="H32" i="3"/>
  <c r="J32" i="3"/>
  <c r="K32" i="3" s="1"/>
  <c r="K13" i="2"/>
  <c r="L13" i="2" s="1"/>
  <c r="L7" i="2" s="1"/>
  <c r="I41" i="1" l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G54" i="1"/>
  <c r="G55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33" i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D32" i="1"/>
  <c r="E32" i="1" s="1"/>
  <c r="D33" i="1"/>
  <c r="E33" i="1" s="1"/>
  <c r="F33" i="1" s="1"/>
  <c r="D34" i="1"/>
  <c r="E34" i="1" s="1"/>
  <c r="F34" i="1" s="1"/>
  <c r="D35" i="1"/>
  <c r="E35" i="1" s="1"/>
  <c r="F35" i="1" s="1"/>
  <c r="D36" i="1"/>
  <c r="E36" i="1" s="1"/>
  <c r="F36" i="1" s="1"/>
  <c r="D37" i="1"/>
  <c r="E37" i="1" s="1"/>
  <c r="F37" i="1" s="1"/>
  <c r="D38" i="1"/>
  <c r="E38" i="1" s="1"/>
  <c r="F38" i="1" s="1"/>
  <c r="D39" i="1"/>
  <c r="E39" i="1" s="1"/>
  <c r="F39" i="1" s="1"/>
  <c r="D40" i="1"/>
  <c r="E40" i="1" s="1"/>
  <c r="F40" i="1" s="1"/>
  <c r="D41" i="1"/>
  <c r="D42" i="1"/>
  <c r="E42" i="1" s="1"/>
  <c r="F42" i="1" s="1"/>
  <c r="D43" i="1"/>
  <c r="E43" i="1" s="1"/>
  <c r="F43" i="1" s="1"/>
  <c r="D44" i="1"/>
  <c r="E44" i="1" s="1"/>
  <c r="F44" i="1" s="1"/>
  <c r="D45" i="1"/>
  <c r="E45" i="1" s="1"/>
  <c r="F45" i="1" s="1"/>
  <c r="D46" i="1"/>
  <c r="E46" i="1" s="1"/>
  <c r="F46" i="1" s="1"/>
  <c r="D47" i="1"/>
  <c r="E47" i="1" s="1"/>
  <c r="F47" i="1" s="1"/>
  <c r="D48" i="1"/>
  <c r="E48" i="1" s="1"/>
  <c r="D49" i="1"/>
  <c r="E49" i="1" s="1"/>
  <c r="F49" i="1" s="1"/>
  <c r="D50" i="1"/>
  <c r="E50" i="1" s="1"/>
  <c r="F50" i="1" s="1"/>
  <c r="D51" i="1"/>
  <c r="D52" i="1"/>
  <c r="E52" i="1" s="1"/>
  <c r="F52" i="1" s="1"/>
  <c r="D53" i="1"/>
  <c r="E53" i="1" s="1"/>
  <c r="F53" i="1" s="1"/>
  <c r="D54" i="1"/>
  <c r="E54" i="1" s="1"/>
  <c r="D55" i="1"/>
  <c r="E55" i="1" s="1"/>
  <c r="F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21" i="1"/>
  <c r="J21" i="1" s="1"/>
  <c r="K21" i="1" s="1"/>
  <c r="L13" i="1" l="1"/>
  <c r="J77" i="1"/>
  <c r="K77" i="1" s="1"/>
  <c r="J25" i="1"/>
  <c r="K25" i="1" s="1"/>
  <c r="J23" i="1"/>
  <c r="K23" i="1" s="1"/>
  <c r="J81" i="1"/>
  <c r="K81" i="1" s="1"/>
  <c r="J79" i="1"/>
  <c r="K79" i="1" s="1"/>
  <c r="J75" i="1"/>
  <c r="K75" i="1" s="1"/>
  <c r="J73" i="1"/>
  <c r="K73" i="1" s="1"/>
  <c r="J71" i="1"/>
  <c r="K71" i="1" s="1"/>
  <c r="J28" i="1"/>
  <c r="K28" i="1" s="1"/>
  <c r="J26" i="1"/>
  <c r="K26" i="1" s="1"/>
  <c r="J24" i="1"/>
  <c r="K24" i="1" s="1"/>
  <c r="J22" i="1"/>
  <c r="K22" i="1" s="1"/>
  <c r="J80" i="1"/>
  <c r="K80" i="1" s="1"/>
  <c r="J78" i="1"/>
  <c r="K78" i="1" s="1"/>
  <c r="J76" i="1"/>
  <c r="K76" i="1" s="1"/>
  <c r="J74" i="1"/>
  <c r="K74" i="1" s="1"/>
  <c r="J72" i="1"/>
  <c r="K72" i="1" s="1"/>
  <c r="J70" i="1"/>
  <c r="K70" i="1" s="1"/>
  <c r="J68" i="1"/>
  <c r="K68" i="1" s="1"/>
  <c r="J66" i="1"/>
  <c r="K66" i="1" s="1"/>
  <c r="J64" i="1"/>
  <c r="K64" i="1" s="1"/>
  <c r="J62" i="1"/>
  <c r="K62" i="1" s="1"/>
  <c r="J60" i="1"/>
  <c r="K60" i="1" s="1"/>
  <c r="J58" i="1"/>
  <c r="K58" i="1" s="1"/>
  <c r="J56" i="1"/>
  <c r="K56" i="1" s="1"/>
  <c r="J54" i="1"/>
  <c r="K54" i="1" s="1"/>
  <c r="J52" i="1"/>
  <c r="K52" i="1" s="1"/>
  <c r="J50" i="1"/>
  <c r="K50" i="1" s="1"/>
  <c r="J48" i="1"/>
  <c r="K48" i="1" s="1"/>
  <c r="J46" i="1"/>
  <c r="K46" i="1" s="1"/>
  <c r="J44" i="1"/>
  <c r="K44" i="1" s="1"/>
  <c r="J42" i="1"/>
  <c r="K42" i="1" s="1"/>
  <c r="J40" i="1"/>
  <c r="K40" i="1" s="1"/>
  <c r="J38" i="1"/>
  <c r="K38" i="1" s="1"/>
  <c r="J36" i="1"/>
  <c r="K36" i="1" s="1"/>
  <c r="J34" i="1"/>
  <c r="K34" i="1" s="1"/>
  <c r="J32" i="1"/>
  <c r="K32" i="1" s="1"/>
  <c r="J30" i="1"/>
  <c r="K30" i="1" s="1"/>
  <c r="J61" i="1"/>
  <c r="K61" i="1" s="1"/>
  <c r="J51" i="1"/>
  <c r="K51" i="1" s="1"/>
  <c r="J41" i="1"/>
  <c r="K41" i="1" s="1"/>
  <c r="J31" i="1"/>
  <c r="K31" i="1" s="1"/>
  <c r="J69" i="1"/>
  <c r="K69" i="1" s="1"/>
  <c r="J67" i="1"/>
  <c r="K67" i="1" s="1"/>
  <c r="J65" i="1"/>
  <c r="K65" i="1" s="1"/>
  <c r="J63" i="1"/>
  <c r="K63" i="1" s="1"/>
  <c r="J59" i="1"/>
  <c r="K59" i="1" s="1"/>
  <c r="J57" i="1"/>
  <c r="K57" i="1" s="1"/>
  <c r="J55" i="1"/>
  <c r="K55" i="1" s="1"/>
  <c r="J53" i="1"/>
  <c r="K53" i="1" s="1"/>
  <c r="J49" i="1"/>
  <c r="K49" i="1" s="1"/>
  <c r="J47" i="1"/>
  <c r="K47" i="1" s="1"/>
  <c r="J45" i="1"/>
  <c r="K45" i="1" s="1"/>
  <c r="J43" i="1"/>
  <c r="K43" i="1" s="1"/>
  <c r="J39" i="1"/>
  <c r="K39" i="1" s="1"/>
  <c r="J37" i="1"/>
  <c r="K37" i="1" s="1"/>
  <c r="J35" i="1"/>
  <c r="K35" i="1" s="1"/>
  <c r="J33" i="1"/>
  <c r="K33" i="1" s="1"/>
  <c r="J29" i="1"/>
  <c r="K29" i="1" s="1"/>
  <c r="J27" i="1"/>
  <c r="K27" i="1" s="1"/>
  <c r="E21" i="1"/>
  <c r="E61" i="1"/>
  <c r="E51" i="1"/>
  <c r="E41" i="1"/>
  <c r="F41" i="1" s="1"/>
  <c r="G10" i="1" s="1"/>
  <c r="E31" i="1"/>
  <c r="C13" i="1"/>
  <c r="C16" i="1"/>
  <c r="L16" i="1" l="1"/>
  <c r="G11" i="1"/>
  <c r="G15" i="1" s="1"/>
  <c r="H25" i="1" l="1"/>
  <c r="G13" i="1"/>
  <c r="H70" i="1"/>
  <c r="H78" i="1"/>
  <c r="H62" i="1"/>
  <c r="H21" i="1"/>
  <c r="H74" i="1"/>
  <c r="H66" i="1"/>
  <c r="H56" i="1"/>
  <c r="H48" i="1"/>
  <c r="H40" i="1"/>
  <c r="H32" i="1"/>
  <c r="H24" i="1"/>
  <c r="H77" i="1"/>
  <c r="H69" i="1"/>
  <c r="H61" i="1"/>
  <c r="H53" i="1"/>
  <c r="H45" i="1"/>
  <c r="H37" i="1"/>
  <c r="H29" i="1"/>
  <c r="H80" i="1"/>
  <c r="H76" i="1"/>
  <c r="H72" i="1"/>
  <c r="H68" i="1"/>
  <c r="H64" i="1"/>
  <c r="H60" i="1"/>
  <c r="H52" i="1"/>
  <c r="H44" i="1"/>
  <c r="H36" i="1"/>
  <c r="H28" i="1"/>
  <c r="H81" i="1"/>
  <c r="H73" i="1"/>
  <c r="H65" i="1"/>
  <c r="H57" i="1"/>
  <c r="H49" i="1"/>
  <c r="H41" i="1"/>
  <c r="H33" i="1"/>
  <c r="G14" i="1"/>
  <c r="G16" i="1" s="1"/>
  <c r="G12" i="1"/>
  <c r="H58" i="1"/>
  <c r="H54" i="1"/>
  <c r="H50" i="1"/>
  <c r="H46" i="1"/>
  <c r="H42" i="1"/>
  <c r="H38" i="1"/>
  <c r="H34" i="1"/>
  <c r="H30" i="1"/>
  <c r="H26" i="1"/>
  <c r="H22" i="1"/>
  <c r="H79" i="1"/>
  <c r="H75" i="1"/>
  <c r="H71" i="1"/>
  <c r="H67" i="1"/>
  <c r="H63" i="1"/>
  <c r="H59" i="1"/>
  <c r="H55" i="1"/>
  <c r="H51" i="1"/>
  <c r="H47" i="1"/>
  <c r="H43" i="1"/>
  <c r="H39" i="1"/>
  <c r="H35" i="1"/>
  <c r="H31" i="1"/>
  <c r="H27" i="1"/>
  <c r="H23" i="1"/>
</calcChain>
</file>

<file path=xl/sharedStrings.xml><?xml version="1.0" encoding="utf-8"?>
<sst xmlns="http://schemas.openxmlformats.org/spreadsheetml/2006/main" count="120" uniqueCount="82">
  <si>
    <t>Selectividad del copo de red (Método del sobrecopo)</t>
  </si>
  <si>
    <t>N</t>
  </si>
  <si>
    <t>C</t>
  </si>
  <si>
    <t xml:space="preserve">C </t>
  </si>
  <si>
    <t>S(L)</t>
  </si>
  <si>
    <t>Parametros</t>
  </si>
  <si>
    <t>L50</t>
  </si>
  <si>
    <t>L75</t>
  </si>
  <si>
    <t>L25</t>
  </si>
  <si>
    <t>RS</t>
  </si>
  <si>
    <t>Verosimilitud</t>
  </si>
  <si>
    <t>Talla media
(L1+L2)/2
[x]</t>
  </si>
  <si>
    <t>ln(1/SL-1)
[y]</t>
  </si>
  <si>
    <t>intercepto [a] [S1]</t>
  </si>
  <si>
    <t>pendiente [b] [S2]</t>
  </si>
  <si>
    <t>L50%</t>
  </si>
  <si>
    <t>L25%</t>
  </si>
  <si>
    <t>L75%</t>
  </si>
  <si>
    <t>LN Verosimilitud</t>
  </si>
  <si>
    <t>Método clasico</t>
  </si>
  <si>
    <t>Método numerico</t>
  </si>
  <si>
    <t>Estimaciones</t>
  </si>
  <si>
    <t>C=</t>
  </si>
  <si>
    <t>S(L) (clasico)</t>
  </si>
  <si>
    <t>S(L) (MVS)</t>
  </si>
  <si>
    <t>suma LN verosimilitud</t>
  </si>
  <si>
    <t>Red con DEJUPA lance N°1 (Copo de retención a la salida de la grilla)</t>
  </si>
  <si>
    <t>Suma LN MVS</t>
  </si>
  <si>
    <t>Longitud (cm)</t>
  </si>
  <si>
    <t>Sobrecopo
Red</t>
  </si>
  <si>
    <t>Copo de
Red</t>
  </si>
  <si>
    <t>Copo Retención
Grilla Superior</t>
  </si>
  <si>
    <t>Copo Retención
Grilla 
Inferior</t>
  </si>
  <si>
    <t>Pruebas de Selectividad con FLEXIGRID Lance 1</t>
  </si>
  <si>
    <t>Total Escape</t>
  </si>
  <si>
    <t>Estimación</t>
  </si>
  <si>
    <t>Paramentros</t>
  </si>
  <si>
    <t>Proporción retención</t>
  </si>
  <si>
    <t>Total
Retención</t>
  </si>
  <si>
    <t>c</t>
  </si>
  <si>
    <t>Verosimilitud de cada largo</t>
  </si>
  <si>
    <t>LN 
Verosimilitud</t>
  </si>
  <si>
    <t>Suma Ln MVS</t>
  </si>
  <si>
    <t>Longitud 
Total [cm]</t>
  </si>
  <si>
    <t>Copo
[N° ind.]</t>
  </si>
  <si>
    <t>Sobrecopo
[N° ind.]</t>
  </si>
  <si>
    <t>Retención 
en la
grilla
[N° ind]</t>
  </si>
  <si>
    <t>Total 
[N° Ind]</t>
  </si>
  <si>
    <t>Prop. Retenidos
inmaduros en grilla
[Grilla/Total]</t>
  </si>
  <si>
    <t>Longitud
Total 
[cm]</t>
  </si>
  <si>
    <t>Copo 
[maduros]
[N° Ind.]</t>
  </si>
  <si>
    <t>Sobrecopo
 [inmaduros]
[N° Ind.]</t>
  </si>
  <si>
    <t>Total (k')
[N° Ind.]</t>
  </si>
  <si>
    <t>Proporcion 
retencion 
[maduros] [S] [Copo/Total]</t>
  </si>
  <si>
    <t>Retención de Merluzza en Red tipo Tangonera con copo de retencion a la salida de la grilla. Lance 1.</t>
  </si>
  <si>
    <t xml:space="preserve">copo </t>
  </si>
  <si>
    <t xml:space="preserve"> (cm)</t>
  </si>
  <si>
    <t>retención</t>
  </si>
  <si>
    <t>Copo</t>
  </si>
  <si>
    <t>Total</t>
  </si>
  <si>
    <t xml:space="preserve">Proporcion
Retención
Maduros </t>
  </si>
  <si>
    <t>VM</t>
  </si>
  <si>
    <t>Ln  VM</t>
  </si>
  <si>
    <t>Largo Total</t>
  </si>
  <si>
    <t>Prop.
Retenidos por el arte de pesca
[copo/total]</t>
  </si>
  <si>
    <t>Escape 
en la 
grilla
-S(L)</t>
  </si>
  <si>
    <t>Verosimilitud
-S(L)</t>
  </si>
  <si>
    <t>LN
verosimilitud
-S(L)</t>
  </si>
  <si>
    <t>Verosimilitud
S(L)</t>
  </si>
  <si>
    <t>Suma LN MVS -S(L)</t>
  </si>
  <si>
    <t>Suma LN MVS S(L)</t>
  </si>
  <si>
    <t>COPO
[copo+sobrecopo]</t>
  </si>
  <si>
    <t>sobrecopo</t>
  </si>
  <si>
    <t xml:space="preserve">total  </t>
  </si>
  <si>
    <t>GRILLA</t>
  </si>
  <si>
    <t>Red de arrastre</t>
  </si>
  <si>
    <t xml:space="preserve">LN verosimilitud S(L) </t>
  </si>
  <si>
    <t>VM }</t>
  </si>
  <si>
    <t>LN VM</t>
  </si>
  <si>
    <t>Estimacion</t>
  </si>
  <si>
    <t>Suma LN</t>
  </si>
  <si>
    <t>Prop. Retenidos por el arte de pesca [copo/COPO]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</si>
</sst>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FF0000"/>
      <name val="Times New Roman"/>
      <family val="1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2"/>
      <color rgb="FF000000"/>
      <name val="Times New Roman"/>
      <family val="1"/>
    </font>
    <font>
      <sz val="18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1"/>
      <color rgb="FFFF0000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6" fillId="0" borderId="0" xfId="0" applyFont="1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2" fontId="1" fillId="4" borderId="1" xfId="0" applyNumberFormat="1" applyFont="1" applyFill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65" fontId="1" fillId="3" borderId="1" xfId="0" applyNumberFormat="1" applyFont="1" applyFill="1" applyBorder="1" applyAlignment="1">
      <alignment horizontal="center"/>
    </xf>
    <xf numFmtId="0" fontId="0" fillId="3" borderId="1" xfId="0" applyFill="1" applyBorder="1"/>
    <xf numFmtId="0" fontId="10" fillId="0" borderId="1" xfId="0" applyFont="1" applyBorder="1" applyAlignment="1">
      <alignment horizontal="center"/>
    </xf>
    <xf numFmtId="165" fontId="0" fillId="0" borderId="1" xfId="0" applyNumberFormat="1" applyBorder="1"/>
    <xf numFmtId="0" fontId="9" fillId="6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wrapText="1"/>
    </xf>
    <xf numFmtId="0" fontId="9" fillId="6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0" fillId="12" borderId="1" xfId="0" applyFill="1" applyBorder="1"/>
    <xf numFmtId="2" fontId="0" fillId="12" borderId="1" xfId="0" applyNumberFormat="1" applyFill="1" applyBorder="1" applyAlignment="1">
      <alignment horizontal="center"/>
    </xf>
    <xf numFmtId="0" fontId="0" fillId="13" borderId="1" xfId="0" applyFill="1" applyBorder="1"/>
    <xf numFmtId="0" fontId="0" fillId="8" borderId="0" xfId="0" applyFill="1"/>
    <xf numFmtId="2" fontId="0" fillId="0" borderId="0" xfId="0" applyNumberFormat="1"/>
    <xf numFmtId="0" fontId="0" fillId="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6" fillId="0" borderId="0" xfId="0" applyFont="1"/>
    <xf numFmtId="0" fontId="12" fillId="0" borderId="1" xfId="0" applyFont="1" applyBorder="1" applyAlignment="1">
      <alignment horizontal="center"/>
    </xf>
    <xf numFmtId="0" fontId="10" fillId="15" borderId="7" xfId="0" applyFont="1" applyFill="1" applyBorder="1" applyAlignment="1">
      <alignment horizontal="center"/>
    </xf>
    <xf numFmtId="0" fontId="10" fillId="15" borderId="8" xfId="0" applyFont="1" applyFill="1" applyBorder="1" applyAlignment="1">
      <alignment horizontal="center"/>
    </xf>
    <xf numFmtId="0" fontId="10" fillId="15" borderId="9" xfId="0" applyFont="1" applyFill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15" borderId="11" xfId="0" applyFont="1" applyFill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10" fillId="15" borderId="13" xfId="0" applyFont="1" applyFill="1" applyBorder="1" applyAlignment="1">
      <alignment horizontal="center"/>
    </xf>
    <xf numFmtId="0" fontId="10" fillId="15" borderId="14" xfId="0" applyFont="1" applyFill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2" fontId="0" fillId="0" borderId="1" xfId="0" applyNumberFormat="1" applyBorder="1"/>
    <xf numFmtId="0" fontId="10" fillId="15" borderId="10" xfId="0" applyFont="1" applyFill="1" applyBorder="1"/>
    <xf numFmtId="0" fontId="1" fillId="0" borderId="4" xfId="0" applyFont="1" applyBorder="1" applyAlignment="1">
      <alignment horizontal="center"/>
    </xf>
    <xf numFmtId="2" fontId="7" fillId="8" borderId="3" xfId="0" applyNumberFormat="1" applyFont="1" applyFill="1" applyBorder="1"/>
    <xf numFmtId="2" fontId="7" fillId="8" borderId="4" xfId="0" applyNumberFormat="1" applyFont="1" applyFill="1" applyBorder="1"/>
    <xf numFmtId="2" fontId="0" fillId="8" borderId="3" xfId="0" applyNumberFormat="1" applyFill="1" applyBorder="1"/>
    <xf numFmtId="2" fontId="0" fillId="8" borderId="4" xfId="0" applyNumberFormat="1" applyFill="1" applyBorder="1"/>
    <xf numFmtId="2" fontId="0" fillId="9" borderId="0" xfId="0" applyNumberFormat="1" applyFill="1"/>
    <xf numFmtId="0" fontId="0" fillId="11" borderId="6" xfId="0" applyFill="1" applyBorder="1"/>
    <xf numFmtId="0" fontId="0" fillId="11" borderId="0" xfId="0" applyFill="1"/>
    <xf numFmtId="2" fontId="0" fillId="9" borderId="6" xfId="0" applyNumberFormat="1" applyFill="1" applyBorder="1"/>
    <xf numFmtId="0" fontId="0" fillId="16" borderId="0" xfId="0" applyFill="1" applyAlignment="1">
      <alignment wrapText="1"/>
    </xf>
    <xf numFmtId="0" fontId="0" fillId="16" borderId="0" xfId="0" applyFill="1"/>
    <xf numFmtId="0" fontId="9" fillId="16" borderId="1" xfId="0" applyFont="1" applyFill="1" applyBorder="1" applyAlignment="1">
      <alignment horizontal="center" vertical="center" wrapText="1"/>
    </xf>
    <xf numFmtId="0" fontId="9" fillId="16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2" fontId="4" fillId="7" borderId="3" xfId="0" applyNumberFormat="1" applyFont="1" applyFill="1" applyBorder="1" applyAlignment="1">
      <alignment horizontal="center"/>
    </xf>
    <xf numFmtId="2" fontId="4" fillId="7" borderId="4" xfId="0" applyNumberFormat="1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3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0" xfId="0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2" fontId="0" fillId="7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5" fillId="6" borderId="0" xfId="0" applyFont="1" applyFill="1" applyAlignment="1">
      <alignment horizontal="center"/>
    </xf>
    <xf numFmtId="0" fontId="0" fillId="5" borderId="1" xfId="0" applyFill="1" applyBorder="1" applyAlignment="1">
      <alignment horizontal="center"/>
    </xf>
    <xf numFmtId="0" fontId="13" fillId="10" borderId="0" xfId="0" applyFont="1" applyFill="1" applyAlignment="1">
      <alignment horizontal="center"/>
    </xf>
    <xf numFmtId="0" fontId="0" fillId="10" borderId="1" xfId="0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0" fillId="15" borderId="16" xfId="0" applyFont="1" applyFill="1" applyBorder="1" applyAlignment="1">
      <alignment horizontal="center" vertical="center" wrapText="1"/>
    </xf>
    <xf numFmtId="0" fontId="10" fillId="15" borderId="2" xfId="0" applyFont="1" applyFill="1" applyBorder="1" applyAlignment="1">
      <alignment horizontal="center" vertical="center" wrapText="1"/>
    </xf>
    <xf numFmtId="0" fontId="10" fillId="15" borderId="17" xfId="0" applyFont="1" applyFill="1" applyBorder="1" applyAlignment="1">
      <alignment horizontal="center" vertical="center" wrapText="1"/>
    </xf>
    <xf numFmtId="0" fontId="10" fillId="15" borderId="16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10" fillId="15" borderId="17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Retención corregida por MVS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Sobrecopo!$I$18</c:f>
              <c:strCache>
                <c:ptCount val="1"/>
                <c:pt idx="0">
                  <c:v>S(L) (MVS)</c:v>
                </c:pt>
              </c:strCache>
            </c:strRef>
          </c:tx>
          <c:xVal>
            <c:numRef>
              <c:f>Sobrecopo!$A$21:$A$81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xVal>
          <c:yVal>
            <c:numRef>
              <c:f>Sobrecopo!$I$21:$I$81</c:f>
              <c:numCache>
                <c:formatCode>0.00</c:formatCode>
                <c:ptCount val="61"/>
                <c:pt idx="0">
                  <c:v>1.9347518538032773E-4</c:v>
                </c:pt>
                <c:pt idx="1">
                  <c:v>2.8936403998912563E-4</c:v>
                </c:pt>
                <c:pt idx="2">
                  <c:v>4.3275610592440105E-4</c:v>
                </c:pt>
                <c:pt idx="3">
                  <c:v>6.4715897991479753E-4</c:v>
                </c:pt>
                <c:pt idx="4">
                  <c:v>9.6768188205510676E-4</c:v>
                </c:pt>
                <c:pt idx="5">
                  <c:v>1.4467225654343735E-3</c:v>
                </c:pt>
                <c:pt idx="6">
                  <c:v>2.1623939781945526E-3</c:v>
                </c:pt>
                <c:pt idx="7">
                  <c:v>3.2309515205538372E-3</c:v>
                </c:pt>
                <c:pt idx="8">
                  <c:v>4.8249887156760901E-3</c:v>
                </c:pt>
                <c:pt idx="9">
                  <c:v>7.1997869132970236E-3</c:v>
                </c:pt>
                <c:pt idx="10">
                  <c:v>1.073082714716651E-2</c:v>
                </c:pt>
                <c:pt idx="11">
                  <c:v>1.5965770083363903E-2</c:v>
                </c:pt>
                <c:pt idx="12">
                  <c:v>2.3693370481466414E-2</c:v>
                </c:pt>
                <c:pt idx="13">
                  <c:v>3.5028071576837863E-2</c:v>
                </c:pt>
                <c:pt idx="14">
                  <c:v>5.1499167329532705E-2</c:v>
                </c:pt>
                <c:pt idx="15">
                  <c:v>7.5112520063547947E-2</c:v>
                </c:pt>
                <c:pt idx="16">
                  <c:v>0.10831660817757478</c:v>
                </c:pt>
                <c:pt idx="17">
                  <c:v>0.15375865044357662</c:v>
                </c:pt>
                <c:pt idx="18">
                  <c:v>0.21369613541459723</c:v>
                </c:pt>
                <c:pt idx="19">
                  <c:v>0.28901843260694271</c:v>
                </c:pt>
                <c:pt idx="20">
                  <c:v>0.37812275184653071</c:v>
                </c:pt>
                <c:pt idx="21">
                  <c:v>0.47629487447834307</c:v>
                </c:pt>
                <c:pt idx="22">
                  <c:v>0.57633366096774563</c:v>
                </c:pt>
                <c:pt idx="23">
                  <c:v>0.67048351966247899</c:v>
                </c:pt>
                <c:pt idx="24">
                  <c:v>0.75268890291423252</c:v>
                </c:pt>
                <c:pt idx="25">
                  <c:v>0.81989513014203641</c:v>
                </c:pt>
                <c:pt idx="26">
                  <c:v>0.87194531923806173</c:v>
                </c:pt>
                <c:pt idx="27">
                  <c:v>0.91059336552932335</c:v>
                </c:pt>
                <c:pt idx="28">
                  <c:v>0.9384011166639713</c:v>
                </c:pt>
                <c:pt idx="29">
                  <c:v>0.95795925354843836</c:v>
                </c:pt>
                <c:pt idx="30">
                  <c:v>0.97149615001913547</c:v>
                </c:pt>
                <c:pt idx="31">
                  <c:v>0.98076177373325402</c:v>
                </c:pt>
                <c:pt idx="32">
                  <c:v>0.98705559270188914</c:v>
                </c:pt>
                <c:pt idx="33">
                  <c:v>0.99130862479098769</c:v>
                </c:pt>
                <c:pt idx="34">
                  <c:v>0.99417252486557373</c:v>
                </c:pt>
                <c:pt idx="35">
                  <c:v>0.99609645558436177</c:v>
                </c:pt>
                <c:pt idx="36">
                  <c:v>0.99738687348388921</c:v>
                </c:pt>
                <c:pt idx="37">
                  <c:v>0.99825145907930868</c:v>
                </c:pt>
                <c:pt idx="38">
                  <c:v>0.99883032118913284</c:v>
                </c:pt>
                <c:pt idx="39">
                  <c:v>0.99921769864767707</c:v>
                </c:pt>
                <c:pt idx="40">
                  <c:v>0.99947685056466229</c:v>
                </c:pt>
                <c:pt idx="41">
                  <c:v>0.99965018362946689</c:v>
                </c:pt>
                <c:pt idx="42">
                  <c:v>0.99976610036485514</c:v>
                </c:pt>
                <c:pt idx="43">
                  <c:v>0.9998436124153629</c:v>
                </c:pt>
                <c:pt idx="44">
                  <c:v>0.99989544041716782</c:v>
                </c:pt>
                <c:pt idx="45">
                  <c:v>0.99993009343689865</c:v>
                </c:pt>
                <c:pt idx="46">
                  <c:v>0.9999532623284989</c:v>
                </c:pt>
                <c:pt idx="47">
                  <c:v>0.99996875267405849</c:v>
                </c:pt>
                <c:pt idx="48">
                  <c:v>0.99997910913543331</c:v>
                </c:pt>
                <c:pt idx="49">
                  <c:v>0.99998603314968204</c:v>
                </c:pt>
                <c:pt idx="50">
                  <c:v>0.99999066230794298</c:v>
                </c:pt>
                <c:pt idx="51">
                  <c:v>0.99999375719241035</c:v>
                </c:pt>
                <c:pt idx="52">
                  <c:v>0.99999582631271322</c:v>
                </c:pt>
                <c:pt idx="53">
                  <c:v>0.99999720964431937</c:v>
                </c:pt>
                <c:pt idx="54">
                  <c:v>0.99999813448379804</c:v>
                </c:pt>
                <c:pt idx="55">
                  <c:v>0.99999875279353934</c:v>
                </c:pt>
                <c:pt idx="56">
                  <c:v>0.99999916616985951</c:v>
                </c:pt>
                <c:pt idx="57">
                  <c:v>0.99999944253607576</c:v>
                </c:pt>
                <c:pt idx="58">
                  <c:v>0.99999962730299219</c:v>
                </c:pt>
                <c:pt idx="59">
                  <c:v>0.99999975083042136</c:v>
                </c:pt>
                <c:pt idx="60">
                  <c:v>0.99999983341568321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C7-4D4C-87A0-4CA0F7C21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4944"/>
        <c:axId val="110698880"/>
      </c:scatterChart>
      <c:scatterChart>
        <c:scatterStyle val="lineMarker"/>
        <c:varyColors val="0"/>
        <c:ser>
          <c:idx val="1"/>
          <c:order val="1"/>
          <c:tx>
            <c:strRef>
              <c:f>Sobrecopo!$E$18</c:f>
              <c:strCache>
                <c:ptCount val="1"/>
                <c:pt idx="0">
                  <c:v>Proporcion 
retencion 
[maduros] [S] [Copo/Total]</c:v>
                </c:pt>
              </c:strCache>
            </c:strRef>
          </c:tx>
          <c:spPr>
            <a:ln w="28575">
              <a:noFill/>
            </a:ln>
          </c:spPr>
          <c:xVal>
            <c:numRef>
              <c:f>Sobrecopo!$A$21:$A$81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xVal>
          <c:yVal>
            <c:numRef>
              <c:f>Sobrecopo!$E$21:$E$70</c:f>
              <c:numCache>
                <c:formatCode>General</c:formatCode>
                <c:ptCount val="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00">
                  <c:v>1.5384615384615385E-2</c:v>
                </c:pt>
                <c:pt idx="13" formatCode="0.000">
                  <c:v>4.8951048951048952E-2</c:v>
                </c:pt>
                <c:pt idx="14" formatCode="0.000">
                  <c:v>5.8823529411764705E-2</c:v>
                </c:pt>
                <c:pt idx="15" formatCode="0.000">
                  <c:v>7.3170731707317069E-2</c:v>
                </c:pt>
                <c:pt idx="16" formatCode="0.000">
                  <c:v>0.18103448275862069</c:v>
                </c:pt>
                <c:pt idx="17" formatCode="0.000">
                  <c:v>0.21008403361344538</c:v>
                </c:pt>
                <c:pt idx="18" formatCode="0.000">
                  <c:v>0.20183486238532111</c:v>
                </c:pt>
                <c:pt idx="19" formatCode="0.000">
                  <c:v>0.30769230769230771</c:v>
                </c:pt>
                <c:pt idx="20" formatCode="0.000">
                  <c:v>0.2857142857142857</c:v>
                </c:pt>
                <c:pt idx="21" formatCode="0.000">
                  <c:v>0.41584158415841582</c:v>
                </c:pt>
                <c:pt idx="22" formatCode="0.000">
                  <c:v>0.48837209302325579</c:v>
                </c:pt>
                <c:pt idx="23" formatCode="0.000">
                  <c:v>0.6271186440677966</c:v>
                </c:pt>
                <c:pt idx="24" formatCode="0.000">
                  <c:v>0.78688524590163933</c:v>
                </c:pt>
                <c:pt idx="25" formatCode="0.000">
                  <c:v>0.8441558441558441</c:v>
                </c:pt>
                <c:pt idx="26" formatCode="0.000">
                  <c:v>0.86440677966101698</c:v>
                </c:pt>
                <c:pt idx="27">
                  <c:v>1</c:v>
                </c:pt>
                <c:pt idx="28" formatCode="0.000">
                  <c:v>0.94117647058823528</c:v>
                </c:pt>
                <c:pt idx="29" formatCode="0.000">
                  <c:v>0.92982456140350878</c:v>
                </c:pt>
                <c:pt idx="30">
                  <c:v>1</c:v>
                </c:pt>
                <c:pt idx="31" formatCode="0.000">
                  <c:v>0.97560975609756095</c:v>
                </c:pt>
                <c:pt idx="32" formatCode="0.000">
                  <c:v>0.98571428571428577</c:v>
                </c:pt>
                <c:pt idx="33">
                  <c:v>1</c:v>
                </c:pt>
                <c:pt idx="34" formatCode="0.000">
                  <c:v>0.9850746268656716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C7-4D4C-87A0-4CA0F7C21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94944"/>
        <c:axId val="110698880"/>
      </c:scatterChart>
      <c:valAx>
        <c:axId val="10379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AR" sz="1400"/>
                  <a:t>Talla L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98880"/>
        <c:crosses val="autoZero"/>
        <c:crossBetween val="midCat"/>
      </c:valAx>
      <c:valAx>
        <c:axId val="11069888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s-AR" sz="1400"/>
                  <a:t>% Retención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03794944"/>
        <c:crosses val="autoZero"/>
        <c:crossBetween val="midCat"/>
      </c:valAx>
    </c:plotArea>
    <c:legend>
      <c:legendPos val="r"/>
      <c:overlay val="0"/>
      <c:txPr>
        <a:bodyPr/>
        <a:lstStyle/>
        <a:p>
          <a:pPr>
            <a:defRPr sz="1100"/>
          </a:pPr>
          <a:endParaRPr lang="es-MX"/>
        </a:p>
      </c:txPr>
    </c:legend>
    <c:plotVisOnly val="1"/>
    <c:dispBlanksAs val="gap"/>
    <c:showDLblsOverMax val="0"/>
  </c:chart>
  <c:spPr>
    <a:solidFill>
      <a:schemeClr val="accent5"/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Retención por cálculo analítico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Sobrecopo!$H$18</c:f>
              <c:strCache>
                <c:ptCount val="1"/>
                <c:pt idx="0">
                  <c:v>S(L) (clasico)</c:v>
                </c:pt>
              </c:strCache>
            </c:strRef>
          </c:tx>
          <c:xVal>
            <c:numRef>
              <c:f>Sobrecopo!$A$21:$A$81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xVal>
          <c:yVal>
            <c:numRef>
              <c:f>Sobrecopo!$H$21:$H$81</c:f>
              <c:numCache>
                <c:formatCode>0.00</c:formatCode>
                <c:ptCount val="61"/>
                <c:pt idx="0">
                  <c:v>2.5727083603016522E-4</c:v>
                </c:pt>
                <c:pt idx="1">
                  <c:v>3.7082567617933521E-4</c:v>
                </c:pt>
                <c:pt idx="2">
                  <c:v>5.3447483814521334E-4</c:v>
                </c:pt>
                <c:pt idx="3">
                  <c:v>7.7028839742168816E-4</c:v>
                </c:pt>
                <c:pt idx="4">
                  <c:v>1.1100287858884803E-3</c:v>
                </c:pt>
                <c:pt idx="5">
                  <c:v>1.5993738993498974E-3</c:v>
                </c:pt>
                <c:pt idx="6">
                  <c:v>2.3039443570910673E-3</c:v>
                </c:pt>
                <c:pt idx="7">
                  <c:v>3.3178670167550339E-3</c:v>
                </c:pt>
                <c:pt idx="8">
                  <c:v>4.7758620540575983E-3</c:v>
                </c:pt>
                <c:pt idx="9">
                  <c:v>6.8701383855256006E-3</c:v>
                </c:pt>
                <c:pt idx="10">
                  <c:v>9.873670393854941E-3</c:v>
                </c:pt>
                <c:pt idx="11">
                  <c:v>1.4171568690076929E-2</c:v>
                </c:pt>
                <c:pt idx="12">
                  <c:v>2.0301933884437115E-2</c:v>
                </c:pt>
                <c:pt idx="13">
                  <c:v>2.9006157800561937E-2</c:v>
                </c:pt>
                <c:pt idx="14">
                  <c:v>4.1284957553394556E-2</c:v>
                </c:pt>
                <c:pt idx="15">
                  <c:v>5.8448700411563789E-2</c:v>
                </c:pt>
                <c:pt idx="16">
                  <c:v>8.2136734431143998E-2</c:v>
                </c:pt>
                <c:pt idx="17">
                  <c:v>0.11426001227130547</c:v>
                </c:pt>
                <c:pt idx="18">
                  <c:v>0.15680034257669395</c:v>
                </c:pt>
                <c:pt idx="19">
                  <c:v>0.21139882797928583</c:v>
                </c:pt>
                <c:pt idx="20">
                  <c:v>0.27872439061016285</c:v>
                </c:pt>
                <c:pt idx="21">
                  <c:v>0.35776416287777812</c:v>
                </c:pt>
                <c:pt idx="22">
                  <c:v>0.44537754646107502</c:v>
                </c:pt>
                <c:pt idx="23">
                  <c:v>0.5365225905242178</c:v>
                </c:pt>
                <c:pt idx="24">
                  <c:v>0.62529097830488978</c:v>
                </c:pt>
                <c:pt idx="25">
                  <c:v>0.70636272319900506</c:v>
                </c:pt>
                <c:pt idx="26">
                  <c:v>0.77617263926282321</c:v>
                </c:pt>
                <c:pt idx="27">
                  <c:v>0.83330254120350988</c:v>
                </c:pt>
                <c:pt idx="28">
                  <c:v>0.87813992900407167</c:v>
                </c:pt>
                <c:pt idx="29">
                  <c:v>0.91218807071408758</c:v>
                </c:pt>
                <c:pt idx="30">
                  <c:v>0.93740119236420727</c:v>
                </c:pt>
                <c:pt idx="31">
                  <c:v>0.95572632850604011</c:v>
                </c:pt>
                <c:pt idx="32">
                  <c:v>0.96886515181954125</c:v>
                </c:pt>
                <c:pt idx="33">
                  <c:v>0.97819381176272857</c:v>
                </c:pt>
                <c:pt idx="34">
                  <c:v>0.98477134053250537</c:v>
                </c:pt>
                <c:pt idx="35">
                  <c:v>0.98938637767395665</c:v>
                </c:pt>
                <c:pt idx="36">
                  <c:v>0.99261332092128918</c:v>
                </c:pt>
                <c:pt idx="37">
                  <c:v>0.99486424398998796</c:v>
                </c:pt>
                <c:pt idx="38">
                  <c:v>0.9964317150229145</c:v>
                </c:pt>
                <c:pt idx="39">
                  <c:v>0.99752197382466512</c:v>
                </c:pt>
                <c:pt idx="40">
                  <c:v>0.99827968854239246</c:v>
                </c:pt>
                <c:pt idx="41">
                  <c:v>0.9988059915106311</c:v>
                </c:pt>
                <c:pt idx="42">
                  <c:v>0.99917141378278929</c:v>
                </c:pt>
                <c:pt idx="43">
                  <c:v>0.99942506417623522</c:v>
                </c:pt>
                <c:pt idx="44">
                  <c:v>0.99960109701504674</c:v>
                </c:pt>
                <c:pt idx="45">
                  <c:v>0.99972324735386986</c:v>
                </c:pt>
                <c:pt idx="46">
                  <c:v>0.99980800053116115</c:v>
                </c:pt>
                <c:pt idx="47">
                  <c:v>0.99986680221666568</c:v>
                </c:pt>
                <c:pt idx="48">
                  <c:v>0.99990759698433074</c:v>
                </c:pt>
                <c:pt idx="49">
                  <c:v>0.99993589825297491</c:v>
                </c:pt>
                <c:pt idx="50">
                  <c:v>0.99995553177219088</c:v>
                </c:pt>
                <c:pt idx="51">
                  <c:v>0.99996915198907443</c:v>
                </c:pt>
                <c:pt idx="52">
                  <c:v>0.99997860054571641</c:v>
                </c:pt>
                <c:pt idx="53">
                  <c:v>0.99998515511034369</c:v>
                </c:pt>
                <c:pt idx="54">
                  <c:v>0.99998970205952187</c:v>
                </c:pt>
                <c:pt idx="55">
                  <c:v>0.99999285630052837</c:v>
                </c:pt>
                <c:pt idx="56">
                  <c:v>0.99999504440786524</c:v>
                </c:pt>
                <c:pt idx="57">
                  <c:v>0.99999656230262157</c:v>
                </c:pt>
                <c:pt idx="58">
                  <c:v>0.9999976152682768</c:v>
                </c:pt>
                <c:pt idx="59">
                  <c:v>0.99999834571140744</c:v>
                </c:pt>
                <c:pt idx="60">
                  <c:v>0.99999885242012398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8AF-4C72-B1A5-BCD656A09147}"/>
            </c:ext>
          </c:extLst>
        </c:ser>
        <c:ser>
          <c:idx val="1"/>
          <c:order val="1"/>
          <c:tx>
            <c:v>Rango Selectividad</c:v>
          </c:tx>
          <c:trendline>
            <c:trendlineType val="linear"/>
            <c:dispRSqr val="0"/>
            <c:dispEq val="0"/>
          </c:trendline>
          <c:xVal>
            <c:numRef>
              <c:f>(Sobrecopo!$G$14,Sobrecopo!$G$15)</c:f>
              <c:numCache>
                <c:formatCode>0.00</c:formatCode>
                <c:ptCount val="2"/>
                <c:pt idx="0">
                  <c:v>39.59582219705662</c:v>
                </c:pt>
                <c:pt idx="1">
                  <c:v>45.603825051958374</c:v>
                </c:pt>
              </c:numCache>
            </c:numRef>
          </c:xVal>
          <c:yVal>
            <c:numRef>
              <c:f>Sobrecopo!$I$15:$I$16</c:f>
              <c:numCache>
                <c:formatCode>General</c:formatCode>
                <c:ptCount val="2"/>
                <c:pt idx="0">
                  <c:v>0.25</c:v>
                </c:pt>
                <c:pt idx="1">
                  <c:v>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8AF-4C72-B1A5-BCD656A09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31616"/>
        <c:axId val="126433536"/>
      </c:scatterChart>
      <c:scatterChart>
        <c:scatterStyle val="lineMarker"/>
        <c:varyColors val="0"/>
        <c:ser>
          <c:idx val="2"/>
          <c:order val="2"/>
          <c:tx>
            <c:strRef>
              <c:f>Sobrecopo!$E$18</c:f>
              <c:strCache>
                <c:ptCount val="1"/>
                <c:pt idx="0">
                  <c:v>Proporcion 
retencion 
[maduros] [S] [Copo/Total]</c:v>
                </c:pt>
              </c:strCache>
            </c:strRef>
          </c:tx>
          <c:spPr>
            <a:ln w="28575">
              <a:noFill/>
            </a:ln>
          </c:spPr>
          <c:xVal>
            <c:numRef>
              <c:f>Sobrecopo!$A$21:$A$81</c:f>
              <c:numCache>
                <c:formatCode>General</c:formatCode>
                <c:ptCount val="61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</c:numCache>
            </c:numRef>
          </c:xVal>
          <c:yVal>
            <c:numRef>
              <c:f>Sobrecopo!$E$21:$E$81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0.000">
                  <c:v>1.5384615384615385E-2</c:v>
                </c:pt>
                <c:pt idx="13" formatCode="0.000">
                  <c:v>4.8951048951048952E-2</c:v>
                </c:pt>
                <c:pt idx="14" formatCode="0.000">
                  <c:v>5.8823529411764705E-2</c:v>
                </c:pt>
                <c:pt idx="15" formatCode="0.000">
                  <c:v>7.3170731707317069E-2</c:v>
                </c:pt>
                <c:pt idx="16" formatCode="0.000">
                  <c:v>0.18103448275862069</c:v>
                </c:pt>
                <c:pt idx="17" formatCode="0.000">
                  <c:v>0.21008403361344538</c:v>
                </c:pt>
                <c:pt idx="18" formatCode="0.000">
                  <c:v>0.20183486238532111</c:v>
                </c:pt>
                <c:pt idx="19" formatCode="0.000">
                  <c:v>0.30769230769230771</c:v>
                </c:pt>
                <c:pt idx="20" formatCode="0.000">
                  <c:v>0.2857142857142857</c:v>
                </c:pt>
                <c:pt idx="21" formatCode="0.000">
                  <c:v>0.41584158415841582</c:v>
                </c:pt>
                <c:pt idx="22" formatCode="0.000">
                  <c:v>0.48837209302325579</c:v>
                </c:pt>
                <c:pt idx="23" formatCode="0.000">
                  <c:v>0.6271186440677966</c:v>
                </c:pt>
                <c:pt idx="24" formatCode="0.000">
                  <c:v>0.78688524590163933</c:v>
                </c:pt>
                <c:pt idx="25" formatCode="0.000">
                  <c:v>0.8441558441558441</c:v>
                </c:pt>
                <c:pt idx="26" formatCode="0.000">
                  <c:v>0.86440677966101698</c:v>
                </c:pt>
                <c:pt idx="27">
                  <c:v>1</c:v>
                </c:pt>
                <c:pt idx="28" formatCode="0.000">
                  <c:v>0.94117647058823528</c:v>
                </c:pt>
                <c:pt idx="29" formatCode="0.000">
                  <c:v>0.92982456140350878</c:v>
                </c:pt>
                <c:pt idx="30">
                  <c:v>1</c:v>
                </c:pt>
                <c:pt idx="31" formatCode="0.000">
                  <c:v>0.97560975609756095</c:v>
                </c:pt>
                <c:pt idx="32" formatCode="0.000">
                  <c:v>0.98571428571428577</c:v>
                </c:pt>
                <c:pt idx="33">
                  <c:v>1</c:v>
                </c:pt>
                <c:pt idx="34" formatCode="0.000">
                  <c:v>0.9850746268656716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AF-4C72-B1A5-BCD656A09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431616"/>
        <c:axId val="126433536"/>
      </c:scatterChart>
      <c:valAx>
        <c:axId val="12643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AR" sz="1400"/>
                  <a:t>Talla L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433536"/>
        <c:crosses val="autoZero"/>
        <c:crossBetween val="midCat"/>
      </c:valAx>
      <c:valAx>
        <c:axId val="1264335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s-AR" sz="1400"/>
                  <a:t>% Reetención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6431616"/>
        <c:crosses val="autoZero"/>
        <c:crossBetween val="midCat"/>
      </c:valAx>
    </c:plotArea>
    <c:legend>
      <c:legendPos val="r"/>
      <c:legendEntry>
        <c:idx val="3"/>
        <c:delete val="1"/>
      </c:legendEntry>
      <c:overlay val="0"/>
      <c:txPr>
        <a:bodyPr/>
        <a:lstStyle/>
        <a:p>
          <a:pPr>
            <a:defRPr sz="1100"/>
          </a:pPr>
          <a:endParaRPr lang="es-MX"/>
        </a:p>
      </c:txPr>
    </c:legend>
    <c:plotVisOnly val="1"/>
    <c:dispBlanksAs val="gap"/>
    <c:showDLblsOverMax val="0"/>
  </c:chart>
  <c:spPr>
    <a:solidFill>
      <a:schemeClr val="accent2"/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Proporción retenido copo de la grilla</c:v>
          </c:tx>
          <c:xVal>
            <c:numRef>
              <c:f>Dejupa!$A$13:$A$83</c:f>
              <c:numCache>
                <c:formatCode>General</c:formatCode>
                <c:ptCount val="7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</c:numCache>
            </c:numRef>
          </c:xVal>
          <c:yVal>
            <c:numRef>
              <c:f>Dejupa!$J$13:$J$83</c:f>
              <c:numCache>
                <c:formatCode>0.0</c:formatCode>
                <c:ptCount val="71"/>
                <c:pt idx="0">
                  <c:v>0.97976856332302797</c:v>
                </c:pt>
                <c:pt idx="1">
                  <c:v>0.97657113346024915</c:v>
                </c:pt>
                <c:pt idx="2">
                  <c:v>0.97288235963777558</c:v>
                </c:pt>
                <c:pt idx="3">
                  <c:v>0.96863145965419684</c:v>
                </c:pt>
                <c:pt idx="4">
                  <c:v>0.96373903461665211</c:v>
                </c:pt>
                <c:pt idx="5">
                  <c:v>0.9581165519520819</c:v>
                </c:pt>
                <c:pt idx="6">
                  <c:v>0.95166599227029647</c:v>
                </c:pt>
                <c:pt idx="7">
                  <c:v>0.94427974400859749</c:v>
                </c:pt>
                <c:pt idx="8">
                  <c:v>0.93584085020788044</c:v>
                </c:pt>
                <c:pt idx="9">
                  <c:v>0.92622373264725477</c:v>
                </c:pt>
                <c:pt idx="10">
                  <c:v>0.91529553745216374</c:v>
                </c:pt>
                <c:pt idx="11">
                  <c:v>0.90291825941428239</c:v>
                </c:pt>
                <c:pt idx="12">
                  <c:v>0.88895180430043108</c:v>
                </c:pt>
                <c:pt idx="13">
                  <c:v>0.87325813252353346</c:v>
                </c:pt>
                <c:pt idx="14">
                  <c:v>0.8557065857266517</c:v>
                </c:pt>
                <c:pt idx="15">
                  <c:v>0.83618042208046328</c:v>
                </c:pt>
                <c:pt idx="16">
                  <c:v>0.81458447031507197</c:v>
                </c:pt>
                <c:pt idx="17">
                  <c:v>0.79085365538399877</c:v>
                </c:pt>
                <c:pt idx="18">
                  <c:v>0.76496195719075244</c:v>
                </c:pt>
                <c:pt idx="19">
                  <c:v>0.73693115669259313</c:v>
                </c:pt>
                <c:pt idx="20">
                  <c:v>0.70683853315037526</c:v>
                </c:pt>
                <c:pt idx="21">
                  <c:v>0.67482254648775075</c:v>
                </c:pt>
                <c:pt idx="22">
                  <c:v>0.64108551916528711</c:v>
                </c:pt>
                <c:pt idx="23">
                  <c:v>0.60589246542827302</c:v>
                </c:pt>
                <c:pt idx="24">
                  <c:v>0.56956552262221938</c:v>
                </c:pt>
                <c:pt idx="25">
                  <c:v>0.53247390294754726</c:v>
                </c:pt>
                <c:pt idx="26">
                  <c:v>0.49501984422256456</c:v>
                </c:pt>
                <c:pt idx="27">
                  <c:v>0.45762159731100899</c:v>
                </c:pt>
                <c:pt idx="28">
                  <c:v>0.42069493217293091</c:v>
                </c:pt>
                <c:pt idx="29">
                  <c:v>0.38463487529437468</c:v>
                </c:pt>
                <c:pt idx="30">
                  <c:v>0.34979935483860469</c:v>
                </c:pt>
                <c:pt idx="31">
                  <c:v>0.31649613481345695</c:v>
                </c:pt>
                <c:pt idx="32">
                  <c:v>0.28497393392406267</c:v>
                </c:pt>
                <c:pt idx="33">
                  <c:v>0.25541805446493798</c:v>
                </c:pt>
                <c:pt idx="34">
                  <c:v>0.22795030379165762</c:v>
                </c:pt>
                <c:pt idx="35">
                  <c:v>0.20263256482064393</c:v>
                </c:pt>
                <c:pt idx="36">
                  <c:v>0.17947311133873342</c:v>
                </c:pt>
                <c:pt idx="37">
                  <c:v>0.15843467429202743</c:v>
                </c:pt>
                <c:pt idx="38">
                  <c:v>0.13944331877622959</c:v>
                </c:pt>
                <c:pt idx="39">
                  <c:v>0.12239734217246234</c:v>
                </c:pt>
                <c:pt idx="40">
                  <c:v>0.10717560270842233</c:v>
                </c:pt>
                <c:pt idx="41">
                  <c:v>9.3644893263465437E-2</c:v>
                </c:pt>
                <c:pt idx="42">
                  <c:v>8.1666158871879821E-2</c:v>
                </c:pt>
                <c:pt idx="43">
                  <c:v>7.109950279495407E-2</c:v>
                </c:pt>
                <c:pt idx="44">
                  <c:v>6.1808030794885595E-2</c:v>
                </c:pt>
                <c:pt idx="45">
                  <c:v>5.3660649264568164E-2</c:v>
                </c:pt>
                <c:pt idx="46">
                  <c:v>4.6533966998145146E-2</c:v>
                </c:pt>
                <c:pt idx="47">
                  <c:v>4.0313460780485331E-2</c:v>
                </c:pt>
                <c:pt idx="48">
                  <c:v>3.4894059381626374E-2</c:v>
                </c:pt>
                <c:pt idx="49">
                  <c:v>3.0180285434766779E-2</c:v>
                </c:pt>
                <c:pt idx="50">
                  <c:v>2.6086074951442943E-2</c:v>
                </c:pt>
                <c:pt idx="51">
                  <c:v>2.2534373281230622E-2</c:v>
                </c:pt>
                <c:pt idx="52">
                  <c:v>1.9456586297286648E-2</c:v>
                </c:pt>
                <c:pt idx="53">
                  <c:v>1.6791947671337615E-2</c:v>
                </c:pt>
                <c:pt idx="54">
                  <c:v>1.4486847811046186E-2</c:v>
                </c:pt>
                <c:pt idx="55">
                  <c:v>1.2494157453871077E-2</c:v>
                </c:pt>
                <c:pt idx="56">
                  <c:v>1.0772568873793775E-2</c:v>
                </c:pt>
                <c:pt idx="57">
                  <c:v>9.2859698597083026E-3</c:v>
                </c:pt>
                <c:pt idx="58">
                  <c:v>8.0028597182901298E-3</c:v>
                </c:pt>
                <c:pt idx="59">
                  <c:v>6.8958121936701844E-3</c:v>
                </c:pt>
                <c:pt idx="60">
                  <c:v>5.9409870650381121E-3</c:v>
                </c:pt>
                <c:pt idx="61">
                  <c:v>5.1176900075282977E-3</c:v>
                </c:pt>
                <c:pt idx="62">
                  <c:v>4.4079788530505069E-3</c:v>
                </c:pt>
                <c:pt idx="63">
                  <c:v>3.7963134811430351E-3</c:v>
                </c:pt>
                <c:pt idx="64">
                  <c:v>3.2692460590799132E-3</c:v>
                </c:pt>
                <c:pt idx="65">
                  <c:v>2.8151481218140237E-3</c:v>
                </c:pt>
                <c:pt idx="66">
                  <c:v>2.4239709493645983E-3</c:v>
                </c:pt>
                <c:pt idx="67">
                  <c:v>2.0870357971287351E-3</c:v>
                </c:pt>
                <c:pt idx="68">
                  <c:v>1.7968507155439297E-3</c:v>
                </c:pt>
                <c:pt idx="69">
                  <c:v>1.5469509249769347E-3</c:v>
                </c:pt>
                <c:pt idx="70">
                  <c:v>1.3317599651392702E-3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40-4595-95C9-BE203152C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0736"/>
        <c:axId val="126615936"/>
      </c:scatterChart>
      <c:scatterChart>
        <c:scatterStyle val="lineMarker"/>
        <c:varyColors val="0"/>
        <c:ser>
          <c:idx val="0"/>
          <c:order val="1"/>
          <c:tx>
            <c:v>S(L)</c:v>
          </c:tx>
          <c:spPr>
            <a:ln w="28575">
              <a:noFill/>
            </a:ln>
          </c:spPr>
          <c:xVal>
            <c:numRef>
              <c:f>Dejupa!$A$13:$A$83</c:f>
              <c:numCache>
                <c:formatCode>General</c:formatCode>
                <c:ptCount val="7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</c:numCache>
            </c:numRef>
          </c:xVal>
          <c:yVal>
            <c:numRef>
              <c:f>Dejupa!$I$13:$I$83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0.5</c:v>
                </c:pt>
                <c:pt idx="7">
                  <c:v>0.5</c:v>
                </c:pt>
                <c:pt idx="8">
                  <c:v>0.75</c:v>
                </c:pt>
                <c:pt idx="9">
                  <c:v>0.83333333333333337</c:v>
                </c:pt>
                <c:pt idx="10">
                  <c:v>1</c:v>
                </c:pt>
                <c:pt idx="11">
                  <c:v>1</c:v>
                </c:pt>
                <c:pt idx="12">
                  <c:v>0.91666666666666663</c:v>
                </c:pt>
                <c:pt idx="13">
                  <c:v>0.84375</c:v>
                </c:pt>
                <c:pt idx="14">
                  <c:v>0.67500000000000004</c:v>
                </c:pt>
                <c:pt idx="15">
                  <c:v>0.79746835443037978</c:v>
                </c:pt>
                <c:pt idx="16">
                  <c:v>0.74025974025974028</c:v>
                </c:pt>
                <c:pt idx="17">
                  <c:v>0.65591397849462363</c:v>
                </c:pt>
                <c:pt idx="18">
                  <c:v>0.625</c:v>
                </c:pt>
                <c:pt idx="19">
                  <c:v>0.73275862068965514</c:v>
                </c:pt>
                <c:pt idx="20">
                  <c:v>0.70068027210884354</c:v>
                </c:pt>
                <c:pt idx="21">
                  <c:v>0.65482233502538068</c:v>
                </c:pt>
                <c:pt idx="22">
                  <c:v>0.53600000000000003</c:v>
                </c:pt>
                <c:pt idx="23">
                  <c:v>0.53982300884955747</c:v>
                </c:pt>
                <c:pt idx="24">
                  <c:v>0.57339449541284404</c:v>
                </c:pt>
                <c:pt idx="25">
                  <c:v>0.50423728813559321</c:v>
                </c:pt>
                <c:pt idx="26">
                  <c:v>0.4358974358974359</c:v>
                </c:pt>
                <c:pt idx="27">
                  <c:v>0.4962025316455696</c:v>
                </c:pt>
                <c:pt idx="28">
                  <c:v>0.45951417004048584</c:v>
                </c:pt>
                <c:pt idx="29">
                  <c:v>0.40210526315789474</c:v>
                </c:pt>
                <c:pt idx="30">
                  <c:v>0.38228438228438227</c:v>
                </c:pt>
                <c:pt idx="31">
                  <c:v>0.33108108108108109</c:v>
                </c:pt>
                <c:pt idx="32">
                  <c:v>0.28358208955223879</c:v>
                </c:pt>
                <c:pt idx="33">
                  <c:v>0.22222222222222221</c:v>
                </c:pt>
                <c:pt idx="34">
                  <c:v>0.14782608695652175</c:v>
                </c:pt>
                <c:pt idx="35">
                  <c:v>0.16666666666666666</c:v>
                </c:pt>
                <c:pt idx="36">
                  <c:v>8.9285714285714288E-2</c:v>
                </c:pt>
                <c:pt idx="37">
                  <c:v>9.3023255813953487E-2</c:v>
                </c:pt>
                <c:pt idx="38">
                  <c:v>8.3333333333333329E-2</c:v>
                </c:pt>
                <c:pt idx="39">
                  <c:v>9.6774193548387094E-2</c:v>
                </c:pt>
                <c:pt idx="40">
                  <c:v>4.5454545454545456E-2</c:v>
                </c:pt>
                <c:pt idx="41">
                  <c:v>3.5714285714285712E-2</c:v>
                </c:pt>
                <c:pt idx="42">
                  <c:v>5.2631578947368418E-2</c:v>
                </c:pt>
                <c:pt idx="43">
                  <c:v>0.125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40-4595-95C9-BE203152C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40736"/>
        <c:axId val="126615936"/>
      </c:scatterChart>
      <c:valAx>
        <c:axId val="12674073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s-AR" sz="1400"/>
                  <a:t>LT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15936"/>
        <c:crosses val="autoZero"/>
        <c:crossBetween val="midCat"/>
      </c:valAx>
      <c:valAx>
        <c:axId val="1266159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600"/>
                </a:pPr>
                <a:r>
                  <a:rPr lang="es-AR" sz="1600"/>
                  <a:t>% (Escape de juveniles)</a:t>
                </a:r>
              </a:p>
            </c:rich>
          </c:tx>
          <c:layout>
            <c:manualLayout>
              <c:xMode val="edge"/>
              <c:yMode val="edge"/>
              <c:x val="1.5640271297131147E-2"/>
              <c:y val="0.24963095038172736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crossAx val="1267407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809774304843502"/>
          <c:y val="0.41435568808083489"/>
          <c:w val="0.24123559177804491"/>
          <c:h val="0.17128843120193366"/>
        </c:manualLayout>
      </c:layout>
      <c:overlay val="0"/>
      <c:txPr>
        <a:bodyPr/>
        <a:lstStyle/>
        <a:p>
          <a:pPr>
            <a:defRPr sz="1200"/>
          </a:pPr>
          <a:endParaRPr lang="es-MX"/>
        </a:p>
      </c:txPr>
    </c:legend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AR"/>
              <a:t>Retencion</a:t>
            </a:r>
            <a:r>
              <a:rPr lang="es-AR" baseline="0"/>
              <a:t> de red de arrastre con DEJUPA</a:t>
            </a:r>
            <a:endParaRPr lang="es-AR"/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Dejupa!$M$12</c:f>
              <c:strCache>
                <c:ptCount val="1"/>
                <c:pt idx="0">
                  <c:v>S(L)</c:v>
                </c:pt>
              </c:strCache>
            </c:strRef>
          </c:tx>
          <c:xVal>
            <c:numRef>
              <c:f>Dejupa!$A$13:$A$83</c:f>
              <c:numCache>
                <c:formatCode>General</c:formatCode>
                <c:ptCount val="7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</c:numCache>
            </c:numRef>
          </c:xVal>
          <c:yVal>
            <c:numRef>
              <c:f>Dejupa!$M$13:$M$83</c:f>
              <c:numCache>
                <c:formatCode>0.00</c:formatCode>
                <c:ptCount val="71"/>
                <c:pt idx="0">
                  <c:v>2.2577353511755383E-2</c:v>
                </c:pt>
                <c:pt idx="1">
                  <c:v>2.6135648278346215E-2</c:v>
                </c:pt>
                <c:pt idx="2">
                  <c:v>3.0237397732643112E-2</c:v>
                </c:pt>
                <c:pt idx="3">
                  <c:v>3.4959770335738861E-2</c:v>
                </c:pt>
                <c:pt idx="4">
                  <c:v>4.0388950216690964E-2</c:v>
                </c:pt>
                <c:pt idx="5">
                  <c:v>4.662053885411812E-2</c:v>
                </c:pt>
                <c:pt idx="6">
                  <c:v>5.3759732050234182E-2</c:v>
                </c:pt>
                <c:pt idx="7">
                  <c:v>6.1921173120172854E-2</c:v>
                </c:pt>
                <c:pt idx="8">
                  <c:v>7.1228362272900553E-2</c:v>
                </c:pt>
                <c:pt idx="9">
                  <c:v>8.1812482470267442E-2</c:v>
                </c:pt>
                <c:pt idx="10">
                  <c:v>9.3810487032095283E-2</c:v>
                </c:pt>
                <c:pt idx="11">
                  <c:v>0.10736228882605384</c:v>
                </c:pt>
                <c:pt idx="12">
                  <c:v>0.12260690153100486</c:v>
                </c:pt>
                <c:pt idx="13">
                  <c:v>0.13967741795610403</c:v>
                </c:pt>
                <c:pt idx="14">
                  <c:v>0.15869477688379072</c:v>
                </c:pt>
                <c:pt idx="15">
                  <c:v>0.1797603752019081</c:v>
                </c:pt>
                <c:pt idx="16">
                  <c:v>0.20294772903862968</c:v>
                </c:pt>
                <c:pt idx="17">
                  <c:v>0.22829357165946565</c:v>
                </c:pt>
                <c:pt idx="18">
                  <c:v>0.25578898155063667</c:v>
                </c:pt>
                <c:pt idx="19">
                  <c:v>0.28537133261372244</c:v>
                </c:pt>
                <c:pt idx="20">
                  <c:v>0.3169180081773218</c:v>
                </c:pt>
                <c:pt idx="21">
                  <c:v>0.35024287249678271</c:v>
                </c:pt>
                <c:pt idx="22">
                  <c:v>0.38509640169960657</c:v>
                </c:pt>
                <c:pt idx="23">
                  <c:v>0.4211701131941617</c:v>
                </c:pt>
                <c:pt idx="24">
                  <c:v>0.4581055045414601</c:v>
                </c:pt>
                <c:pt idx="25">
                  <c:v>0.49550716897124969</c:v>
                </c:pt>
                <c:pt idx="26">
                  <c:v>0.53295918476818116</c:v>
                </c:pt>
                <c:pt idx="27">
                  <c:v>0.57004339197585085</c:v>
                </c:pt>
                <c:pt idx="28">
                  <c:v>0.6063578778555252</c:v>
                </c:pt>
                <c:pt idx="29">
                  <c:v>0.64153395968258997</c:v>
                </c:pt>
                <c:pt idx="30">
                  <c:v>0.67525018750358079</c:v>
                </c:pt>
                <c:pt idx="31">
                  <c:v>0.70724233597197284</c:v>
                </c:pt>
                <c:pt idx="32">
                  <c:v>0.73730891420791134</c:v>
                </c:pt>
                <c:pt idx="33">
                  <c:v>0.76531228213254388</c:v>
                </c:pt>
                <c:pt idx="34">
                  <c:v>0.79117592365911038</c:v>
                </c:pt>
                <c:pt idx="35">
                  <c:v>0.81487873171878811</c:v>
                </c:pt>
                <c:pt idx="36">
                  <c:v>0.83644729136732598</c:v>
                </c:pt>
                <c:pt idx="37">
                  <c:v>0.85594712592299782</c:v>
                </c:pt>
                <c:pt idx="38">
                  <c:v>0.87347374017464674</c:v>
                </c:pt>
                <c:pt idx="39">
                  <c:v>0.8891441036754224</c:v>
                </c:pt>
                <c:pt idx="40">
                  <c:v>0.90308901004824049</c:v>
                </c:pt>
                <c:pt idx="41">
                  <c:v>0.9154465571163396</c:v>
                </c:pt>
                <c:pt idx="42">
                  <c:v>0.92635683606364727</c:v>
                </c:pt>
                <c:pt idx="43">
                  <c:v>0.93595780259285755</c:v>
                </c:pt>
                <c:pt idx="44">
                  <c:v>0.94438222778537917</c:v>
                </c:pt>
                <c:pt idx="45">
                  <c:v>0.95175558493514434</c:v>
                </c:pt>
                <c:pt idx="46">
                  <c:v>0.95819471300681058</c:v>
                </c:pt>
                <c:pt idx="47">
                  <c:v>0.9638070995927922</c:v>
                </c:pt>
                <c:pt idx="48">
                  <c:v>0.9686906394724194</c:v>
                </c:pt>
                <c:pt idx="49">
                  <c:v>0.9729337438113641</c:v>
                </c:pt>
                <c:pt idx="50">
                  <c:v>0.97661569592376696</c:v>
                </c:pt>
                <c:pt idx="51">
                  <c:v>0.97980716992254591</c:v>
                </c:pt>
                <c:pt idx="52">
                  <c:v>0.98257084710454612</c:v>
                </c:pt>
                <c:pt idx="53">
                  <c:v>0.98496208089310333</c:v>
                </c:pt>
                <c:pt idx="54">
                  <c:v>0.9870295744158939</c:v>
                </c:pt>
                <c:pt idx="55">
                  <c:v>0.98881604545062229</c:v>
                </c:pt>
                <c:pt idx="56">
                  <c:v>0.99035886180248101</c:v>
                </c:pt>
                <c:pt idx="57">
                  <c:v>0.99169063652776945</c:v>
                </c:pt>
                <c:pt idx="58">
                  <c:v>0.99283977713763194</c:v>
                </c:pt>
                <c:pt idx="59">
                  <c:v>0.9938309863299879</c:v>
                </c:pt>
                <c:pt idx="60">
                  <c:v>0.99468571419152307</c:v>
                </c:pt>
                <c:pt idx="61">
                  <c:v>0.99542256342486646</c:v>
                </c:pt>
                <c:pt idx="62">
                  <c:v>0.99605765018437042</c:v>
                </c:pt>
                <c:pt idx="63">
                  <c:v>0.9966049237028175</c:v>
                </c:pt>
                <c:pt idx="64">
                  <c:v>0.99707644818218466</c:v>
                </c:pt>
                <c:pt idx="65">
                  <c:v>0.99748265049709883</c:v>
                </c:pt>
                <c:pt idx="66">
                  <c:v>0.99783253718970777</c:v>
                </c:pt>
                <c:pt idx="67">
                  <c:v>0.99813388407099257</c:v>
                </c:pt>
                <c:pt idx="68">
                  <c:v>0.99839340152369171</c:v>
                </c:pt>
                <c:pt idx="69">
                  <c:v>0.99861687835278012</c:v>
                </c:pt>
                <c:pt idx="70">
                  <c:v>0.99880930676951774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15D-4EEF-B314-EEC618C7E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0080"/>
        <c:axId val="126832000"/>
      </c:scatterChart>
      <c:scatterChart>
        <c:scatterStyle val="lineMarker"/>
        <c:varyColors val="0"/>
        <c:ser>
          <c:idx val="1"/>
          <c:order val="1"/>
          <c:tx>
            <c:strRef>
              <c:f>Dejupa!$H$12</c:f>
              <c:strCache>
                <c:ptCount val="1"/>
                <c:pt idx="0">
                  <c:v>Prop.
Retenidos por el arte de pesca
[copo/total]</c:v>
                </c:pt>
              </c:strCache>
            </c:strRef>
          </c:tx>
          <c:spPr>
            <a:ln w="28575">
              <a:noFill/>
            </a:ln>
          </c:spPr>
          <c:xVal>
            <c:numRef>
              <c:f>Dejupa!$A$13:$A$83</c:f>
              <c:numCache>
                <c:formatCode>General</c:formatCode>
                <c:ptCount val="7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</c:numCache>
            </c:numRef>
          </c:xVal>
          <c:yVal>
            <c:numRef>
              <c:f>Dejupa!$H$13:$H$83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</c:v>
                </c:pt>
                <c:pt idx="7">
                  <c:v>0.5</c:v>
                </c:pt>
                <c:pt idx="8">
                  <c:v>0</c:v>
                </c:pt>
                <c:pt idx="9">
                  <c:v>0.16666666666666666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3.125E-2</c:v>
                </c:pt>
                <c:pt idx="14">
                  <c:v>0.25</c:v>
                </c:pt>
                <c:pt idx="15">
                  <c:v>0.13924050632911392</c:v>
                </c:pt>
                <c:pt idx="16">
                  <c:v>0.19480519480519481</c:v>
                </c:pt>
                <c:pt idx="17">
                  <c:v>0.25806451612903225</c:v>
                </c:pt>
                <c:pt idx="18">
                  <c:v>0.27500000000000002</c:v>
                </c:pt>
                <c:pt idx="19">
                  <c:v>0.22413793103448276</c:v>
                </c:pt>
                <c:pt idx="20">
                  <c:v>0.23809523809523808</c:v>
                </c:pt>
                <c:pt idx="21">
                  <c:v>0.27918781725888325</c:v>
                </c:pt>
                <c:pt idx="22">
                  <c:v>0.40799999999999997</c:v>
                </c:pt>
                <c:pt idx="23">
                  <c:v>0.41592920353982299</c:v>
                </c:pt>
                <c:pt idx="24">
                  <c:v>0.38073394495412843</c:v>
                </c:pt>
                <c:pt idx="25">
                  <c:v>0.47033898305084748</c:v>
                </c:pt>
                <c:pt idx="26">
                  <c:v>0.52747252747252749</c:v>
                </c:pt>
                <c:pt idx="27">
                  <c:v>0.49113924050632912</c:v>
                </c:pt>
                <c:pt idx="28">
                  <c:v>0.52024291497975705</c:v>
                </c:pt>
                <c:pt idx="29">
                  <c:v>0.57052631578947366</c:v>
                </c:pt>
                <c:pt idx="30">
                  <c:v>0.61072261072261069</c:v>
                </c:pt>
                <c:pt idx="31">
                  <c:v>0.65878378378378377</c:v>
                </c:pt>
                <c:pt idx="32">
                  <c:v>0.70522388059701491</c:v>
                </c:pt>
                <c:pt idx="33">
                  <c:v>0.77124183006535951</c:v>
                </c:pt>
                <c:pt idx="34">
                  <c:v>0.83478260869565213</c:v>
                </c:pt>
                <c:pt idx="35">
                  <c:v>0.82222222222222219</c:v>
                </c:pt>
                <c:pt idx="36">
                  <c:v>0.9107142857142857</c:v>
                </c:pt>
                <c:pt idx="37">
                  <c:v>0.90697674418604646</c:v>
                </c:pt>
                <c:pt idx="38">
                  <c:v>0.91666666666666663</c:v>
                </c:pt>
                <c:pt idx="39">
                  <c:v>0.90322580645161288</c:v>
                </c:pt>
                <c:pt idx="40">
                  <c:v>0.95454545454545459</c:v>
                </c:pt>
                <c:pt idx="41">
                  <c:v>0.9642857142857143</c:v>
                </c:pt>
                <c:pt idx="42">
                  <c:v>0.94736842105263153</c:v>
                </c:pt>
                <c:pt idx="43">
                  <c:v>0.875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5D-4EEF-B314-EEC618C7E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830080"/>
        <c:axId val="126832000"/>
      </c:scatterChart>
      <c:valAx>
        <c:axId val="12683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s-AR" sz="1400"/>
                  <a:t>Talla</a:t>
                </a:r>
                <a:r>
                  <a:rPr lang="es-AR" sz="1400" baseline="0"/>
                  <a:t> L [cm]</a:t>
                </a:r>
                <a:endParaRPr lang="es-AR" sz="14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32000"/>
        <c:crosses val="autoZero"/>
        <c:crossBetween val="midCat"/>
      </c:valAx>
      <c:valAx>
        <c:axId val="1268320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400"/>
                </a:pPr>
                <a:r>
                  <a:rPr lang="es-AR" sz="1400"/>
                  <a:t>%</a:t>
                </a:r>
                <a:r>
                  <a:rPr lang="es-AR" sz="1400" baseline="0"/>
                  <a:t> Retención</a:t>
                </a:r>
                <a:endParaRPr lang="es-AR" sz="1400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126830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Dejupa!$P$12</c:f>
              <c:strCache>
                <c:ptCount val="1"/>
                <c:pt idx="0">
                  <c:v>S(L)</c:v>
                </c:pt>
              </c:strCache>
            </c:strRef>
          </c:tx>
          <c:xVal>
            <c:numRef>
              <c:f>Dejupa!$A$13:$A$83</c:f>
              <c:numCache>
                <c:formatCode>General</c:formatCode>
                <c:ptCount val="7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</c:numCache>
            </c:numRef>
          </c:xVal>
          <c:yVal>
            <c:numRef>
              <c:f>Dejupa!$P$13:$P$83</c:f>
              <c:numCache>
                <c:formatCode>General</c:formatCode>
                <c:ptCount val="71"/>
                <c:pt idx="0">
                  <c:v>3.5923875811407976E-3</c:v>
                </c:pt>
                <c:pt idx="1">
                  <c:v>5.0828046099146307E-3</c:v>
                </c:pt>
                <c:pt idx="2">
                  <c:v>7.1871087200285491E-3</c:v>
                </c:pt>
                <c:pt idx="3">
                  <c:v>1.0153713235290563E-2</c:v>
                </c:pt>
                <c:pt idx="4">
                  <c:v>1.4327164651389591E-2</c:v>
                </c:pt>
                <c:pt idx="5">
                  <c:v>2.0181044035741894E-2</c:v>
                </c:pt>
                <c:pt idx="6">
                  <c:v>2.8357924028416595E-2</c:v>
                </c:pt>
                <c:pt idx="7">
                  <c:v>3.9713597465168921E-2</c:v>
                </c:pt>
                <c:pt idx="8">
                  <c:v>5.5357474822029171E-2</c:v>
                </c:pt>
                <c:pt idx="9">
                  <c:v>7.6671726339059651E-2</c:v>
                </c:pt>
                <c:pt idx="10">
                  <c:v>0.105277984028554</c:v>
                </c:pt>
                <c:pt idx="11">
                  <c:v>0.14290536721693667</c:v>
                </c:pt>
                <c:pt idx="12">
                  <c:v>0.19110862865110625</c:v>
                </c:pt>
                <c:pt idx="13">
                  <c:v>0.25081326480828164</c:v>
                </c:pt>
                <c:pt idx="14">
                  <c:v>0.3217510037519683</c:v>
                </c:pt>
                <c:pt idx="15">
                  <c:v>0.40198683168913563</c:v>
                </c:pt>
                <c:pt idx="16">
                  <c:v>0.48783980313158187</c:v>
                </c:pt>
                <c:pt idx="17">
                  <c:v>0.57441628166902214</c:v>
                </c:pt>
                <c:pt idx="18">
                  <c:v>0.65665787455351643</c:v>
                </c:pt>
                <c:pt idx="19">
                  <c:v>0.73046416132849623</c:v>
                </c:pt>
                <c:pt idx="20">
                  <c:v>0.79339654409834304</c:v>
                </c:pt>
                <c:pt idx="21">
                  <c:v>0.84475799008348118</c:v>
                </c:pt>
                <c:pt idx="22">
                  <c:v>0.88519856393426244</c:v>
                </c:pt>
                <c:pt idx="23">
                  <c:v>0.91615003353960944</c:v>
                </c:pt>
                <c:pt idx="24">
                  <c:v>0.93932866667558201</c:v>
                </c:pt>
                <c:pt idx="25">
                  <c:v>0.95640492415766176</c:v>
                </c:pt>
                <c:pt idx="26">
                  <c:v>0.96883444423161436</c:v>
                </c:pt>
                <c:pt idx="27">
                  <c:v>0.97780239727581453</c:v>
                </c:pt>
                <c:pt idx="28">
                  <c:v>0.9842318028206648</c:v>
                </c:pt>
                <c:pt idx="29">
                  <c:v>0.98882026071223872</c:v>
                </c:pt>
                <c:pt idx="30">
                  <c:v>0.99208424138959461</c:v>
                </c:pt>
                <c:pt idx="31">
                  <c:v>0.99440068273442217</c:v>
                </c:pt>
                <c:pt idx="32">
                  <c:v>0.99604195283923713</c:v>
                </c:pt>
                <c:pt idx="33">
                  <c:v>0.99720348731622921</c:v>
                </c:pt>
                <c:pt idx="34">
                  <c:v>0.99802483207971593</c:v>
                </c:pt>
                <c:pt idx="35">
                  <c:v>0.99860528263970605</c:v>
                </c:pt>
                <c:pt idx="36">
                  <c:v>0.99901532215155819</c:v>
                </c:pt>
                <c:pt idx="37">
                  <c:v>0.99930489613157347</c:v>
                </c:pt>
                <c:pt idx="38">
                  <c:v>0.99950935404311714</c:v>
                </c:pt>
                <c:pt idx="39">
                  <c:v>0.99965369352810785</c:v>
                </c:pt>
                <c:pt idx="40">
                  <c:v>0.99975558123714359</c:v>
                </c:pt>
                <c:pt idx="41">
                  <c:v>0.99982749747666388</c:v>
                </c:pt>
                <c:pt idx="42">
                  <c:v>0.99987825611093495</c:v>
                </c:pt>
                <c:pt idx="43">
                  <c:v>0.99991408036918417</c:v>
                </c:pt>
                <c:pt idx="44">
                  <c:v>0.99993936364948255</c:v>
                </c:pt>
                <c:pt idx="45">
                  <c:v>0.99995720722247317</c:v>
                </c:pt>
                <c:pt idx="46">
                  <c:v>0.99996980009224146</c:v>
                </c:pt>
                <c:pt idx="47">
                  <c:v>0.99997868726683781</c:v>
                </c:pt>
                <c:pt idx="48">
                  <c:v>0.99998495917899866</c:v>
                </c:pt>
                <c:pt idx="49">
                  <c:v>0.99998938541213278</c:v>
                </c:pt>
                <c:pt idx="50">
                  <c:v>0.99999250909715487</c:v>
                </c:pt>
                <c:pt idx="51">
                  <c:v>0.99999471354191494</c:v>
                </c:pt>
                <c:pt idx="52">
                  <c:v>0.99999626925865492</c:v>
                </c:pt>
                <c:pt idx="53">
                  <c:v>0.99999736715502385</c:v>
                </c:pt>
                <c:pt idx="54">
                  <c:v>0.99999814195898673</c:v>
                </c:pt>
                <c:pt idx="55">
                  <c:v>0.99999868875089459</c:v>
                </c:pt>
                <c:pt idx="56">
                  <c:v>0.99999907463079241</c:v>
                </c:pt>
                <c:pt idx="57">
                  <c:v>0.99999934695240633</c:v>
                </c:pt>
                <c:pt idx="58">
                  <c:v>0.99999953913408623</c:v>
                </c:pt>
                <c:pt idx="59">
                  <c:v>0.99999967475972584</c:v>
                </c:pt>
                <c:pt idx="60">
                  <c:v>0.99999977047286726</c:v>
                </c:pt>
                <c:pt idx="61">
                  <c:v>0.99999983801912817</c:v>
                </c:pt>
                <c:pt idx="62">
                  <c:v>0.99999988568757869</c:v>
                </c:pt>
                <c:pt idx="63">
                  <c:v>0.99999991932794685</c:v>
                </c:pt>
                <c:pt idx="64">
                  <c:v>0.99999994306847839</c:v>
                </c:pt>
                <c:pt idx="65">
                  <c:v>0.99999995982254075</c:v>
                </c:pt>
                <c:pt idx="66">
                  <c:v>0.99999997164614285</c:v>
                </c:pt>
                <c:pt idx="67">
                  <c:v>0.99999997999024282</c:v>
                </c:pt>
                <c:pt idx="68">
                  <c:v>0.99999998587880357</c:v>
                </c:pt>
                <c:pt idx="69">
                  <c:v>0.99999999003445239</c:v>
                </c:pt>
                <c:pt idx="70">
                  <c:v>0.99999999296715836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CD-4B0D-AE13-AD1B494A7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35712"/>
        <c:axId val="130029056"/>
      </c:scatterChart>
      <c:scatterChart>
        <c:scatterStyle val="lineMarker"/>
        <c:varyColors val="0"/>
        <c:ser>
          <c:idx val="1"/>
          <c:order val="1"/>
          <c:tx>
            <c:strRef>
              <c:f>Dejupa!$G$12</c:f>
              <c:strCache>
                <c:ptCount val="1"/>
                <c:pt idx="0">
                  <c:v>Prop. Retenidos por el arte de pesca [copo/COPO]</c:v>
                </c:pt>
              </c:strCache>
            </c:strRef>
          </c:tx>
          <c:spPr>
            <a:ln w="28575">
              <a:noFill/>
            </a:ln>
          </c:spPr>
          <c:xVal>
            <c:numRef>
              <c:f>Dejupa!$A$13:$A$83</c:f>
              <c:numCache>
                <c:formatCode>General</c:formatCode>
                <c:ptCount val="7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  <c:pt idx="54">
                  <c:v>64</c:v>
                </c:pt>
                <c:pt idx="55">
                  <c:v>65</c:v>
                </c:pt>
                <c:pt idx="56">
                  <c:v>66</c:v>
                </c:pt>
                <c:pt idx="57">
                  <c:v>67</c:v>
                </c:pt>
                <c:pt idx="58">
                  <c:v>68</c:v>
                </c:pt>
                <c:pt idx="59">
                  <c:v>69</c:v>
                </c:pt>
                <c:pt idx="60">
                  <c:v>70</c:v>
                </c:pt>
                <c:pt idx="61">
                  <c:v>71</c:v>
                </c:pt>
                <c:pt idx="62">
                  <c:v>72</c:v>
                </c:pt>
                <c:pt idx="63">
                  <c:v>73</c:v>
                </c:pt>
                <c:pt idx="64">
                  <c:v>74</c:v>
                </c:pt>
                <c:pt idx="65">
                  <c:v>75</c:v>
                </c:pt>
                <c:pt idx="66">
                  <c:v>76</c:v>
                </c:pt>
                <c:pt idx="67">
                  <c:v>77</c:v>
                </c:pt>
                <c:pt idx="68">
                  <c:v>78</c:v>
                </c:pt>
                <c:pt idx="69">
                  <c:v>79</c:v>
                </c:pt>
                <c:pt idx="70">
                  <c:v>80</c:v>
                </c:pt>
              </c:numCache>
            </c:numRef>
          </c:xVal>
          <c:yVal>
            <c:numRef>
              <c:f>Dejupa!$G$13:$G$83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0.76923076923076927</c:v>
                </c:pt>
                <c:pt idx="15">
                  <c:v>0.6875</c:v>
                </c:pt>
                <c:pt idx="16">
                  <c:v>0.75</c:v>
                </c:pt>
                <c:pt idx="17">
                  <c:v>0.75</c:v>
                </c:pt>
                <c:pt idx="18">
                  <c:v>0.73333333333333328</c:v>
                </c:pt>
                <c:pt idx="19">
                  <c:v>0.83870967741935487</c:v>
                </c:pt>
                <c:pt idx="20">
                  <c:v>0.79545454545454541</c:v>
                </c:pt>
                <c:pt idx="21">
                  <c:v>0.80882352941176472</c:v>
                </c:pt>
                <c:pt idx="22">
                  <c:v>0.87931034482758619</c:v>
                </c:pt>
                <c:pt idx="23">
                  <c:v>0.90384615384615385</c:v>
                </c:pt>
                <c:pt idx="24">
                  <c:v>0.89247311827956988</c:v>
                </c:pt>
                <c:pt idx="25">
                  <c:v>0.94871794871794868</c:v>
                </c:pt>
                <c:pt idx="26">
                  <c:v>0.93506493506493504</c:v>
                </c:pt>
                <c:pt idx="27">
                  <c:v>0.97487437185929648</c:v>
                </c:pt>
                <c:pt idx="28">
                  <c:v>0.96254681647940077</c:v>
                </c:pt>
                <c:pt idx="29">
                  <c:v>0.95422535211267601</c:v>
                </c:pt>
                <c:pt idx="30">
                  <c:v>0.98867924528301887</c:v>
                </c:pt>
                <c:pt idx="31">
                  <c:v>0.98484848484848486</c:v>
                </c:pt>
                <c:pt idx="32">
                  <c:v>0.984375</c:v>
                </c:pt>
                <c:pt idx="33">
                  <c:v>0.99159663865546221</c:v>
                </c:pt>
                <c:pt idx="34">
                  <c:v>0.97959183673469385</c:v>
                </c:pt>
                <c:pt idx="35">
                  <c:v>0.98666666666666669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CD-4B0D-AE13-AD1B494A7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035712"/>
        <c:axId val="130029056"/>
      </c:scatterChart>
      <c:valAx>
        <c:axId val="130035712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130029056"/>
        <c:crosses val="autoZero"/>
        <c:crossBetween val="midCat"/>
      </c:valAx>
      <c:valAx>
        <c:axId val="130029056"/>
        <c:scaling>
          <c:orientation val="minMax"/>
        </c:scaling>
        <c:delete val="0"/>
        <c:axPos val="l"/>
        <c:majorGridlines/>
        <c:minorGridlines/>
        <c:title>
          <c:overlay val="0"/>
        </c:title>
        <c:numFmt formatCode="General" sourceLinked="1"/>
        <c:majorTickMark val="out"/>
        <c:minorTickMark val="none"/>
        <c:tickLblPos val="nextTo"/>
        <c:crossAx val="130035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Selectividad del</a:t>
            </a:r>
            <a:r>
              <a:rPr lang="en-US" baseline="0"/>
              <a:t> FLEXIGRID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S(L)</c:v>
          </c:tx>
          <c:xVal>
            <c:numRef>
              <c:f>FLEXIGIRD!$A$13:$A$66</c:f>
              <c:numCache>
                <c:formatCode>General</c:formatCode>
                <c:ptCount val="5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</c:numCache>
            </c:numRef>
          </c:xVal>
          <c:yVal>
            <c:numRef>
              <c:f>FLEXIGIRD!$I$13:$I$66</c:f>
              <c:numCache>
                <c:formatCode>General</c:formatCode>
                <c:ptCount val="54"/>
                <c:pt idx="0">
                  <c:v>6.2891311538598197E-3</c:v>
                </c:pt>
                <c:pt idx="1">
                  <c:v>7.5568769664075093E-3</c:v>
                </c:pt>
                <c:pt idx="2">
                  <c:v>9.0778369918427769E-3</c:v>
                </c:pt>
                <c:pt idx="3">
                  <c:v>1.0901555498459265E-2</c:v>
                </c:pt>
                <c:pt idx="4">
                  <c:v>1.3086816558101807E-2</c:v>
                </c:pt>
                <c:pt idx="5">
                  <c:v>1.5703167568946221E-2</c:v>
                </c:pt>
                <c:pt idx="6">
                  <c:v>1.8832605046289634E-2</c:v>
                </c:pt>
                <c:pt idx="7">
                  <c:v>2.257139742399928E-2</c:v>
                </c:pt>
                <c:pt idx="8">
                  <c:v>2.703199366246864E-2</c:v>
                </c:pt>
                <c:pt idx="9">
                  <c:v>3.2344929364571597E-2</c:v>
                </c:pt>
                <c:pt idx="10">
                  <c:v>3.8660591073617849E-2</c:v>
                </c:pt>
                <c:pt idx="11">
                  <c:v>4.6150632025908418E-2</c:v>
                </c:pt>
                <c:pt idx="12">
                  <c:v>5.5008747709074005E-2</c:v>
                </c:pt>
                <c:pt idx="13">
                  <c:v>6.5450418867585097E-2</c:v>
                </c:pt>
                <c:pt idx="14">
                  <c:v>7.7711120080588961E-2</c:v>
                </c:pt>
                <c:pt idx="15">
                  <c:v>9.2042389101274685E-2</c:v>
                </c:pt>
                <c:pt idx="16">
                  <c:v>0.10870508310842798</c:v>
                </c:pt>
                <c:pt idx="17">
                  <c:v>0.12795915486091139</c:v>
                </c:pt>
                <c:pt idx="18">
                  <c:v>0.15004942076598982</c:v>
                </c:pt>
                <c:pt idx="19">
                  <c:v>0.17518712775504741</c:v>
                </c:pt>
                <c:pt idx="20">
                  <c:v>0.20352771007481027</c:v>
                </c:pt>
                <c:pt idx="21">
                  <c:v>0.23514597326185294</c:v>
                </c:pt>
                <c:pt idx="22">
                  <c:v>0.27001098205520374</c:v>
                </c:pt>
                <c:pt idx="23">
                  <c:v>0.3079639756620639</c:v>
                </c:pt>
                <c:pt idx="24">
                  <c:v>0.3487033776586097</c:v>
                </c:pt>
                <c:pt idx="25">
                  <c:v>0.39178102953295807</c:v>
                </c:pt>
                <c:pt idx="26">
                  <c:v>0.43661283778638726</c:v>
                </c:pt>
                <c:pt idx="27">
                  <c:v>0.48250500442513938</c:v>
                </c:pt>
                <c:pt idx="28">
                  <c:v>0.52869421105329384</c:v>
                </c:pt>
                <c:pt idx="29">
                  <c:v>0.57439723177774049</c:v>
                </c:pt>
                <c:pt idx="30">
                  <c:v>0.61886332604313543</c:v>
                </c:pt>
                <c:pt idx="31">
                  <c:v>0.66142211325354894</c:v>
                </c:pt>
                <c:pt idx="32">
                  <c:v>0.70152068111902788</c:v>
                </c:pt>
                <c:pt idx="33">
                  <c:v>0.7387460680444069</c:v>
                </c:pt>
                <c:pt idx="34">
                  <c:v>0.77283220955290699</c:v>
                </c:pt>
                <c:pt idx="35">
                  <c:v>0.80365309923113093</c:v>
                </c:pt>
                <c:pt idx="36">
                  <c:v>0.83120568405918405</c:v>
                </c:pt>
                <c:pt idx="37">
                  <c:v>0.85558669061342452</c:v>
                </c:pt>
                <c:pt idx="38">
                  <c:v>0.87696731686686391</c:v>
                </c:pt>
                <c:pt idx="39">
                  <c:v>0.89556887308549193</c:v>
                </c:pt>
                <c:pt idx="40">
                  <c:v>0.91164138626438107</c:v>
                </c:pt>
                <c:pt idx="41">
                  <c:v>0.92544617780159089</c:v>
                </c:pt>
                <c:pt idx="42">
                  <c:v>0.93724263904067595</c:v>
                </c:pt>
                <c:pt idx="43">
                  <c:v>0.94727890897828249</c:v>
                </c:pt>
                <c:pt idx="44">
                  <c:v>0.95578587682114224</c:v>
                </c:pt>
                <c:pt idx="45">
                  <c:v>0.96297383092222488</c:v>
                </c:pt>
                <c:pt idx="46">
                  <c:v>0.96903109189069891</c:v>
                </c:pt>
                <c:pt idx="47">
                  <c:v>0.97412404821174758</c:v>
                </c:pt>
                <c:pt idx="48">
                  <c:v>0.97839811924506848</c:v>
                </c:pt>
                <c:pt idx="49">
                  <c:v>0.98197927888461989</c:v>
                </c:pt>
                <c:pt idx="50">
                  <c:v>0.98497587043314405</c:v>
                </c:pt>
                <c:pt idx="51">
                  <c:v>0.98748052392893337</c:v>
                </c:pt>
                <c:pt idx="52">
                  <c:v>0.98957205041258522</c:v>
                </c:pt>
                <c:pt idx="53">
                  <c:v>0.9913172350167534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DE-4388-8644-A5382AA5F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73056"/>
        <c:axId val="126974976"/>
      </c:scatterChart>
      <c:scatterChart>
        <c:scatterStyle val="lineMarker"/>
        <c:varyColors val="0"/>
        <c:ser>
          <c:idx val="1"/>
          <c:order val="1"/>
          <c:tx>
            <c:strRef>
              <c:f>FLEXIGIRD!$H$12</c:f>
              <c:strCache>
                <c:ptCount val="1"/>
                <c:pt idx="0">
                  <c:v>Proporción retención</c:v>
                </c:pt>
              </c:strCache>
            </c:strRef>
          </c:tx>
          <c:spPr>
            <a:ln w="28575">
              <a:noFill/>
            </a:ln>
          </c:spPr>
          <c:xVal>
            <c:numRef>
              <c:f>FLEXIGIRD!$A$13:$A$66</c:f>
              <c:numCache>
                <c:formatCode>General</c:formatCode>
                <c:ptCount val="54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62</c:v>
                </c:pt>
                <c:pt idx="53">
                  <c:v>63</c:v>
                </c:pt>
              </c:numCache>
            </c:numRef>
          </c:xVal>
          <c:yVal>
            <c:numRef>
              <c:f>FLEXIGIRD!$H$13:$H$66</c:f>
              <c:numCache>
                <c:formatCode>General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4.1666666666666664E-2</c:v>
                </c:pt>
                <c:pt idx="13">
                  <c:v>2.2727272727272728E-2</c:v>
                </c:pt>
                <c:pt idx="14">
                  <c:v>0.1</c:v>
                </c:pt>
                <c:pt idx="15">
                  <c:v>5.8139534883720929E-2</c:v>
                </c:pt>
                <c:pt idx="16">
                  <c:v>0.125</c:v>
                </c:pt>
                <c:pt idx="17">
                  <c:v>0.13548387096774195</c:v>
                </c:pt>
                <c:pt idx="18">
                  <c:v>0.17222222222222222</c:v>
                </c:pt>
                <c:pt idx="19">
                  <c:v>0.1409090909090909</c:v>
                </c:pt>
                <c:pt idx="20">
                  <c:v>0.24161073825503357</c:v>
                </c:pt>
                <c:pt idx="21">
                  <c:v>0.26315789473684209</c:v>
                </c:pt>
                <c:pt idx="22">
                  <c:v>0.22742474916387959</c:v>
                </c:pt>
                <c:pt idx="23">
                  <c:v>0.28421052631578947</c:v>
                </c:pt>
                <c:pt idx="24">
                  <c:v>0.31985294117647056</c:v>
                </c:pt>
                <c:pt idx="25">
                  <c:v>0.4642857142857143</c:v>
                </c:pt>
                <c:pt idx="26">
                  <c:v>0.43406593406593408</c:v>
                </c:pt>
                <c:pt idx="27">
                  <c:v>0.49456521739130432</c:v>
                </c:pt>
                <c:pt idx="28">
                  <c:v>0.52500000000000002</c:v>
                </c:pt>
                <c:pt idx="29">
                  <c:v>0.5043478260869565</c:v>
                </c:pt>
                <c:pt idx="30">
                  <c:v>0.63478260869565217</c:v>
                </c:pt>
                <c:pt idx="31">
                  <c:v>0.74358974358974361</c:v>
                </c:pt>
                <c:pt idx="32">
                  <c:v>0.69354838709677424</c:v>
                </c:pt>
                <c:pt idx="33">
                  <c:v>0.6964285714285714</c:v>
                </c:pt>
                <c:pt idx="34">
                  <c:v>0.86486486486486491</c:v>
                </c:pt>
                <c:pt idx="35">
                  <c:v>0.77142857142857146</c:v>
                </c:pt>
                <c:pt idx="36">
                  <c:v>0.7142857142857143</c:v>
                </c:pt>
                <c:pt idx="37">
                  <c:v>0.72727272727272729</c:v>
                </c:pt>
                <c:pt idx="38">
                  <c:v>0.95833333333333337</c:v>
                </c:pt>
                <c:pt idx="39">
                  <c:v>0.72727272727272729</c:v>
                </c:pt>
                <c:pt idx="40">
                  <c:v>1</c:v>
                </c:pt>
                <c:pt idx="41">
                  <c:v>0.875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0.66666666666666663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DE-4388-8644-A5382AA5F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73056"/>
        <c:axId val="126974976"/>
      </c:scatterChart>
      <c:valAx>
        <c:axId val="126973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s-AR" sz="1600"/>
                  <a:t>LT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74976"/>
        <c:crosses val="autoZero"/>
        <c:crossBetween val="midCat"/>
      </c:valAx>
      <c:valAx>
        <c:axId val="12697497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s-AR" sz="1800"/>
                  <a:t>%</a:t>
                </a:r>
                <a:r>
                  <a:rPr lang="es-AR" sz="1800" baseline="0"/>
                  <a:t> Retención</a:t>
                </a:r>
                <a:endParaRPr lang="es-AR" sz="18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73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Tangonera!$F$13</c:f>
              <c:strCache>
                <c:ptCount val="1"/>
                <c:pt idx="0">
                  <c:v>S(L)</c:v>
                </c:pt>
              </c:strCache>
            </c:strRef>
          </c:tx>
          <c:xVal>
            <c:numRef>
              <c:f>Tangonera!$A$16:$A$69</c:f>
              <c:numCache>
                <c:formatCode>General</c:formatCode>
                <c:ptCount val="54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</c:numCache>
            </c:numRef>
          </c:xVal>
          <c:yVal>
            <c:numRef>
              <c:f>Tangonera!$F$16:$F$69</c:f>
              <c:numCache>
                <c:formatCode>General</c:formatCode>
                <c:ptCount val="54"/>
                <c:pt idx="0">
                  <c:v>0.98925837166131603</c:v>
                </c:pt>
                <c:pt idx="1">
                  <c:v>0.98549442224216122</c:v>
                </c:pt>
                <c:pt idx="2">
                  <c:v>0.9804376372020388</c:v>
                </c:pt>
                <c:pt idx="3">
                  <c:v>0.97366511549476065</c:v>
                </c:pt>
                <c:pt idx="4">
                  <c:v>0.96463251502134884</c:v>
                </c:pt>
                <c:pt idx="5">
                  <c:v>0.9526524778509694</c:v>
                </c:pt>
                <c:pt idx="6">
                  <c:v>0.93687997199715822</c:v>
                </c:pt>
                <c:pt idx="7">
                  <c:v>0.91631484518473405</c:v>
                </c:pt>
                <c:pt idx="8">
                  <c:v>0.88983725270106095</c:v>
                </c:pt>
                <c:pt idx="9">
                  <c:v>0.85629608315466277</c:v>
                </c:pt>
                <c:pt idx="10">
                  <c:v>0.814669610775549</c:v>
                </c:pt>
                <c:pt idx="11">
                  <c:v>0.76430420108986596</c:v>
                </c:pt>
                <c:pt idx="12">
                  <c:v>0.70520435954710459</c:v>
                </c:pt>
                <c:pt idx="13">
                  <c:v>0.63829847037473364</c:v>
                </c:pt>
                <c:pt idx="14">
                  <c:v>0.56556232189841193</c:v>
                </c:pt>
                <c:pt idx="15">
                  <c:v>0.48988871939253553</c:v>
                </c:pt>
                <c:pt idx="16">
                  <c:v>0.41467570338767873</c:v>
                </c:pt>
                <c:pt idx="17">
                  <c:v>0.34324018975949389</c:v>
                </c:pt>
                <c:pt idx="18">
                  <c:v>0.27826050209091024</c:v>
                </c:pt>
                <c:pt idx="19">
                  <c:v>0.2214346934181167</c:v>
                </c:pt>
                <c:pt idx="20">
                  <c:v>0.17342523339263083</c:v>
                </c:pt>
                <c:pt idx="21">
                  <c:v>0.13403280627624994</c:v>
                </c:pt>
                <c:pt idx="22">
                  <c:v>0.10247877502230889</c:v>
                </c:pt>
                <c:pt idx="23">
                  <c:v>7.7686786098029204E-2</c:v>
                </c:pt>
                <c:pt idx="24">
                  <c:v>5.850161180997996E-2</c:v>
                </c:pt>
                <c:pt idx="25">
                  <c:v>4.3829172078670771E-2</c:v>
                </c:pt>
                <c:pt idx="26">
                  <c:v>3.2708794867210234E-2</c:v>
                </c:pt>
                <c:pt idx="27">
                  <c:v>2.433807295787831E-2</c:v>
                </c:pt>
                <c:pt idx="28">
                  <c:v>1.8069539704571223E-2</c:v>
                </c:pt>
                <c:pt idx="29">
                  <c:v>1.3393371424256692E-2</c:v>
                </c:pt>
                <c:pt idx="30">
                  <c:v>9.9151169260890681E-3</c:v>
                </c:pt>
                <c:pt idx="31">
                  <c:v>7.3334498229298611E-3</c:v>
                </c:pt>
                <c:pt idx="32">
                  <c:v>5.4203090628567692E-3</c:v>
                </c:pt>
                <c:pt idx="33">
                  <c:v>4.0042526747138115E-3</c:v>
                </c:pt>
                <c:pt idx="34">
                  <c:v>2.9570412824406166E-3</c:v>
                </c:pt>
                <c:pt idx="35">
                  <c:v>2.1831013498033189E-3</c:v>
                </c:pt>
                <c:pt idx="36">
                  <c:v>1.6113956442146643E-3</c:v>
                </c:pt>
                <c:pt idx="37">
                  <c:v>1.1892285146283175E-3</c:v>
                </c:pt>
                <c:pt idx="38">
                  <c:v>8.7756710040424026E-4</c:v>
                </c:pt>
                <c:pt idx="39">
                  <c:v>6.4752991955217831E-4</c:v>
                </c:pt>
                <c:pt idx="40">
                  <c:v>4.7776368604196447E-4</c:v>
                </c:pt>
                <c:pt idx="41">
                  <c:v>3.5249023597984944E-4</c:v>
                </c:pt>
                <c:pt idx="42">
                  <c:v>2.6005593762917361E-4</c:v>
                </c:pt>
                <c:pt idx="43">
                  <c:v>1.9185623877320473E-4</c:v>
                </c:pt>
                <c:pt idx="44">
                  <c:v>1.415393864592274E-4</c:v>
                </c:pt>
                <c:pt idx="45">
                  <c:v>1.0441742022099614E-4</c:v>
                </c:pt>
                <c:pt idx="46">
                  <c:v>7.7030795114942067E-5</c:v>
                </c:pt>
                <c:pt idx="47">
                  <c:v>5.6826732143295969E-5</c:v>
                </c:pt>
                <c:pt idx="48">
                  <c:v>4.1921680379187256E-5</c:v>
                </c:pt>
                <c:pt idx="49">
                  <c:v>3.0925945388996138E-5</c:v>
                </c:pt>
                <c:pt idx="50">
                  <c:v>2.2814241486831944E-5</c:v>
                </c:pt>
                <c:pt idx="51">
                  <c:v>1.6830156705589111E-5</c:v>
                </c:pt>
                <c:pt idx="52">
                  <c:v>1.2415654068206289E-5</c:v>
                </c:pt>
                <c:pt idx="53">
                  <c:v>9.1590524167302155E-6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44-41E3-A9AC-09773DF24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20576"/>
        <c:axId val="126939136"/>
      </c:scatterChart>
      <c:scatterChart>
        <c:scatterStyle val="lineMarker"/>
        <c:varyColors val="0"/>
        <c:ser>
          <c:idx val="1"/>
          <c:order val="1"/>
          <c:tx>
            <c:strRef>
              <c:f>Tangonera!$E$13</c:f>
              <c:strCache>
                <c:ptCount val="1"/>
                <c:pt idx="0">
                  <c:v>Proporcion
Retención
Maduros </c:v>
                </c:pt>
              </c:strCache>
            </c:strRef>
          </c:tx>
          <c:spPr>
            <a:ln w="28575">
              <a:noFill/>
            </a:ln>
          </c:spPr>
          <c:xVal>
            <c:numRef>
              <c:f>Tangonera!$A$16:$A$69</c:f>
              <c:numCache>
                <c:formatCode>General</c:formatCode>
                <c:ptCount val="54"/>
                <c:pt idx="0">
                  <c:v>15</c:v>
                </c:pt>
                <c:pt idx="1">
                  <c:v>16</c:v>
                </c:pt>
                <c:pt idx="2">
                  <c:v>17</c:v>
                </c:pt>
                <c:pt idx="3">
                  <c:v>18</c:v>
                </c:pt>
                <c:pt idx="4">
                  <c:v>19</c:v>
                </c:pt>
                <c:pt idx="5">
                  <c:v>20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24</c:v>
                </c:pt>
                <c:pt idx="10">
                  <c:v>25</c:v>
                </c:pt>
                <c:pt idx="11">
                  <c:v>26</c:v>
                </c:pt>
                <c:pt idx="12">
                  <c:v>27</c:v>
                </c:pt>
                <c:pt idx="13">
                  <c:v>28</c:v>
                </c:pt>
                <c:pt idx="14">
                  <c:v>29</c:v>
                </c:pt>
                <c:pt idx="15">
                  <c:v>30</c:v>
                </c:pt>
                <c:pt idx="16">
                  <c:v>31</c:v>
                </c:pt>
                <c:pt idx="17">
                  <c:v>32</c:v>
                </c:pt>
                <c:pt idx="18">
                  <c:v>33</c:v>
                </c:pt>
                <c:pt idx="19">
                  <c:v>34</c:v>
                </c:pt>
                <c:pt idx="20">
                  <c:v>35</c:v>
                </c:pt>
                <c:pt idx="21">
                  <c:v>36</c:v>
                </c:pt>
                <c:pt idx="22">
                  <c:v>37</c:v>
                </c:pt>
                <c:pt idx="23">
                  <c:v>38</c:v>
                </c:pt>
                <c:pt idx="24">
                  <c:v>39</c:v>
                </c:pt>
                <c:pt idx="25">
                  <c:v>40</c:v>
                </c:pt>
                <c:pt idx="26">
                  <c:v>41</c:v>
                </c:pt>
                <c:pt idx="27">
                  <c:v>42</c:v>
                </c:pt>
                <c:pt idx="28">
                  <c:v>43</c:v>
                </c:pt>
                <c:pt idx="29">
                  <c:v>44</c:v>
                </c:pt>
                <c:pt idx="30">
                  <c:v>45</c:v>
                </c:pt>
                <c:pt idx="31">
                  <c:v>46</c:v>
                </c:pt>
                <c:pt idx="32">
                  <c:v>47</c:v>
                </c:pt>
                <c:pt idx="33">
                  <c:v>48</c:v>
                </c:pt>
                <c:pt idx="34">
                  <c:v>49</c:v>
                </c:pt>
                <c:pt idx="35">
                  <c:v>50</c:v>
                </c:pt>
                <c:pt idx="36">
                  <c:v>51</c:v>
                </c:pt>
                <c:pt idx="37">
                  <c:v>52</c:v>
                </c:pt>
                <c:pt idx="38">
                  <c:v>53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</c:numCache>
            </c:numRef>
          </c:xVal>
          <c:yVal>
            <c:numRef>
              <c:f>Tangonera!$E$16:$E$69</c:f>
              <c:numCache>
                <c:formatCode>General</c:formatCode>
                <c:ptCount val="5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0.66666666666666663</c:v>
                </c:pt>
                <c:pt idx="5">
                  <c:v>1</c:v>
                </c:pt>
                <c:pt idx="6">
                  <c:v>0.5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0.75</c:v>
                </c:pt>
                <c:pt idx="11">
                  <c:v>1</c:v>
                </c:pt>
                <c:pt idx="12">
                  <c:v>0.83333333333333337</c:v>
                </c:pt>
                <c:pt idx="13">
                  <c:v>0.66666666666666663</c:v>
                </c:pt>
                <c:pt idx="14">
                  <c:v>0.7142857142857143</c:v>
                </c:pt>
                <c:pt idx="15">
                  <c:v>0.1</c:v>
                </c:pt>
                <c:pt idx="16">
                  <c:v>0.6</c:v>
                </c:pt>
                <c:pt idx="17">
                  <c:v>0.70833333333333337</c:v>
                </c:pt>
                <c:pt idx="18">
                  <c:v>0.35714285714285715</c:v>
                </c:pt>
                <c:pt idx="19">
                  <c:v>0.25</c:v>
                </c:pt>
                <c:pt idx="20">
                  <c:v>0.15151515151515152</c:v>
                </c:pt>
                <c:pt idx="21">
                  <c:v>6.4516129032258063E-2</c:v>
                </c:pt>
                <c:pt idx="22">
                  <c:v>8.5106382978723402E-2</c:v>
                </c:pt>
                <c:pt idx="23">
                  <c:v>5.4054054054054057E-2</c:v>
                </c:pt>
                <c:pt idx="24">
                  <c:v>4.1666666666666664E-2</c:v>
                </c:pt>
                <c:pt idx="25">
                  <c:v>5.0632911392405063E-2</c:v>
                </c:pt>
                <c:pt idx="26">
                  <c:v>0</c:v>
                </c:pt>
                <c:pt idx="27">
                  <c:v>3.3898305084745763E-2</c:v>
                </c:pt>
                <c:pt idx="28">
                  <c:v>0</c:v>
                </c:pt>
                <c:pt idx="29">
                  <c:v>4.3478260869565216E-2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44-41E3-A9AC-09773DF24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20576"/>
        <c:axId val="126939136"/>
      </c:scatterChart>
      <c:valAx>
        <c:axId val="12692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s-AR" sz="1400"/>
                  <a:t>LT</a:t>
                </a:r>
                <a:r>
                  <a:rPr lang="es-AR" sz="1400" baseline="0"/>
                  <a:t> [cm]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939136"/>
        <c:crosses val="autoZero"/>
        <c:crossBetween val="midCat"/>
      </c:valAx>
      <c:valAx>
        <c:axId val="126939136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s-AR" sz="1400"/>
                  <a:t>%</a:t>
                </a:r>
                <a:r>
                  <a:rPr lang="es-AR" sz="1400" baseline="0"/>
                  <a:t> de Retención</a:t>
                </a:r>
                <a:endParaRPr lang="es-AR" sz="1400"/>
              </a:p>
            </c:rich>
          </c:tx>
          <c:layout>
            <c:manualLayout>
              <c:xMode val="edge"/>
              <c:yMode val="edge"/>
              <c:x val="1.9199999999999998E-2"/>
              <c:y val="0.3767006519762426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26920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3.xml"/><Relationship Id="rId1" Type="http://schemas.openxmlformats.org/officeDocument/2006/relationships/image" Target="../media/image2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650876</xdr:colOff>
      <xdr:row>83</xdr:row>
      <xdr:rowOff>56692</xdr:rowOff>
    </xdr:from>
    <xdr:to>
      <xdr:col>14</xdr:col>
      <xdr:colOff>555624</xdr:colOff>
      <xdr:row>109</xdr:row>
      <xdr:rowOff>31749</xdr:rowOff>
    </xdr:to>
    <xdr:graphicFrame macro="">
      <xdr:nvGraphicFramePr>
        <xdr:cNvPr id="8" name="7 Gráfic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254000</xdr:colOff>
      <xdr:row>83</xdr:row>
      <xdr:rowOff>102054</xdr:rowOff>
    </xdr:from>
    <xdr:to>
      <xdr:col>6</xdr:col>
      <xdr:colOff>725713</xdr:colOff>
      <xdr:row>109</xdr:row>
      <xdr:rowOff>61232</xdr:rowOff>
    </xdr:to>
    <xdr:graphicFrame macro="">
      <xdr:nvGraphicFramePr>
        <xdr:cNvPr id="9" name="8 Gráfic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607783</xdr:colOff>
      <xdr:row>3</xdr:row>
      <xdr:rowOff>113393</xdr:rowOff>
    </xdr:from>
    <xdr:to>
      <xdr:col>7</xdr:col>
      <xdr:colOff>464908</xdr:colOff>
      <xdr:row>6</xdr:row>
      <xdr:rowOff>19099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rgbClr val="C00000">
              <a:tint val="45000"/>
              <a:satMod val="400000"/>
            </a:srgbClr>
          </a:duotone>
          <a:lum contrast="10000"/>
        </a:blip>
        <a:srcRect/>
        <a:stretch>
          <a:fillRect/>
        </a:stretch>
      </xdr:blipFill>
      <xdr:spPr bwMode="auto">
        <a:xfrm>
          <a:off x="5783033" y="1065893"/>
          <a:ext cx="3095625" cy="477206"/>
        </a:xfrm>
        <a:prstGeom prst="rect">
          <a:avLst/>
        </a:prstGeom>
        <a:noFill/>
        <a:ln w="19050">
          <a:solidFill>
            <a:srgbClr val="FF0000"/>
          </a:solidFill>
        </a:ln>
      </xdr:spPr>
    </xdr:pic>
    <xdr:clientData/>
  </xdr:twoCellAnchor>
  <xdr:twoCellAnchor>
    <xdr:from>
      <xdr:col>9</xdr:col>
      <xdr:colOff>1181554</xdr:colOff>
      <xdr:row>2</xdr:row>
      <xdr:rowOff>88447</xdr:rowOff>
    </xdr:from>
    <xdr:to>
      <xdr:col>12</xdr:col>
      <xdr:colOff>243708</xdr:colOff>
      <xdr:row>5</xdr:row>
      <xdr:rowOff>88447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659054" y="850447"/>
          <a:ext cx="2872154" cy="571500"/>
        </a:xfrm>
        <a:prstGeom prst="rect">
          <a:avLst/>
        </a:prstGeom>
        <a:noFill/>
        <a:ln>
          <a:solidFill>
            <a:schemeClr val="accent5">
              <a:lumMod val="75000"/>
            </a:schemeClr>
          </a:solidFill>
        </a:ln>
      </xdr:spPr>
    </xdr:pic>
    <xdr:clientData/>
  </xdr:twoCellAnchor>
  <xdr:twoCellAnchor editAs="oneCell">
    <xdr:from>
      <xdr:col>14</xdr:col>
      <xdr:colOff>349249</xdr:colOff>
      <xdr:row>24</xdr:row>
      <xdr:rowOff>127000</xdr:rowOff>
    </xdr:from>
    <xdr:to>
      <xdr:col>26</xdr:col>
      <xdr:colOff>403520</xdr:colOff>
      <xdr:row>50</xdr:row>
      <xdr:rowOff>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0137" t="36195" r="33016" b="27610"/>
        <a:stretch>
          <a:fillRect/>
        </a:stretch>
      </xdr:blipFill>
      <xdr:spPr bwMode="auto">
        <a:xfrm>
          <a:off x="16779874" y="6286500"/>
          <a:ext cx="9198271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5</xdr:row>
      <xdr:rowOff>1</xdr:rowOff>
    </xdr:from>
    <xdr:to>
      <xdr:col>4</xdr:col>
      <xdr:colOff>590550</xdr:colOff>
      <xdr:row>7</xdr:row>
      <xdr:rowOff>77659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571500" y="762001"/>
          <a:ext cx="2305050" cy="458658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</xdr:pic>
    <xdr:clientData/>
  </xdr:twoCellAnchor>
  <xdr:twoCellAnchor>
    <xdr:from>
      <xdr:col>18</xdr:col>
      <xdr:colOff>755197</xdr:colOff>
      <xdr:row>19</xdr:row>
      <xdr:rowOff>6800</xdr:rowOff>
    </xdr:from>
    <xdr:to>
      <xdr:col>28</xdr:col>
      <xdr:colOff>278948</xdr:colOff>
      <xdr:row>46</xdr:row>
      <xdr:rowOff>54427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145596</xdr:colOff>
      <xdr:row>2</xdr:row>
      <xdr:rowOff>170089</xdr:rowOff>
    </xdr:from>
    <xdr:to>
      <xdr:col>29</xdr:col>
      <xdr:colOff>117021</xdr:colOff>
      <xdr:row>17</xdr:row>
      <xdr:rowOff>9123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22255" t="20313" r="20278" b="15625"/>
        <a:stretch>
          <a:fillRect/>
        </a:stretch>
      </xdr:blipFill>
      <xdr:spPr bwMode="auto">
        <a:xfrm>
          <a:off x="17821275" y="551089"/>
          <a:ext cx="5305425" cy="33224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730706</xdr:colOff>
      <xdr:row>9</xdr:row>
      <xdr:rowOff>175531</xdr:rowOff>
    </xdr:from>
    <xdr:to>
      <xdr:col>25</xdr:col>
      <xdr:colOff>254456</xdr:colOff>
      <xdr:row>17</xdr:row>
      <xdr:rowOff>61231</xdr:rowOff>
    </xdr:to>
    <xdr:sp macro="" textlink="">
      <xdr:nvSpPr>
        <xdr:cNvPr id="7" name="6 Rectángulo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7644385" y="1890031"/>
          <a:ext cx="2571750" cy="203562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s-AR" sz="1100"/>
        </a:p>
      </xdr:txBody>
    </xdr:sp>
    <xdr:clientData/>
  </xdr:twoCellAnchor>
  <xdr:twoCellAnchor>
    <xdr:from>
      <xdr:col>19</xdr:col>
      <xdr:colOff>190499</xdr:colOff>
      <xdr:row>49</xdr:row>
      <xdr:rowOff>-1</xdr:rowOff>
    </xdr:from>
    <xdr:to>
      <xdr:col>28</xdr:col>
      <xdr:colOff>394607</xdr:colOff>
      <xdr:row>73</xdr:row>
      <xdr:rowOff>163285</xdr:rowOff>
    </xdr:to>
    <xdr:graphicFrame macro="">
      <xdr:nvGraphicFramePr>
        <xdr:cNvPr id="6" name="5 Gráfico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176891</xdr:colOff>
      <xdr:row>75</xdr:row>
      <xdr:rowOff>176892</xdr:rowOff>
    </xdr:from>
    <xdr:to>
      <xdr:col>28</xdr:col>
      <xdr:colOff>326570</xdr:colOff>
      <xdr:row>95</xdr:row>
      <xdr:rowOff>122464</xdr:rowOff>
    </xdr:to>
    <xdr:graphicFrame macro="">
      <xdr:nvGraphicFramePr>
        <xdr:cNvPr id="8" name="7 Gráfico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126207</xdr:colOff>
      <xdr:row>3</xdr:row>
      <xdr:rowOff>46011</xdr:rowOff>
    </xdr:from>
    <xdr:to>
      <xdr:col>21</xdr:col>
      <xdr:colOff>2382</xdr:colOff>
      <xdr:row>20</xdr:row>
      <xdr:rowOff>63050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6867" t="23958" r="23865" b="18490"/>
        <a:stretch>
          <a:fillRect/>
        </a:stretch>
      </xdr:blipFill>
      <xdr:spPr bwMode="auto">
        <a:xfrm>
          <a:off x="8901113" y="617511"/>
          <a:ext cx="5972175" cy="3958008"/>
        </a:xfrm>
        <a:prstGeom prst="rect">
          <a:avLst/>
        </a:prstGeom>
        <a:noFill/>
        <a:ln w="1">
          <a:solidFill>
            <a:schemeClr val="tx2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21</xdr:row>
      <xdr:rowOff>57151</xdr:rowOff>
    </xdr:from>
    <xdr:to>
      <xdr:col>20</xdr:col>
      <xdr:colOff>707279</xdr:colOff>
      <xdr:row>43</xdr:row>
      <xdr:rowOff>142875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7159" t="23438" r="28258" b="17838"/>
        <a:stretch>
          <a:fillRect/>
        </a:stretch>
      </xdr:blipFill>
      <xdr:spPr bwMode="auto">
        <a:xfrm>
          <a:off x="4867275" y="4857751"/>
          <a:ext cx="5993654" cy="4438650"/>
        </a:xfrm>
        <a:prstGeom prst="rect">
          <a:avLst/>
        </a:prstGeom>
        <a:noFill/>
        <a:ln w="1">
          <a:solidFill>
            <a:schemeClr val="tx2"/>
          </a:solidFill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309562</xdr:colOff>
      <xdr:row>4</xdr:row>
      <xdr:rowOff>119063</xdr:rowOff>
    </xdr:from>
    <xdr:to>
      <xdr:col>3</xdr:col>
      <xdr:colOff>78581</xdr:colOff>
      <xdr:row>7</xdr:row>
      <xdr:rowOff>6221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9562" y="881063"/>
          <a:ext cx="2305050" cy="458658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</xdr:pic>
    <xdr:clientData/>
  </xdr:twoCellAnchor>
  <xdr:twoCellAnchor>
    <xdr:from>
      <xdr:col>11</xdr:col>
      <xdr:colOff>571500</xdr:colOff>
      <xdr:row>45</xdr:row>
      <xdr:rowOff>15875</xdr:rowOff>
    </xdr:from>
    <xdr:to>
      <xdr:col>21</xdr:col>
      <xdr:colOff>738187</xdr:colOff>
      <xdr:row>70</xdr:row>
      <xdr:rowOff>59531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7</xdr:row>
      <xdr:rowOff>177344</xdr:rowOff>
    </xdr:from>
    <xdr:to>
      <xdr:col>15</xdr:col>
      <xdr:colOff>409333</xdr:colOff>
      <xdr:row>22</xdr:row>
      <xdr:rowOff>9525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3280" t="22266" r="18521" b="16797"/>
        <a:stretch>
          <a:fillRect/>
        </a:stretch>
      </xdr:blipFill>
      <xdr:spPr bwMode="auto">
        <a:xfrm>
          <a:off x="7334250" y="1510844"/>
          <a:ext cx="4714633" cy="277540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76200</xdr:colOff>
      <xdr:row>5</xdr:row>
      <xdr:rowOff>9525</xdr:rowOff>
    </xdr:from>
    <xdr:to>
      <xdr:col>2</xdr:col>
      <xdr:colOff>609600</xdr:colOff>
      <xdr:row>7</xdr:row>
      <xdr:rowOff>37906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6200" y="962025"/>
          <a:ext cx="2057400" cy="409381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</xdr:pic>
    <xdr:clientData/>
  </xdr:twoCellAnchor>
  <xdr:twoCellAnchor>
    <xdr:from>
      <xdr:col>9</xdr:col>
      <xdr:colOff>47624</xdr:colOff>
      <xdr:row>24</xdr:row>
      <xdr:rowOff>9524</xdr:rowOff>
    </xdr:from>
    <xdr:to>
      <xdr:col>16</xdr:col>
      <xdr:colOff>666749</xdr:colOff>
      <xdr:row>43</xdr:row>
      <xdr:rowOff>85724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2"/>
  <sheetViews>
    <sheetView topLeftCell="D1" zoomScale="70" zoomScaleNormal="70" workbookViewId="0">
      <selection activeCell="P65" sqref="P65"/>
    </sheetView>
  </sheetViews>
  <sheetFormatPr baseColWidth="10" defaultRowHeight="15" x14ac:dyDescent="0.25"/>
  <cols>
    <col min="1" max="1" width="15" customWidth="1"/>
    <col min="2" max="2" width="21.28515625" customWidth="1"/>
    <col min="3" max="3" width="26" customWidth="1"/>
    <col min="4" max="4" width="15.42578125" customWidth="1"/>
    <col min="5" max="5" width="17.5703125" customWidth="1"/>
    <col min="6" max="9" width="15.42578125" customWidth="1"/>
    <col min="10" max="10" width="21" customWidth="1"/>
    <col min="11" max="11" width="20.85546875" customWidth="1"/>
    <col min="12" max="12" width="15.140625" customWidth="1"/>
    <col min="13" max="13" width="20.7109375" customWidth="1"/>
  </cols>
  <sheetData>
    <row r="1" spans="1:23" ht="15" customHeight="1" x14ac:dyDescent="0.25">
      <c r="A1" s="72" t="s">
        <v>0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</row>
    <row r="2" spans="1:23" ht="45" customHeight="1" x14ac:dyDescent="0.25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</row>
    <row r="3" spans="1:23" ht="15" customHeight="1" x14ac:dyDescent="0.25"/>
    <row r="4" spans="1:23" ht="15" customHeight="1" x14ac:dyDescent="0.25"/>
    <row r="5" spans="1:23" ht="15" customHeight="1" x14ac:dyDescent="0.45">
      <c r="L5" s="1"/>
      <c r="M5" s="1"/>
      <c r="N5" s="1"/>
      <c r="O5" s="1"/>
      <c r="P5" s="1"/>
      <c r="Q5" s="1"/>
      <c r="V5" s="1"/>
      <c r="W5" s="1"/>
    </row>
    <row r="6" spans="1:23" ht="15" customHeight="1" x14ac:dyDescent="0.45">
      <c r="L6" s="1"/>
      <c r="N6" s="1"/>
      <c r="O6" s="1"/>
      <c r="P6" s="1"/>
      <c r="Q6" s="1"/>
      <c r="V6" s="1"/>
      <c r="W6" s="1"/>
    </row>
    <row r="7" spans="1:23" ht="18" customHeight="1" x14ac:dyDescent="0.25">
      <c r="J7" s="74" t="s">
        <v>20</v>
      </c>
      <c r="K7" s="75"/>
      <c r="L7" s="75"/>
      <c r="M7" s="76"/>
    </row>
    <row r="8" spans="1:23" ht="22.5" customHeight="1" x14ac:dyDescent="0.25">
      <c r="E8" s="66" t="s">
        <v>19</v>
      </c>
      <c r="F8" s="67"/>
      <c r="G8" s="67"/>
      <c r="H8" s="68"/>
      <c r="J8" s="69" t="s">
        <v>5</v>
      </c>
      <c r="K8" s="70"/>
      <c r="L8" s="69" t="s">
        <v>21</v>
      </c>
      <c r="M8" s="70"/>
    </row>
    <row r="9" spans="1:23" ht="19.5" customHeight="1" x14ac:dyDescent="0.25">
      <c r="E9" s="66" t="s">
        <v>36</v>
      </c>
      <c r="F9" s="67"/>
      <c r="G9" s="67" t="s">
        <v>21</v>
      </c>
      <c r="H9" s="68"/>
      <c r="J9" s="69" t="s">
        <v>22</v>
      </c>
      <c r="K9" s="70"/>
      <c r="L9" s="47">
        <v>0.40263219804762723</v>
      </c>
      <c r="M9" s="48"/>
    </row>
    <row r="10" spans="1:23" ht="20.25" customHeight="1" x14ac:dyDescent="0.25">
      <c r="E10" s="61" t="s">
        <v>13</v>
      </c>
      <c r="F10" s="62"/>
      <c r="G10" s="77">
        <f>INTERCEPT(F33:F55,G33:G55)</f>
        <v>15.579449896830408</v>
      </c>
      <c r="H10" s="78"/>
      <c r="J10" s="69" t="s">
        <v>6</v>
      </c>
      <c r="K10" s="70"/>
      <c r="L10" s="47">
        <v>41.23567822494671</v>
      </c>
      <c r="M10" s="48"/>
    </row>
    <row r="11" spans="1:23" ht="18.75" customHeight="1" x14ac:dyDescent="0.45">
      <c r="A11" s="1"/>
      <c r="B11" s="1"/>
      <c r="C11" s="1"/>
      <c r="D11" s="1"/>
      <c r="E11" s="61" t="s">
        <v>14</v>
      </c>
      <c r="F11" s="62"/>
      <c r="G11" s="77">
        <f>ABS(SLOPE(F33:F43,G33:G43))</f>
        <v>0.36571630047471881</v>
      </c>
      <c r="H11" s="78"/>
      <c r="I11" s="1"/>
      <c r="J11" s="69" t="s">
        <v>8</v>
      </c>
      <c r="K11" s="70"/>
      <c r="L11" s="47">
        <f>-LN(1/0.25-1)/L9+L10</f>
        <v>38.507102880015765</v>
      </c>
      <c r="M11" s="48"/>
    </row>
    <row r="12" spans="1:23" ht="21.75" customHeight="1" x14ac:dyDescent="0.45">
      <c r="A12" s="1"/>
      <c r="B12" s="1"/>
      <c r="C12" s="1"/>
      <c r="D12" s="1"/>
      <c r="E12" s="61" t="s">
        <v>2</v>
      </c>
      <c r="F12" s="62"/>
      <c r="G12" s="77">
        <f>G11</f>
        <v>0.36571630047471881</v>
      </c>
      <c r="H12" s="78"/>
      <c r="I12" s="1"/>
      <c r="J12" s="69" t="s">
        <v>7</v>
      </c>
      <c r="K12" s="70"/>
      <c r="L12" s="47">
        <f>-LN(1/0.75-1)/L9+L10</f>
        <v>43.964253569877656</v>
      </c>
      <c r="M12" s="48"/>
    </row>
    <row r="13" spans="1:23" ht="20.25" customHeight="1" x14ac:dyDescent="0.45">
      <c r="A13" s="1"/>
      <c r="B13" s="31" t="s">
        <v>1</v>
      </c>
      <c r="C13" s="31">
        <f>SUM(C21:C81,B21:B81)</f>
        <v>2686</v>
      </c>
      <c r="D13" s="1"/>
      <c r="E13" s="61" t="s">
        <v>15</v>
      </c>
      <c r="F13" s="62"/>
      <c r="G13" s="59">
        <f>ABS(G10/G11)</f>
        <v>42.599823624507493</v>
      </c>
      <c r="H13" s="60"/>
      <c r="I13" s="1"/>
      <c r="J13" s="69" t="s">
        <v>9</v>
      </c>
      <c r="K13" s="70"/>
      <c r="L13" s="47">
        <f>L12-L11</f>
        <v>5.4571506898618907</v>
      </c>
      <c r="M13" s="48"/>
    </row>
    <row r="14" spans="1:23" ht="28.5" customHeight="1" x14ac:dyDescent="0.45">
      <c r="A14" s="1"/>
      <c r="B14" s="30"/>
      <c r="C14" s="30"/>
      <c r="D14" s="1"/>
      <c r="E14" s="61" t="s">
        <v>16</v>
      </c>
      <c r="F14" s="62"/>
      <c r="G14" s="59">
        <f>(G10-LN(3))/G11</f>
        <v>39.59582219705662</v>
      </c>
      <c r="H14" s="60"/>
      <c r="I14" s="1"/>
      <c r="J14" s="24"/>
      <c r="K14" s="24"/>
      <c r="L14" s="24"/>
      <c r="M14" s="24"/>
    </row>
    <row r="15" spans="1:23" ht="28.5" x14ac:dyDescent="0.45">
      <c r="A15" s="1"/>
      <c r="B15" s="30"/>
      <c r="C15" s="30"/>
      <c r="D15" s="1"/>
      <c r="E15" s="61" t="s">
        <v>17</v>
      </c>
      <c r="F15" s="62"/>
      <c r="G15" s="59">
        <f>(LN(3)+G10)/G11</f>
        <v>45.603825051958374</v>
      </c>
      <c r="H15" s="60"/>
      <c r="I15">
        <v>0.25</v>
      </c>
      <c r="J15" s="24"/>
      <c r="K15" s="24"/>
      <c r="L15" s="71" t="s">
        <v>25</v>
      </c>
      <c r="M15" s="71"/>
    </row>
    <row r="16" spans="1:23" ht="28.5" x14ac:dyDescent="0.45">
      <c r="A16" s="1"/>
      <c r="B16" s="31" t="s">
        <v>3</v>
      </c>
      <c r="C16" s="31">
        <f>SUM(B21:B81)</f>
        <v>1362</v>
      </c>
      <c r="D16" s="1"/>
      <c r="E16" s="61" t="s">
        <v>9</v>
      </c>
      <c r="F16" s="62"/>
      <c r="G16" s="59">
        <f>G15-G14</f>
        <v>6.0080028549017541</v>
      </c>
      <c r="H16" s="60"/>
      <c r="I16">
        <v>0.75</v>
      </c>
      <c r="J16" s="24"/>
      <c r="K16" s="24"/>
      <c r="L16" s="45">
        <f>SUM(K21:K81)</f>
        <v>-27.088770304813771</v>
      </c>
      <c r="M16" s="46"/>
    </row>
    <row r="17" spans="1:11" ht="28.5" x14ac:dyDescent="0.45">
      <c r="A17" s="1"/>
      <c r="B17" s="1"/>
      <c r="C17" s="1"/>
      <c r="D17" s="1"/>
      <c r="E17" s="1"/>
      <c r="F17" s="1"/>
      <c r="G17" s="1"/>
      <c r="H17" s="1"/>
      <c r="K17" s="1"/>
    </row>
    <row r="18" spans="1:11" x14ac:dyDescent="0.25">
      <c r="A18" s="57" t="s">
        <v>49</v>
      </c>
      <c r="B18" s="57" t="s">
        <v>50</v>
      </c>
      <c r="C18" s="57" t="s">
        <v>51</v>
      </c>
      <c r="D18" s="57" t="s">
        <v>52</v>
      </c>
      <c r="E18" s="65" t="s">
        <v>53</v>
      </c>
      <c r="F18" s="57" t="s">
        <v>12</v>
      </c>
      <c r="G18" s="57" t="s">
        <v>11</v>
      </c>
      <c r="H18" s="57" t="s">
        <v>23</v>
      </c>
      <c r="I18" s="57" t="s">
        <v>24</v>
      </c>
      <c r="J18" s="58" t="s">
        <v>10</v>
      </c>
      <c r="K18" s="58" t="s">
        <v>18</v>
      </c>
    </row>
    <row r="19" spans="1:11" x14ac:dyDescent="0.25">
      <c r="A19" s="58"/>
      <c r="B19" s="57"/>
      <c r="C19" s="57"/>
      <c r="D19" s="58"/>
      <c r="E19" s="65"/>
      <c r="F19" s="57"/>
      <c r="G19" s="57"/>
      <c r="H19" s="57"/>
      <c r="I19" s="57"/>
      <c r="J19" s="58"/>
      <c r="K19" s="58"/>
    </row>
    <row r="20" spans="1:11" x14ac:dyDescent="0.25">
      <c r="A20" s="63"/>
      <c r="B20" s="64"/>
      <c r="C20" s="64"/>
      <c r="D20" s="58"/>
      <c r="E20" s="65"/>
      <c r="F20" s="57"/>
      <c r="G20" s="57"/>
      <c r="H20" s="57"/>
      <c r="I20" s="57"/>
      <c r="J20" s="58"/>
      <c r="K20" s="58"/>
    </row>
    <row r="21" spans="1:11" ht="15.75" x14ac:dyDescent="0.25">
      <c r="A21" s="3">
        <v>20</v>
      </c>
      <c r="B21" s="4">
        <v>0</v>
      </c>
      <c r="C21" s="4">
        <v>0</v>
      </c>
      <c r="D21" s="44">
        <f>C21+B21</f>
        <v>0</v>
      </c>
      <c r="E21" s="4" t="str">
        <f>IFERROR(B21/D21,"0")</f>
        <v>0</v>
      </c>
      <c r="F21" s="12"/>
      <c r="G21" s="12"/>
      <c r="H21" s="10">
        <f t="shared" ref="H21:H52" si="0">1/(1+EXP($G$10-$G$11*A21))</f>
        <v>2.5727083603016522E-4</v>
      </c>
      <c r="I21" s="11">
        <f>1/(1+EXP((-$L$9)*(A21-$L$10)))</f>
        <v>1.9347518538032773E-4</v>
      </c>
      <c r="J21" s="13">
        <f>IF(ISERROR(COMBIN(D21,B21)*(I21^B21)*((1-I21)^C21)),"",COMBIN(D21,B21) *(I21^B21)*((1-I21)^C21))</f>
        <v>1</v>
      </c>
      <c r="K21" s="14">
        <f>IF(ISERROR(LOG(J21)),"",LOG(J21))</f>
        <v>0</v>
      </c>
    </row>
    <row r="22" spans="1:11" ht="15.75" x14ac:dyDescent="0.25">
      <c r="A22" s="5">
        <v>21</v>
      </c>
      <c r="B22" s="4">
        <v>0</v>
      </c>
      <c r="C22" s="4">
        <v>0</v>
      </c>
      <c r="D22" s="44">
        <f t="shared" ref="D22:D81" si="1">C22+B22</f>
        <v>0</v>
      </c>
      <c r="E22" s="4" t="str">
        <f t="shared" ref="E22:E81" si="2">IFERROR(B22/D22,"0")</f>
        <v>0</v>
      </c>
      <c r="F22" s="12"/>
      <c r="G22" s="12"/>
      <c r="H22" s="10">
        <f t="shared" si="0"/>
        <v>3.7082567617933521E-4</v>
      </c>
      <c r="I22" s="11">
        <f t="shared" ref="I22:I52" si="3">1/(1+EXP((-$L$9)*(A22-$L$10)))</f>
        <v>2.8936403998912563E-4</v>
      </c>
      <c r="J22" s="13">
        <f t="shared" ref="J22:J81" si="4">IF(ISERROR(COMBIN(D22,B22)*(I22^B22)*((1-I22)^C22)),"",COMBIN(D22,B22) *(I22^B22)*((1-I22)^C22))</f>
        <v>1</v>
      </c>
      <c r="K22" s="14">
        <f t="shared" ref="K22:K81" si="5">IF(ISERROR(LOG(J22)),"",LOG(J22))</f>
        <v>0</v>
      </c>
    </row>
    <row r="23" spans="1:11" ht="15.75" x14ac:dyDescent="0.25">
      <c r="A23" s="5">
        <v>22</v>
      </c>
      <c r="B23" s="4">
        <v>0</v>
      </c>
      <c r="C23" s="4">
        <v>0</v>
      </c>
      <c r="D23" s="44">
        <f t="shared" si="1"/>
        <v>0</v>
      </c>
      <c r="E23" s="4" t="str">
        <f t="shared" si="2"/>
        <v>0</v>
      </c>
      <c r="F23" s="12"/>
      <c r="G23" s="12"/>
      <c r="H23" s="10">
        <f t="shared" si="0"/>
        <v>5.3447483814521334E-4</v>
      </c>
      <c r="I23" s="11">
        <f t="shared" si="3"/>
        <v>4.3275610592440105E-4</v>
      </c>
      <c r="J23" s="13">
        <f t="shared" si="4"/>
        <v>1</v>
      </c>
      <c r="K23" s="14">
        <f t="shared" si="5"/>
        <v>0</v>
      </c>
    </row>
    <row r="24" spans="1:11" ht="15.75" x14ac:dyDescent="0.25">
      <c r="A24" s="5">
        <v>23</v>
      </c>
      <c r="B24" s="4">
        <v>0</v>
      </c>
      <c r="C24" s="4">
        <v>2</v>
      </c>
      <c r="D24" s="44">
        <f t="shared" si="1"/>
        <v>2</v>
      </c>
      <c r="E24" s="4">
        <f t="shared" si="2"/>
        <v>0</v>
      </c>
      <c r="F24" s="12"/>
      <c r="G24" s="12"/>
      <c r="H24" s="10">
        <f t="shared" si="0"/>
        <v>7.7028839742168816E-4</v>
      </c>
      <c r="I24" s="11">
        <f t="shared" si="3"/>
        <v>6.4715897991479753E-4</v>
      </c>
      <c r="J24" s="13">
        <f t="shared" si="4"/>
        <v>0.99870610085491562</v>
      </c>
      <c r="K24" s="14">
        <f t="shared" si="5"/>
        <v>-5.6229711522725917E-4</v>
      </c>
    </row>
    <row r="25" spans="1:11" ht="15.75" x14ac:dyDescent="0.25">
      <c r="A25" s="5">
        <v>24</v>
      </c>
      <c r="B25" s="4">
        <v>0</v>
      </c>
      <c r="C25" s="4">
        <v>0</v>
      </c>
      <c r="D25" s="44">
        <f t="shared" si="1"/>
        <v>0</v>
      </c>
      <c r="E25" s="4" t="str">
        <f t="shared" si="2"/>
        <v>0</v>
      </c>
      <c r="F25" s="12"/>
      <c r="G25" s="12"/>
      <c r="H25" s="10">
        <f t="shared" si="0"/>
        <v>1.1100287858884803E-3</v>
      </c>
      <c r="I25" s="11">
        <f t="shared" si="3"/>
        <v>9.6768188205510676E-4</v>
      </c>
      <c r="J25" s="13">
        <f t="shared" si="4"/>
        <v>1</v>
      </c>
      <c r="K25" s="14">
        <f t="shared" si="5"/>
        <v>0</v>
      </c>
    </row>
    <row r="26" spans="1:11" ht="15.75" x14ac:dyDescent="0.25">
      <c r="A26" s="5">
        <v>25</v>
      </c>
      <c r="B26" s="4">
        <v>0</v>
      </c>
      <c r="C26" s="4">
        <v>0</v>
      </c>
      <c r="D26" s="44">
        <f t="shared" si="1"/>
        <v>0</v>
      </c>
      <c r="E26" s="4" t="str">
        <f t="shared" si="2"/>
        <v>0</v>
      </c>
      <c r="F26" s="12"/>
      <c r="G26" s="12"/>
      <c r="H26" s="10">
        <f t="shared" si="0"/>
        <v>1.5993738993498974E-3</v>
      </c>
      <c r="I26" s="11">
        <f t="shared" si="3"/>
        <v>1.4467225654343735E-3</v>
      </c>
      <c r="J26" s="13">
        <f t="shared" si="4"/>
        <v>1</v>
      </c>
      <c r="K26" s="14">
        <f t="shared" si="5"/>
        <v>0</v>
      </c>
    </row>
    <row r="27" spans="1:11" ht="15.75" x14ac:dyDescent="0.25">
      <c r="A27" s="5">
        <v>26</v>
      </c>
      <c r="B27" s="4">
        <v>0</v>
      </c>
      <c r="C27" s="4">
        <v>2</v>
      </c>
      <c r="D27" s="44">
        <f t="shared" si="1"/>
        <v>2</v>
      </c>
      <c r="E27" s="4">
        <f t="shared" si="2"/>
        <v>0</v>
      </c>
      <c r="F27" s="12"/>
      <c r="G27" s="12"/>
      <c r="H27" s="10">
        <f t="shared" si="0"/>
        <v>2.3039443570910673E-3</v>
      </c>
      <c r="I27" s="11">
        <f t="shared" si="3"/>
        <v>2.1623939781945526E-3</v>
      </c>
      <c r="J27" s="13">
        <f t="shared" si="4"/>
        <v>0.99567988799132789</v>
      </c>
      <c r="K27" s="14">
        <f>IF(ISERROR(LOG(J27)),"",LOG(J27))</f>
        <v>-1.8802652154127411E-3</v>
      </c>
    </row>
    <row r="28" spans="1:11" ht="15.75" x14ac:dyDescent="0.25">
      <c r="A28" s="5">
        <v>27</v>
      </c>
      <c r="B28" s="4">
        <v>0</v>
      </c>
      <c r="C28" s="4">
        <v>5</v>
      </c>
      <c r="D28" s="44">
        <f t="shared" si="1"/>
        <v>5</v>
      </c>
      <c r="E28" s="4">
        <f t="shared" si="2"/>
        <v>0</v>
      </c>
      <c r="F28" s="12"/>
      <c r="G28" s="12"/>
      <c r="H28" s="10">
        <f t="shared" si="0"/>
        <v>3.3178670167550339E-3</v>
      </c>
      <c r="I28" s="11">
        <f t="shared" si="3"/>
        <v>3.2309515205538372E-3</v>
      </c>
      <c r="J28" s="13">
        <f t="shared" si="4"/>
        <v>0.9839492961384575</v>
      </c>
      <c r="K28" s="14">
        <f t="shared" si="5"/>
        <v>-7.0272806079225295E-3</v>
      </c>
    </row>
    <row r="29" spans="1:11" ht="15.75" x14ac:dyDescent="0.25">
      <c r="A29" s="5">
        <v>28</v>
      </c>
      <c r="B29" s="4">
        <v>0</v>
      </c>
      <c r="C29" s="4">
        <v>10</v>
      </c>
      <c r="D29" s="44">
        <f t="shared" si="1"/>
        <v>10</v>
      </c>
      <c r="E29" s="4">
        <f t="shared" si="2"/>
        <v>0</v>
      </c>
      <c r="F29" s="12"/>
      <c r="G29" s="12"/>
      <c r="H29" s="10">
        <f t="shared" si="0"/>
        <v>4.7758620540575983E-3</v>
      </c>
      <c r="I29" s="11">
        <f t="shared" si="3"/>
        <v>4.8249887156760901E-3</v>
      </c>
      <c r="J29" s="13">
        <f t="shared" si="4"/>
        <v>0.95278436984068471</v>
      </c>
      <c r="K29" s="14">
        <f t="shared" si="5"/>
        <v>-2.1005375945534959E-2</v>
      </c>
    </row>
    <row r="30" spans="1:11" ht="15.75" x14ac:dyDescent="0.25">
      <c r="A30" s="5">
        <v>29</v>
      </c>
      <c r="B30" s="4">
        <v>0</v>
      </c>
      <c r="C30" s="4">
        <v>18</v>
      </c>
      <c r="D30" s="44">
        <f t="shared" si="1"/>
        <v>18</v>
      </c>
      <c r="E30" s="4">
        <f t="shared" si="2"/>
        <v>0</v>
      </c>
      <c r="F30" s="12"/>
      <c r="G30" s="12"/>
      <c r="H30" s="10">
        <f t="shared" si="0"/>
        <v>6.8701383855256006E-3</v>
      </c>
      <c r="I30" s="11">
        <f t="shared" si="3"/>
        <v>7.1997869132970236E-3</v>
      </c>
      <c r="J30" s="13">
        <f t="shared" si="4"/>
        <v>0.87803840198923433</v>
      </c>
      <c r="K30" s="14">
        <f t="shared" si="5"/>
        <v>-5.6486489324759873E-2</v>
      </c>
    </row>
    <row r="31" spans="1:11" ht="15.75" x14ac:dyDescent="0.25">
      <c r="A31" s="3">
        <v>30</v>
      </c>
      <c r="B31" s="4">
        <v>0</v>
      </c>
      <c r="C31" s="4">
        <v>40</v>
      </c>
      <c r="D31" s="44">
        <f t="shared" si="1"/>
        <v>40</v>
      </c>
      <c r="E31" s="4">
        <f t="shared" si="2"/>
        <v>0</v>
      </c>
      <c r="F31" s="12"/>
      <c r="G31" s="12"/>
      <c r="H31" s="10">
        <f t="shared" si="0"/>
        <v>9.873670393854941E-3</v>
      </c>
      <c r="I31" s="11">
        <f t="shared" si="3"/>
        <v>1.073082714716651E-2</v>
      </c>
      <c r="J31" s="13">
        <f t="shared" si="4"/>
        <v>0.6494998277035734</v>
      </c>
      <c r="K31" s="14">
        <f t="shared" si="5"/>
        <v>-0.18742095979864731</v>
      </c>
    </row>
    <row r="32" spans="1:11" ht="15.75" x14ac:dyDescent="0.25">
      <c r="A32" s="5">
        <v>31</v>
      </c>
      <c r="B32" s="4">
        <v>0</v>
      </c>
      <c r="C32" s="4">
        <v>88</v>
      </c>
      <c r="D32" s="44">
        <f t="shared" si="1"/>
        <v>88</v>
      </c>
      <c r="E32" s="4">
        <f t="shared" si="2"/>
        <v>0</v>
      </c>
      <c r="F32" s="12"/>
      <c r="G32" s="12"/>
      <c r="H32" s="10">
        <f t="shared" si="0"/>
        <v>1.4171568690076929E-2</v>
      </c>
      <c r="I32" s="11">
        <f t="shared" si="3"/>
        <v>1.5965770083363903E-2</v>
      </c>
      <c r="J32" s="13">
        <f t="shared" si="4"/>
        <v>0.24260408334562047</v>
      </c>
      <c r="K32" s="14">
        <f t="shared" si="5"/>
        <v>-0.61510189366092782</v>
      </c>
    </row>
    <row r="33" spans="1:11" ht="15.75" x14ac:dyDescent="0.25">
      <c r="A33" s="5">
        <v>32</v>
      </c>
      <c r="B33" s="4">
        <v>2</v>
      </c>
      <c r="C33" s="4">
        <v>128</v>
      </c>
      <c r="D33" s="44">
        <f t="shared" si="1"/>
        <v>130</v>
      </c>
      <c r="E33" s="6">
        <f t="shared" si="2"/>
        <v>1.5384615384615385E-2</v>
      </c>
      <c r="F33" s="10">
        <f t="shared" ref="F33:F55" si="6">LN(1/E33-1)</f>
        <v>4.1588830833596715</v>
      </c>
      <c r="G33" s="10">
        <f>A33</f>
        <v>32</v>
      </c>
      <c r="H33" s="10">
        <f t="shared" si="0"/>
        <v>2.0301933884437115E-2</v>
      </c>
      <c r="I33" s="11">
        <f t="shared" si="3"/>
        <v>2.3693370481466414E-2</v>
      </c>
      <c r="J33" s="13">
        <f t="shared" si="4"/>
        <v>0.21867305244995122</v>
      </c>
      <c r="K33" s="14">
        <f>IF(ISERROR(LOG(J33)),"",LOG(J33))</f>
        <v>-0.66020473270704016</v>
      </c>
    </row>
    <row r="34" spans="1:11" ht="15.75" x14ac:dyDescent="0.25">
      <c r="A34" s="5">
        <v>33</v>
      </c>
      <c r="B34" s="4">
        <v>7</v>
      </c>
      <c r="C34" s="4">
        <v>136</v>
      </c>
      <c r="D34" s="44">
        <f t="shared" si="1"/>
        <v>143</v>
      </c>
      <c r="E34" s="6">
        <f t="shared" si="2"/>
        <v>4.8951048951048952E-2</v>
      </c>
      <c r="F34" s="10">
        <f t="shared" si="6"/>
        <v>2.9667447366807385</v>
      </c>
      <c r="G34" s="10">
        <f t="shared" ref="G34:G55" si="7">A34</f>
        <v>33</v>
      </c>
      <c r="H34" s="10">
        <f t="shared" si="0"/>
        <v>2.9006157800561937E-2</v>
      </c>
      <c r="I34" s="11">
        <f t="shared" si="3"/>
        <v>3.5028071576837863E-2</v>
      </c>
      <c r="J34" s="13">
        <f t="shared" si="4"/>
        <v>0.10594134448301924</v>
      </c>
      <c r="K34" s="14">
        <f t="shared" si="5"/>
        <v>-0.97493451981035917</v>
      </c>
    </row>
    <row r="35" spans="1:11" ht="15.75" x14ac:dyDescent="0.25">
      <c r="A35" s="5">
        <v>34</v>
      </c>
      <c r="B35" s="4">
        <v>10</v>
      </c>
      <c r="C35" s="4">
        <v>160</v>
      </c>
      <c r="D35" s="44">
        <f t="shared" si="1"/>
        <v>170</v>
      </c>
      <c r="E35" s="6">
        <f t="shared" si="2"/>
        <v>5.8823529411764705E-2</v>
      </c>
      <c r="F35" s="10">
        <f t="shared" si="6"/>
        <v>2.7725887222397811</v>
      </c>
      <c r="G35" s="10">
        <f t="shared" si="7"/>
        <v>34</v>
      </c>
      <c r="H35" s="10">
        <f t="shared" si="0"/>
        <v>4.1284957553394556E-2</v>
      </c>
      <c r="I35" s="11">
        <f t="shared" si="3"/>
        <v>5.1499167329532705E-2</v>
      </c>
      <c r="J35" s="13">
        <f t="shared" si="4"/>
        <v>0.11792324734583939</v>
      </c>
      <c r="K35" s="14">
        <f t="shared" si="5"/>
        <v>-0.9284005698093083</v>
      </c>
    </row>
    <row r="36" spans="1:11" ht="15.75" x14ac:dyDescent="0.25">
      <c r="A36" s="5">
        <v>35</v>
      </c>
      <c r="B36" s="4">
        <v>9</v>
      </c>
      <c r="C36" s="4">
        <v>114</v>
      </c>
      <c r="D36" s="44">
        <f t="shared" si="1"/>
        <v>123</v>
      </c>
      <c r="E36" s="6">
        <f t="shared" si="2"/>
        <v>7.3170731707317069E-2</v>
      </c>
      <c r="F36" s="10">
        <f t="shared" si="6"/>
        <v>2.5389738710582761</v>
      </c>
      <c r="G36" s="10">
        <f t="shared" si="7"/>
        <v>35</v>
      </c>
      <c r="H36" s="10">
        <f t="shared" si="0"/>
        <v>5.8448700411563789E-2</v>
      </c>
      <c r="I36" s="11">
        <f t="shared" si="3"/>
        <v>7.5112520063547947E-2</v>
      </c>
      <c r="J36" s="13">
        <f t="shared" si="4"/>
        <v>0.13639072584222212</v>
      </c>
      <c r="K36" s="14">
        <f t="shared" si="5"/>
        <v>-0.86521515938980664</v>
      </c>
    </row>
    <row r="37" spans="1:11" ht="15.75" x14ac:dyDescent="0.25">
      <c r="A37" s="5">
        <v>36</v>
      </c>
      <c r="B37" s="4">
        <v>21</v>
      </c>
      <c r="C37" s="4">
        <v>95</v>
      </c>
      <c r="D37" s="44">
        <f t="shared" si="1"/>
        <v>116</v>
      </c>
      <c r="E37" s="6">
        <f t="shared" si="2"/>
        <v>0.18103448275862069</v>
      </c>
      <c r="F37" s="10">
        <f t="shared" si="6"/>
        <v>1.5093544538771178</v>
      </c>
      <c r="G37" s="10">
        <f t="shared" si="7"/>
        <v>36</v>
      </c>
      <c r="H37" s="10">
        <f t="shared" si="0"/>
        <v>8.2136734431143998E-2</v>
      </c>
      <c r="I37" s="11">
        <f t="shared" si="3"/>
        <v>0.10831660817757478</v>
      </c>
      <c r="J37" s="13">
        <f t="shared" si="4"/>
        <v>6.4086258504387822E-3</v>
      </c>
      <c r="K37" s="14">
        <f t="shared" si="5"/>
        <v>-2.1932350827353346</v>
      </c>
    </row>
    <row r="38" spans="1:11" ht="15.75" x14ac:dyDescent="0.25">
      <c r="A38" s="5">
        <v>37</v>
      </c>
      <c r="B38" s="4">
        <v>25</v>
      </c>
      <c r="C38" s="4">
        <v>94</v>
      </c>
      <c r="D38" s="44">
        <f t="shared" si="1"/>
        <v>119</v>
      </c>
      <c r="E38" s="6">
        <f t="shared" si="2"/>
        <v>0.21008403361344538</v>
      </c>
      <c r="F38" s="10">
        <f t="shared" si="6"/>
        <v>1.324418957401803</v>
      </c>
      <c r="G38" s="10">
        <f t="shared" si="7"/>
        <v>37</v>
      </c>
      <c r="H38" s="10">
        <f t="shared" si="0"/>
        <v>0.11426001227130547</v>
      </c>
      <c r="I38" s="11">
        <f t="shared" si="3"/>
        <v>0.15375865044357662</v>
      </c>
      <c r="J38" s="13">
        <f t="shared" si="4"/>
        <v>2.3694025224876725E-2</v>
      </c>
      <c r="K38" s="14">
        <f t="shared" si="5"/>
        <v>-1.6253611535256745</v>
      </c>
    </row>
    <row r="39" spans="1:11" ht="15.75" x14ac:dyDescent="0.25">
      <c r="A39" s="5">
        <v>38</v>
      </c>
      <c r="B39" s="4">
        <v>22</v>
      </c>
      <c r="C39" s="4">
        <v>87</v>
      </c>
      <c r="D39" s="44">
        <f t="shared" si="1"/>
        <v>109</v>
      </c>
      <c r="E39" s="6">
        <f t="shared" si="2"/>
        <v>0.20183486238532111</v>
      </c>
      <c r="F39" s="10">
        <f t="shared" si="6"/>
        <v>1.3748656652962679</v>
      </c>
      <c r="G39" s="10">
        <f t="shared" si="7"/>
        <v>38</v>
      </c>
      <c r="H39" s="10">
        <f t="shared" si="0"/>
        <v>0.15680034257669395</v>
      </c>
      <c r="I39" s="11">
        <f t="shared" si="3"/>
        <v>0.21369613541459723</v>
      </c>
      <c r="J39" s="13">
        <f t="shared" si="4"/>
        <v>9.0537844769144463E-2</v>
      </c>
      <c r="K39" s="14">
        <f t="shared" si="5"/>
        <v>-1.0431698479897435</v>
      </c>
    </row>
    <row r="40" spans="1:11" ht="15.75" x14ac:dyDescent="0.25">
      <c r="A40" s="5">
        <v>39</v>
      </c>
      <c r="B40" s="4">
        <v>40</v>
      </c>
      <c r="C40" s="4">
        <v>90</v>
      </c>
      <c r="D40" s="44">
        <f t="shared" si="1"/>
        <v>130</v>
      </c>
      <c r="E40" s="6">
        <f t="shared" si="2"/>
        <v>0.30769230769230771</v>
      </c>
      <c r="F40" s="10">
        <f t="shared" si="6"/>
        <v>0.81093021621632877</v>
      </c>
      <c r="G40" s="10">
        <f t="shared" si="7"/>
        <v>39</v>
      </c>
      <c r="H40" s="10">
        <f t="shared" si="0"/>
        <v>0.21139882797928583</v>
      </c>
      <c r="I40" s="11">
        <f t="shared" si="3"/>
        <v>0.28901843260694271</v>
      </c>
      <c r="J40" s="13">
        <f t="shared" si="4"/>
        <v>6.7824202349096419E-2</v>
      </c>
      <c r="K40" s="14">
        <f t="shared" si="5"/>
        <v>-1.1686153050845811</v>
      </c>
    </row>
    <row r="41" spans="1:11" ht="15.75" x14ac:dyDescent="0.25">
      <c r="A41" s="3">
        <v>40</v>
      </c>
      <c r="B41" s="4">
        <v>34</v>
      </c>
      <c r="C41" s="4">
        <v>85</v>
      </c>
      <c r="D41" s="44">
        <f t="shared" si="1"/>
        <v>119</v>
      </c>
      <c r="E41" s="6">
        <f t="shared" si="2"/>
        <v>0.2857142857142857</v>
      </c>
      <c r="F41" s="10">
        <f t="shared" si="6"/>
        <v>0.91629073187415511</v>
      </c>
      <c r="G41" s="10">
        <f t="shared" si="7"/>
        <v>40</v>
      </c>
      <c r="H41" s="10">
        <f t="shared" si="0"/>
        <v>0.27872439061016285</v>
      </c>
      <c r="I41" s="11">
        <f t="shared" si="3"/>
        <v>0.37812275184653071</v>
      </c>
      <c r="J41" s="13">
        <f t="shared" si="4"/>
        <v>8.524274467188302E-3</v>
      </c>
      <c r="K41" s="14">
        <f t="shared" si="5"/>
        <v>-2.0693425751865653</v>
      </c>
    </row>
    <row r="42" spans="1:11" ht="15.75" x14ac:dyDescent="0.25">
      <c r="A42" s="5">
        <v>41</v>
      </c>
      <c r="B42" s="4">
        <v>42</v>
      </c>
      <c r="C42" s="4">
        <v>59</v>
      </c>
      <c r="D42" s="44">
        <f t="shared" si="1"/>
        <v>101</v>
      </c>
      <c r="E42" s="6">
        <f t="shared" si="2"/>
        <v>0.41584158415841582</v>
      </c>
      <c r="F42" s="10">
        <f t="shared" si="6"/>
        <v>0.33986782562235107</v>
      </c>
      <c r="G42" s="10">
        <f t="shared" si="7"/>
        <v>41</v>
      </c>
      <c r="H42" s="10">
        <f t="shared" si="0"/>
        <v>0.35776416287777812</v>
      </c>
      <c r="I42" s="11">
        <f t="shared" si="3"/>
        <v>0.47629487447834307</v>
      </c>
      <c r="J42" s="13">
        <f t="shared" si="4"/>
        <v>3.8153465227896512E-2</v>
      </c>
      <c r="K42" s="14">
        <f t="shared" si="5"/>
        <v>-1.4184660118110533</v>
      </c>
    </row>
    <row r="43" spans="1:11" ht="15.75" x14ac:dyDescent="0.25">
      <c r="A43" s="5">
        <v>42</v>
      </c>
      <c r="B43" s="4">
        <v>42</v>
      </c>
      <c r="C43" s="4">
        <v>44</v>
      </c>
      <c r="D43" s="44">
        <f t="shared" si="1"/>
        <v>86</v>
      </c>
      <c r="E43" s="6">
        <f t="shared" si="2"/>
        <v>0.48837209302325579</v>
      </c>
      <c r="F43" s="10">
        <f t="shared" si="6"/>
        <v>4.6520015634893122E-2</v>
      </c>
      <c r="G43" s="10">
        <f t="shared" si="7"/>
        <v>42</v>
      </c>
      <c r="H43" s="10">
        <f t="shared" si="0"/>
        <v>0.44537754646107502</v>
      </c>
      <c r="I43" s="11">
        <f t="shared" si="3"/>
        <v>0.57633366096774563</v>
      </c>
      <c r="J43" s="13">
        <f t="shared" si="4"/>
        <v>2.2355552844765935E-2</v>
      </c>
      <c r="K43" s="14">
        <f t="shared" si="5"/>
        <v>-1.6506145857171119</v>
      </c>
    </row>
    <row r="44" spans="1:11" ht="15.75" x14ac:dyDescent="0.25">
      <c r="A44" s="5">
        <v>43</v>
      </c>
      <c r="B44" s="4">
        <v>37</v>
      </c>
      <c r="C44" s="4">
        <v>22</v>
      </c>
      <c r="D44" s="44">
        <f t="shared" si="1"/>
        <v>59</v>
      </c>
      <c r="E44" s="6">
        <f t="shared" si="2"/>
        <v>0.6271186440677966</v>
      </c>
      <c r="F44" s="10">
        <f t="shared" si="6"/>
        <v>-0.51987545928590873</v>
      </c>
      <c r="G44" s="10">
        <f t="shared" si="7"/>
        <v>43</v>
      </c>
      <c r="H44" s="10">
        <f t="shared" si="0"/>
        <v>0.5365225905242178</v>
      </c>
      <c r="I44" s="11">
        <f t="shared" si="3"/>
        <v>0.67048351966247899</v>
      </c>
      <c r="J44" s="13">
        <f t="shared" si="4"/>
        <v>8.3594401443731578E-2</v>
      </c>
      <c r="K44" s="14">
        <f t="shared" si="5"/>
        <v>-1.0778228075312208</v>
      </c>
    </row>
    <row r="45" spans="1:11" ht="15.75" x14ac:dyDescent="0.25">
      <c r="A45" s="5">
        <v>44</v>
      </c>
      <c r="B45" s="4">
        <v>48</v>
      </c>
      <c r="C45" s="4">
        <v>13</v>
      </c>
      <c r="D45" s="44">
        <f t="shared" si="1"/>
        <v>61</v>
      </c>
      <c r="E45" s="6">
        <f t="shared" si="2"/>
        <v>0.78688524590163933</v>
      </c>
      <c r="F45" s="10">
        <f t="shared" si="6"/>
        <v>-1.3062516534463544</v>
      </c>
      <c r="G45" s="10">
        <f t="shared" si="7"/>
        <v>44</v>
      </c>
      <c r="H45" s="10">
        <f t="shared" si="0"/>
        <v>0.62529097830488978</v>
      </c>
      <c r="I45" s="11">
        <f t="shared" si="3"/>
        <v>0.75268890291423252</v>
      </c>
      <c r="J45" s="13">
        <f t="shared" si="4"/>
        <v>0.10163120245639273</v>
      </c>
      <c r="K45" s="14">
        <f t="shared" si="5"/>
        <v>-0.99297293600661163</v>
      </c>
    </row>
    <row r="46" spans="1:11" ht="15.75" x14ac:dyDescent="0.25">
      <c r="A46" s="5">
        <v>45</v>
      </c>
      <c r="B46" s="4">
        <v>65</v>
      </c>
      <c r="C46" s="4">
        <v>12</v>
      </c>
      <c r="D46" s="44">
        <f t="shared" si="1"/>
        <v>77</v>
      </c>
      <c r="E46" s="6">
        <f t="shared" si="2"/>
        <v>0.8441558441558441</v>
      </c>
      <c r="F46" s="10">
        <f t="shared" si="6"/>
        <v>-1.6894806201076367</v>
      </c>
      <c r="G46" s="10">
        <f t="shared" si="7"/>
        <v>45</v>
      </c>
      <c r="H46" s="10">
        <f t="shared" si="0"/>
        <v>0.70636272319900506</v>
      </c>
      <c r="I46" s="11">
        <f t="shared" si="3"/>
        <v>0.81989513014203641</v>
      </c>
      <c r="J46" s="13">
        <f t="shared" si="4"/>
        <v>0.10613148504085752</v>
      </c>
      <c r="K46" s="14">
        <f t="shared" si="5"/>
        <v>-0.97415575887839723</v>
      </c>
    </row>
    <row r="47" spans="1:11" ht="15.75" x14ac:dyDescent="0.25">
      <c r="A47" s="5">
        <v>46</v>
      </c>
      <c r="B47" s="4">
        <v>51</v>
      </c>
      <c r="C47" s="4">
        <v>8</v>
      </c>
      <c r="D47" s="44">
        <f t="shared" si="1"/>
        <v>59</v>
      </c>
      <c r="E47" s="6">
        <f t="shared" si="2"/>
        <v>0.86440677966101698</v>
      </c>
      <c r="F47" s="10">
        <f t="shared" si="6"/>
        <v>-1.8523840910444906</v>
      </c>
      <c r="G47" s="10">
        <f t="shared" si="7"/>
        <v>46</v>
      </c>
      <c r="H47" s="10">
        <f t="shared" si="0"/>
        <v>0.77617263926282321</v>
      </c>
      <c r="I47" s="11">
        <f t="shared" si="3"/>
        <v>0.87194531923806173</v>
      </c>
      <c r="J47" s="13">
        <f t="shared" si="4"/>
        <v>0.14790180435134009</v>
      </c>
      <c r="K47" s="14">
        <f t="shared" si="5"/>
        <v>-0.83002652772690433</v>
      </c>
    </row>
    <row r="48" spans="1:11" ht="15.75" x14ac:dyDescent="0.25">
      <c r="A48" s="5">
        <v>47</v>
      </c>
      <c r="B48" s="4">
        <v>72</v>
      </c>
      <c r="C48" s="4">
        <v>0</v>
      </c>
      <c r="D48" s="44">
        <f t="shared" si="1"/>
        <v>72</v>
      </c>
      <c r="E48" s="4">
        <f t="shared" si="2"/>
        <v>1</v>
      </c>
      <c r="F48" s="12"/>
      <c r="G48" s="10">
        <f t="shared" si="7"/>
        <v>47</v>
      </c>
      <c r="H48" s="10">
        <f t="shared" si="0"/>
        <v>0.83330254120350988</v>
      </c>
      <c r="I48" s="11">
        <f t="shared" si="3"/>
        <v>0.91059336552932335</v>
      </c>
      <c r="J48" s="13">
        <f t="shared" si="4"/>
        <v>1.1785898246110507E-3</v>
      </c>
      <c r="K48" s="14">
        <f t="shared" si="5"/>
        <v>-2.9286373127185108</v>
      </c>
    </row>
    <row r="49" spans="1:11" ht="15.75" x14ac:dyDescent="0.25">
      <c r="A49" s="5">
        <v>48</v>
      </c>
      <c r="B49" s="4">
        <v>64</v>
      </c>
      <c r="C49" s="4">
        <v>4</v>
      </c>
      <c r="D49" s="44">
        <f t="shared" si="1"/>
        <v>68</v>
      </c>
      <c r="E49" s="6">
        <f t="shared" si="2"/>
        <v>0.94117647058823528</v>
      </c>
      <c r="F49" s="10">
        <f t="shared" si="6"/>
        <v>-2.7725887222397811</v>
      </c>
      <c r="G49" s="10">
        <f t="shared" si="7"/>
        <v>48</v>
      </c>
      <c r="H49" s="10">
        <f t="shared" si="0"/>
        <v>0.87813992900407167</v>
      </c>
      <c r="I49" s="11">
        <f t="shared" si="3"/>
        <v>0.9384011166639713</v>
      </c>
      <c r="J49" s="13">
        <f t="shared" si="4"/>
        <v>0.20044080628815011</v>
      </c>
      <c r="K49" s="14">
        <f t="shared" si="5"/>
        <v>-0.69801385894397849</v>
      </c>
    </row>
    <row r="50" spans="1:11" ht="15.75" x14ac:dyDescent="0.25">
      <c r="A50" s="5">
        <v>49</v>
      </c>
      <c r="B50" s="4">
        <v>53</v>
      </c>
      <c r="C50" s="4">
        <v>4</v>
      </c>
      <c r="D50" s="44">
        <f t="shared" si="1"/>
        <v>57</v>
      </c>
      <c r="E50" s="6">
        <f t="shared" si="2"/>
        <v>0.92982456140350878</v>
      </c>
      <c r="F50" s="10">
        <f t="shared" si="6"/>
        <v>-2.5839975524322316</v>
      </c>
      <c r="G50" s="10">
        <f t="shared" si="7"/>
        <v>49</v>
      </c>
      <c r="H50" s="10">
        <f t="shared" si="0"/>
        <v>0.91218807071408758</v>
      </c>
      <c r="I50" s="11">
        <f t="shared" si="3"/>
        <v>0.95795925354843836</v>
      </c>
      <c r="J50" s="13">
        <f t="shared" si="4"/>
        <v>0.12667261049458095</v>
      </c>
      <c r="K50" s="14">
        <f t="shared" si="5"/>
        <v>-0.89731727933100169</v>
      </c>
    </row>
    <row r="51" spans="1:11" ht="15.75" x14ac:dyDescent="0.25">
      <c r="A51" s="3">
        <v>50</v>
      </c>
      <c r="B51" s="4">
        <v>86</v>
      </c>
      <c r="C51" s="4">
        <v>0</v>
      </c>
      <c r="D51" s="44">
        <f t="shared" si="1"/>
        <v>86</v>
      </c>
      <c r="E51" s="4">
        <f t="shared" si="2"/>
        <v>1</v>
      </c>
      <c r="F51" s="12"/>
      <c r="G51" s="10">
        <f t="shared" si="7"/>
        <v>50</v>
      </c>
      <c r="H51" s="10">
        <f t="shared" si="0"/>
        <v>0.93740119236420727</v>
      </c>
      <c r="I51" s="11">
        <f t="shared" si="3"/>
        <v>0.97149615001913547</v>
      </c>
      <c r="J51" s="13">
        <f t="shared" si="4"/>
        <v>8.3163586741220152E-2</v>
      </c>
      <c r="K51" s="14">
        <f t="shared" si="5"/>
        <v>-1.0800667883601862</v>
      </c>
    </row>
    <row r="52" spans="1:11" ht="15.75" x14ac:dyDescent="0.25">
      <c r="A52" s="5">
        <v>51</v>
      </c>
      <c r="B52" s="4">
        <v>80</v>
      </c>
      <c r="C52" s="4">
        <v>2</v>
      </c>
      <c r="D52" s="44">
        <f t="shared" si="1"/>
        <v>82</v>
      </c>
      <c r="E52" s="6">
        <f t="shared" si="2"/>
        <v>0.97560975609756095</v>
      </c>
      <c r="F52" s="10">
        <f t="shared" si="6"/>
        <v>-3.6888794541139309</v>
      </c>
      <c r="G52" s="10">
        <f t="shared" si="7"/>
        <v>51</v>
      </c>
      <c r="H52" s="10">
        <f t="shared" si="0"/>
        <v>0.95572632850604011</v>
      </c>
      <c r="I52" s="11">
        <f t="shared" si="3"/>
        <v>0.98076177373325402</v>
      </c>
      <c r="J52" s="13">
        <f t="shared" si="4"/>
        <v>0.25982525620566654</v>
      </c>
      <c r="K52" s="14">
        <f t="shared" si="5"/>
        <v>-0.58531863579710586</v>
      </c>
    </row>
    <row r="53" spans="1:11" ht="15.75" x14ac:dyDescent="0.25">
      <c r="A53" s="5">
        <v>52</v>
      </c>
      <c r="B53" s="4">
        <v>69</v>
      </c>
      <c r="C53" s="4">
        <v>1</v>
      </c>
      <c r="D53" s="44">
        <f t="shared" si="1"/>
        <v>70</v>
      </c>
      <c r="E53" s="6">
        <f t="shared" si="2"/>
        <v>0.98571428571428577</v>
      </c>
      <c r="F53" s="10">
        <f t="shared" si="6"/>
        <v>-4.2341065045972703</v>
      </c>
      <c r="G53" s="10">
        <f t="shared" si="7"/>
        <v>52</v>
      </c>
      <c r="H53" s="10">
        <f t="shared" ref="H53:H81" si="8">1/(1+EXP($G$10-$G$11*A53))</f>
        <v>0.96886515181954125</v>
      </c>
      <c r="I53" s="11">
        <f t="shared" ref="I53:I81" si="9">1/(1+EXP((-$L$9)*(A53-$L$10)))</f>
        <v>0.98705559270188914</v>
      </c>
      <c r="J53" s="13">
        <f t="shared" si="4"/>
        <v>0.36876657272440899</v>
      </c>
      <c r="K53" s="14">
        <f t="shared" si="5"/>
        <v>-0.43324845296353381</v>
      </c>
    </row>
    <row r="54" spans="1:11" ht="15.75" x14ac:dyDescent="0.25">
      <c r="A54" s="5">
        <v>53</v>
      </c>
      <c r="B54" s="4">
        <v>75</v>
      </c>
      <c r="C54" s="4">
        <v>0</v>
      </c>
      <c r="D54" s="44">
        <f t="shared" si="1"/>
        <v>75</v>
      </c>
      <c r="E54" s="4">
        <f t="shared" si="2"/>
        <v>1</v>
      </c>
      <c r="F54" s="12"/>
      <c r="G54" s="10">
        <f t="shared" si="7"/>
        <v>53</v>
      </c>
      <c r="H54" s="10">
        <f t="shared" si="8"/>
        <v>0.97819381176272857</v>
      </c>
      <c r="I54" s="11">
        <f t="shared" si="9"/>
        <v>0.99130862479098769</v>
      </c>
      <c r="J54" s="13">
        <f t="shared" si="4"/>
        <v>0.51959666521337877</v>
      </c>
      <c r="K54" s="14">
        <f t="shared" si="5"/>
        <v>-0.2843336449047747</v>
      </c>
    </row>
    <row r="55" spans="1:11" ht="15.75" x14ac:dyDescent="0.25">
      <c r="A55" s="5">
        <v>54</v>
      </c>
      <c r="B55" s="4">
        <v>66</v>
      </c>
      <c r="C55" s="4">
        <v>1</v>
      </c>
      <c r="D55" s="44">
        <f t="shared" si="1"/>
        <v>67</v>
      </c>
      <c r="E55" s="6">
        <f t="shared" si="2"/>
        <v>0.9850746268656716</v>
      </c>
      <c r="F55" s="10">
        <f t="shared" si="6"/>
        <v>-4.1896547420264261</v>
      </c>
      <c r="G55" s="10">
        <f t="shared" si="7"/>
        <v>54</v>
      </c>
      <c r="H55" s="10">
        <f t="shared" si="8"/>
        <v>0.98477134053250537</v>
      </c>
      <c r="I55" s="11">
        <f t="shared" si="9"/>
        <v>0.99417252486557373</v>
      </c>
      <c r="J55" s="13">
        <f t="shared" si="4"/>
        <v>0.26547961291927952</v>
      </c>
      <c r="K55" s="14">
        <f t="shared" si="5"/>
        <v>-0.57596882424961027</v>
      </c>
    </row>
    <row r="56" spans="1:11" ht="15.75" x14ac:dyDescent="0.25">
      <c r="A56" s="5">
        <v>55</v>
      </c>
      <c r="B56" s="4">
        <v>60</v>
      </c>
      <c r="C56" s="4">
        <v>0</v>
      </c>
      <c r="D56" s="44">
        <f t="shared" si="1"/>
        <v>60</v>
      </c>
      <c r="E56" s="4">
        <f t="shared" si="2"/>
        <v>1</v>
      </c>
      <c r="F56" s="12"/>
      <c r="G56" s="12"/>
      <c r="H56" s="10">
        <f t="shared" si="8"/>
        <v>0.98938637767395665</v>
      </c>
      <c r="I56" s="11">
        <f t="shared" si="9"/>
        <v>0.99609645558436177</v>
      </c>
      <c r="J56" s="13">
        <f t="shared" si="4"/>
        <v>0.79083099986159</v>
      </c>
      <c r="K56" s="14">
        <f t="shared" si="5"/>
        <v>-0.10191631507288886</v>
      </c>
    </row>
    <row r="57" spans="1:11" ht="15.75" x14ac:dyDescent="0.25">
      <c r="A57" s="5">
        <v>56</v>
      </c>
      <c r="B57" s="4">
        <v>61</v>
      </c>
      <c r="C57" s="4">
        <v>0</v>
      </c>
      <c r="D57" s="44">
        <f t="shared" si="1"/>
        <v>61</v>
      </c>
      <c r="E57" s="4">
        <f t="shared" si="2"/>
        <v>1</v>
      </c>
      <c r="F57" s="12"/>
      <c r="G57" s="12"/>
      <c r="H57" s="10">
        <f t="shared" si="8"/>
        <v>0.99261332092128918</v>
      </c>
      <c r="I57" s="11">
        <f t="shared" si="9"/>
        <v>0.99738687348388921</v>
      </c>
      <c r="J57" s="13">
        <f t="shared" si="4"/>
        <v>0.85247674555746045</v>
      </c>
      <c r="K57" s="14">
        <f t="shared" si="5"/>
        <v>-6.931745915519591E-2</v>
      </c>
    </row>
    <row r="58" spans="1:11" ht="15.75" x14ac:dyDescent="0.25">
      <c r="A58" s="5">
        <v>57</v>
      </c>
      <c r="B58" s="4">
        <v>43</v>
      </c>
      <c r="C58" s="4">
        <v>0</v>
      </c>
      <c r="D58" s="44">
        <f t="shared" si="1"/>
        <v>43</v>
      </c>
      <c r="E58" s="4">
        <f t="shared" si="2"/>
        <v>1</v>
      </c>
      <c r="F58" s="12"/>
      <c r="G58" s="12"/>
      <c r="H58" s="10">
        <f t="shared" si="8"/>
        <v>0.99486424398998796</v>
      </c>
      <c r="I58" s="11">
        <f t="shared" si="9"/>
        <v>0.99825145907930868</v>
      </c>
      <c r="J58" s="13">
        <f t="shared" si="4"/>
        <v>0.92750873169714299</v>
      </c>
      <c r="K58" s="14">
        <f t="shared" si="5"/>
        <v>-3.2681993184574758E-2</v>
      </c>
    </row>
    <row r="59" spans="1:11" ht="15.75" x14ac:dyDescent="0.25">
      <c r="A59" s="5">
        <v>58</v>
      </c>
      <c r="B59" s="4">
        <v>34</v>
      </c>
      <c r="C59" s="4">
        <v>0</v>
      </c>
      <c r="D59" s="44">
        <f t="shared" si="1"/>
        <v>34</v>
      </c>
      <c r="E59" s="4">
        <f t="shared" si="2"/>
        <v>1</v>
      </c>
      <c r="F59" s="12"/>
      <c r="G59" s="12"/>
      <c r="H59" s="10">
        <f t="shared" si="8"/>
        <v>0.9964317150229145</v>
      </c>
      <c r="I59" s="11">
        <f t="shared" si="9"/>
        <v>0.99883032118913284</v>
      </c>
      <c r="J59" s="13">
        <f t="shared" si="4"/>
        <v>0.96098896179147841</v>
      </c>
      <c r="K59" s="14">
        <f t="shared" si="5"/>
        <v>-1.7281600739969337E-2</v>
      </c>
    </row>
    <row r="60" spans="1:11" ht="15.75" x14ac:dyDescent="0.25">
      <c r="A60" s="5">
        <v>59</v>
      </c>
      <c r="B60" s="4">
        <v>32</v>
      </c>
      <c r="C60" s="4">
        <v>0</v>
      </c>
      <c r="D60" s="44">
        <f t="shared" si="1"/>
        <v>32</v>
      </c>
      <c r="E60" s="4">
        <f t="shared" si="2"/>
        <v>1</v>
      </c>
      <c r="F60" s="12"/>
      <c r="G60" s="12"/>
      <c r="H60" s="10">
        <f t="shared" si="8"/>
        <v>0.99752197382466512</v>
      </c>
      <c r="I60" s="11">
        <f t="shared" si="9"/>
        <v>0.99921769864767707</v>
      </c>
      <c r="J60" s="13">
        <f t="shared" si="4"/>
        <v>0.97526754518299374</v>
      </c>
      <c r="K60" s="14">
        <f t="shared" si="5"/>
        <v>-1.0876227934789427E-2</v>
      </c>
    </row>
    <row r="61" spans="1:11" ht="15.75" x14ac:dyDescent="0.25">
      <c r="A61" s="3">
        <v>60</v>
      </c>
      <c r="B61" s="4">
        <v>24</v>
      </c>
      <c r="C61" s="4">
        <v>0</v>
      </c>
      <c r="D61" s="44">
        <f t="shared" si="1"/>
        <v>24</v>
      </c>
      <c r="E61" s="4">
        <f t="shared" si="2"/>
        <v>1</v>
      </c>
      <c r="F61" s="12"/>
      <c r="G61" s="12"/>
      <c r="H61" s="10">
        <f t="shared" si="8"/>
        <v>0.99827968854239246</v>
      </c>
      <c r="I61" s="11">
        <f t="shared" si="9"/>
        <v>0.99947685056466229</v>
      </c>
      <c r="J61" s="13">
        <f t="shared" si="4"/>
        <v>0.98751966170477279</v>
      </c>
      <c r="K61" s="14">
        <f t="shared" si="5"/>
        <v>-5.4542487294709585E-3</v>
      </c>
    </row>
    <row r="62" spans="1:11" ht="15.75" x14ac:dyDescent="0.25">
      <c r="A62" s="5">
        <v>61</v>
      </c>
      <c r="B62" s="4">
        <v>18</v>
      </c>
      <c r="C62" s="4">
        <v>0</v>
      </c>
      <c r="D62" s="44">
        <f t="shared" si="1"/>
        <v>18</v>
      </c>
      <c r="E62" s="4">
        <f t="shared" si="2"/>
        <v>1</v>
      </c>
      <c r="F62" s="12"/>
      <c r="G62" s="12"/>
      <c r="H62" s="10">
        <f t="shared" si="8"/>
        <v>0.9988059915106311</v>
      </c>
      <c r="I62" s="11">
        <f t="shared" si="9"/>
        <v>0.99965018362946689</v>
      </c>
      <c r="J62" s="13">
        <f t="shared" si="4"/>
        <v>0.99372199328366273</v>
      </c>
      <c r="K62" s="14">
        <f t="shared" si="5"/>
        <v>-2.7350981681888427E-3</v>
      </c>
    </row>
    <row r="63" spans="1:11" ht="15.75" x14ac:dyDescent="0.25">
      <c r="A63" s="5">
        <v>62</v>
      </c>
      <c r="B63" s="4">
        <v>13</v>
      </c>
      <c r="C63" s="4">
        <v>0</v>
      </c>
      <c r="D63" s="44">
        <f t="shared" si="1"/>
        <v>13</v>
      </c>
      <c r="E63" s="4">
        <f t="shared" si="2"/>
        <v>1</v>
      </c>
      <c r="F63" s="12"/>
      <c r="G63" s="12"/>
      <c r="H63" s="10">
        <f t="shared" si="8"/>
        <v>0.99917141378278929</v>
      </c>
      <c r="I63" s="11">
        <f t="shared" si="9"/>
        <v>0.99976610036485514</v>
      </c>
      <c r="J63" s="13">
        <f t="shared" si="4"/>
        <v>0.99696356839054556</v>
      </c>
      <c r="K63" s="14">
        <f t="shared" si="5"/>
        <v>-1.3207116342204208E-3</v>
      </c>
    </row>
    <row r="64" spans="1:11" ht="15.75" x14ac:dyDescent="0.25">
      <c r="A64" s="5">
        <v>63</v>
      </c>
      <c r="B64" s="4">
        <v>22</v>
      </c>
      <c r="C64" s="4">
        <v>0</v>
      </c>
      <c r="D64" s="44">
        <f t="shared" si="1"/>
        <v>22</v>
      </c>
      <c r="E64" s="4">
        <f t="shared" si="2"/>
        <v>1</v>
      </c>
      <c r="F64" s="12"/>
      <c r="G64" s="12"/>
      <c r="H64" s="10">
        <f t="shared" si="8"/>
        <v>0.99942506417623522</v>
      </c>
      <c r="I64" s="11">
        <f t="shared" si="9"/>
        <v>0.9998436124153629</v>
      </c>
      <c r="J64" s="13">
        <f t="shared" si="4"/>
        <v>0.99656511683689175</v>
      </c>
      <c r="K64" s="14">
        <f t="shared" si="5"/>
        <v>-1.4943186805039964E-3</v>
      </c>
    </row>
    <row r="65" spans="1:11" ht="15.75" x14ac:dyDescent="0.25">
      <c r="A65" s="5">
        <v>64</v>
      </c>
      <c r="B65" s="4">
        <v>6</v>
      </c>
      <c r="C65" s="4">
        <v>0</v>
      </c>
      <c r="D65" s="44">
        <f t="shared" si="1"/>
        <v>6</v>
      </c>
      <c r="E65" s="4">
        <f t="shared" si="2"/>
        <v>1</v>
      </c>
      <c r="F65" s="12"/>
      <c r="G65" s="12"/>
      <c r="H65" s="10">
        <f t="shared" si="8"/>
        <v>0.99960109701504674</v>
      </c>
      <c r="I65" s="11">
        <f t="shared" si="9"/>
        <v>0.99989544041716782</v>
      </c>
      <c r="J65" s="13">
        <f t="shared" si="4"/>
        <v>0.99937280647074189</v>
      </c>
      <c r="K65" s="14">
        <f t="shared" si="5"/>
        <v>-2.7247214415978714E-4</v>
      </c>
    </row>
    <row r="66" spans="1:11" ht="15.75" x14ac:dyDescent="0.25">
      <c r="A66" s="5">
        <v>65</v>
      </c>
      <c r="B66" s="4">
        <v>7</v>
      </c>
      <c r="C66" s="4">
        <v>0</v>
      </c>
      <c r="D66" s="44">
        <f t="shared" si="1"/>
        <v>7</v>
      </c>
      <c r="E66" s="4">
        <f t="shared" si="2"/>
        <v>1</v>
      </c>
      <c r="F66" s="12"/>
      <c r="G66" s="12"/>
      <c r="H66" s="10">
        <f t="shared" si="8"/>
        <v>0.99972324735386986</v>
      </c>
      <c r="I66" s="11">
        <f t="shared" si="9"/>
        <v>0.99993009343689865</v>
      </c>
      <c r="J66" s="13">
        <f t="shared" si="4"/>
        <v>0.99951075667181322</v>
      </c>
      <c r="K66" s="14">
        <f t="shared" si="5"/>
        <v>-2.1252767085225038E-4</v>
      </c>
    </row>
    <row r="67" spans="1:11" ht="15.75" x14ac:dyDescent="0.25">
      <c r="A67" s="5">
        <v>66</v>
      </c>
      <c r="B67" s="4">
        <v>6</v>
      </c>
      <c r="C67" s="4">
        <v>0</v>
      </c>
      <c r="D67" s="44">
        <f t="shared" si="1"/>
        <v>6</v>
      </c>
      <c r="E67" s="4">
        <f t="shared" si="2"/>
        <v>1</v>
      </c>
      <c r="F67" s="12"/>
      <c r="G67" s="12"/>
      <c r="H67" s="10">
        <f t="shared" si="8"/>
        <v>0.99980800053116115</v>
      </c>
      <c r="I67" s="11">
        <f t="shared" si="9"/>
        <v>0.9999532623284989</v>
      </c>
      <c r="J67" s="13">
        <f t="shared" si="4"/>
        <v>0.99971960673510085</v>
      </c>
      <c r="K67" s="14">
        <f t="shared" si="5"/>
        <v>-1.2179032309974566E-4</v>
      </c>
    </row>
    <row r="68" spans="1:11" ht="15.75" x14ac:dyDescent="0.25">
      <c r="A68" s="5">
        <v>67</v>
      </c>
      <c r="B68" s="4">
        <v>7</v>
      </c>
      <c r="C68" s="4">
        <v>0</v>
      </c>
      <c r="D68" s="44">
        <f t="shared" si="1"/>
        <v>7</v>
      </c>
      <c r="E68" s="4">
        <f t="shared" si="2"/>
        <v>1</v>
      </c>
      <c r="F68" s="12"/>
      <c r="G68" s="12"/>
      <c r="H68" s="10">
        <f t="shared" si="8"/>
        <v>0.99986680221666568</v>
      </c>
      <c r="I68" s="11">
        <f t="shared" si="9"/>
        <v>0.99996875267405849</v>
      </c>
      <c r="J68" s="13">
        <f t="shared" si="4"/>
        <v>0.99978128922164478</v>
      </c>
      <c r="K68" s="14">
        <f t="shared" si="5"/>
        <v>-9.499527279617742E-5</v>
      </c>
    </row>
    <row r="69" spans="1:11" ht="15.75" x14ac:dyDescent="0.25">
      <c r="A69" s="5">
        <v>68</v>
      </c>
      <c r="B69" s="4">
        <v>3</v>
      </c>
      <c r="C69" s="4">
        <v>0</v>
      </c>
      <c r="D69" s="44">
        <f t="shared" si="1"/>
        <v>3</v>
      </c>
      <c r="E69" s="4">
        <f t="shared" si="2"/>
        <v>1</v>
      </c>
      <c r="F69" s="12"/>
      <c r="G69" s="12"/>
      <c r="H69" s="10">
        <f t="shared" si="8"/>
        <v>0.99990759698433074</v>
      </c>
      <c r="I69" s="11">
        <f t="shared" si="9"/>
        <v>0.99997910913543331</v>
      </c>
      <c r="J69" s="13">
        <f t="shared" si="4"/>
        <v>0.9999373287155755</v>
      </c>
      <c r="K69" s="14">
        <f t="shared" si="5"/>
        <v>-2.7218645922007998E-5</v>
      </c>
    </row>
    <row r="70" spans="1:11" ht="15.75" x14ac:dyDescent="0.25">
      <c r="A70" s="5">
        <v>69</v>
      </c>
      <c r="B70" s="4">
        <v>6</v>
      </c>
      <c r="C70" s="4">
        <v>0</v>
      </c>
      <c r="D70" s="44">
        <f t="shared" si="1"/>
        <v>6</v>
      </c>
      <c r="E70" s="4">
        <f t="shared" si="2"/>
        <v>1</v>
      </c>
      <c r="F70" s="12"/>
      <c r="G70" s="12"/>
      <c r="H70" s="10">
        <f t="shared" si="8"/>
        <v>0.99993589825297491</v>
      </c>
      <c r="I70" s="11">
        <f t="shared" si="9"/>
        <v>0.99998603314968204</v>
      </c>
      <c r="J70" s="13">
        <f t="shared" si="4"/>
        <v>0.99991620182413155</v>
      </c>
      <c r="K70" s="14">
        <f t="shared" si="5"/>
        <v>-3.6394610295503442E-5</v>
      </c>
    </row>
    <row r="71" spans="1:11" ht="15.75" x14ac:dyDescent="0.25">
      <c r="A71" s="3">
        <v>70</v>
      </c>
      <c r="B71" s="4">
        <v>0</v>
      </c>
      <c r="C71" s="4">
        <v>0</v>
      </c>
      <c r="D71" s="44">
        <f t="shared" si="1"/>
        <v>0</v>
      </c>
      <c r="E71" s="4" t="str">
        <f t="shared" si="2"/>
        <v>0</v>
      </c>
      <c r="F71" s="12"/>
      <c r="G71" s="12"/>
      <c r="H71" s="10">
        <f t="shared" si="8"/>
        <v>0.99995553177219088</v>
      </c>
      <c r="I71" s="11">
        <f t="shared" si="9"/>
        <v>0.99999066230794298</v>
      </c>
      <c r="J71" s="13">
        <f t="shared" si="4"/>
        <v>1</v>
      </c>
      <c r="K71" s="14">
        <f t="shared" si="5"/>
        <v>0</v>
      </c>
    </row>
    <row r="72" spans="1:11" ht="15.75" x14ac:dyDescent="0.25">
      <c r="A72" s="5">
        <v>71</v>
      </c>
      <c r="B72" s="4">
        <v>0</v>
      </c>
      <c r="C72" s="4">
        <v>0</v>
      </c>
      <c r="D72" s="44">
        <f t="shared" si="1"/>
        <v>0</v>
      </c>
      <c r="E72" s="4" t="str">
        <f t="shared" si="2"/>
        <v>0</v>
      </c>
      <c r="F72" s="12"/>
      <c r="G72" s="12"/>
      <c r="H72" s="10">
        <f t="shared" si="8"/>
        <v>0.99996915198907443</v>
      </c>
      <c r="I72" s="11">
        <f t="shared" si="9"/>
        <v>0.99999375719241035</v>
      </c>
      <c r="J72" s="13">
        <f t="shared" si="4"/>
        <v>1</v>
      </c>
      <c r="K72" s="14">
        <f t="shared" si="5"/>
        <v>0</v>
      </c>
    </row>
    <row r="73" spans="1:11" ht="15.75" x14ac:dyDescent="0.25">
      <c r="A73" s="5">
        <v>72</v>
      </c>
      <c r="B73" s="4">
        <v>0</v>
      </c>
      <c r="C73" s="4">
        <v>0</v>
      </c>
      <c r="D73" s="44">
        <f t="shared" si="1"/>
        <v>0</v>
      </c>
      <c r="E73" s="4" t="str">
        <f t="shared" si="2"/>
        <v>0</v>
      </c>
      <c r="F73" s="12"/>
      <c r="G73" s="12"/>
      <c r="H73" s="10">
        <f t="shared" si="8"/>
        <v>0.99997860054571641</v>
      </c>
      <c r="I73" s="11">
        <f t="shared" si="9"/>
        <v>0.99999582631271322</v>
      </c>
      <c r="J73" s="13">
        <f t="shared" si="4"/>
        <v>1</v>
      </c>
      <c r="K73" s="14">
        <f t="shared" si="5"/>
        <v>0</v>
      </c>
    </row>
    <row r="74" spans="1:11" ht="15.75" x14ac:dyDescent="0.25">
      <c r="A74" s="5">
        <v>73</v>
      </c>
      <c r="B74" s="4">
        <v>0</v>
      </c>
      <c r="C74" s="4">
        <v>0</v>
      </c>
      <c r="D74" s="44">
        <f t="shared" si="1"/>
        <v>0</v>
      </c>
      <c r="E74" s="4" t="str">
        <f t="shared" si="2"/>
        <v>0</v>
      </c>
      <c r="F74" s="12"/>
      <c r="G74" s="12"/>
      <c r="H74" s="10">
        <f t="shared" si="8"/>
        <v>0.99998515511034369</v>
      </c>
      <c r="I74" s="11">
        <f t="shared" si="9"/>
        <v>0.99999720964431937</v>
      </c>
      <c r="J74" s="13">
        <f t="shared" si="4"/>
        <v>1</v>
      </c>
      <c r="K74" s="14">
        <f t="shared" si="5"/>
        <v>0</v>
      </c>
    </row>
    <row r="75" spans="1:11" ht="15.75" x14ac:dyDescent="0.25">
      <c r="A75" s="5">
        <v>74</v>
      </c>
      <c r="B75" s="4">
        <v>0</v>
      </c>
      <c r="C75" s="4">
        <v>0</v>
      </c>
      <c r="D75" s="44">
        <f t="shared" si="1"/>
        <v>0</v>
      </c>
      <c r="E75" s="4" t="str">
        <f t="shared" si="2"/>
        <v>0</v>
      </c>
      <c r="F75" s="12"/>
      <c r="G75" s="12"/>
      <c r="H75" s="10">
        <f t="shared" si="8"/>
        <v>0.99998970205952187</v>
      </c>
      <c r="I75" s="11">
        <f t="shared" si="9"/>
        <v>0.99999813448379804</v>
      </c>
      <c r="J75" s="13">
        <f t="shared" si="4"/>
        <v>1</v>
      </c>
      <c r="K75" s="14">
        <f t="shared" si="5"/>
        <v>0</v>
      </c>
    </row>
    <row r="76" spans="1:11" ht="15.75" x14ac:dyDescent="0.25">
      <c r="A76" s="5">
        <v>75</v>
      </c>
      <c r="B76" s="4">
        <v>0</v>
      </c>
      <c r="C76" s="4">
        <v>0</v>
      </c>
      <c r="D76" s="44">
        <f t="shared" si="1"/>
        <v>0</v>
      </c>
      <c r="E76" s="4" t="str">
        <f t="shared" si="2"/>
        <v>0</v>
      </c>
      <c r="F76" s="12"/>
      <c r="G76" s="12"/>
      <c r="H76" s="10">
        <f t="shared" si="8"/>
        <v>0.99999285630052837</v>
      </c>
      <c r="I76" s="11">
        <f t="shared" si="9"/>
        <v>0.99999875279353934</v>
      </c>
      <c r="J76" s="13">
        <f t="shared" si="4"/>
        <v>1</v>
      </c>
      <c r="K76" s="14">
        <f t="shared" si="5"/>
        <v>0</v>
      </c>
    </row>
    <row r="77" spans="1:11" ht="15.75" x14ac:dyDescent="0.25">
      <c r="A77" s="5">
        <v>76</v>
      </c>
      <c r="B77" s="4">
        <v>0</v>
      </c>
      <c r="C77" s="4">
        <v>0</v>
      </c>
      <c r="D77" s="44">
        <f t="shared" si="1"/>
        <v>0</v>
      </c>
      <c r="E77" s="4" t="str">
        <f t="shared" si="2"/>
        <v>0</v>
      </c>
      <c r="F77" s="12"/>
      <c r="G77" s="12"/>
      <c r="H77" s="10">
        <f t="shared" si="8"/>
        <v>0.99999504440786524</v>
      </c>
      <c r="I77" s="11">
        <f t="shared" si="9"/>
        <v>0.99999916616985951</v>
      </c>
      <c r="J77" s="13">
        <f t="shared" si="4"/>
        <v>1</v>
      </c>
      <c r="K77" s="14">
        <f t="shared" si="5"/>
        <v>0</v>
      </c>
    </row>
    <row r="78" spans="1:11" ht="15.75" x14ac:dyDescent="0.25">
      <c r="A78" s="5">
        <v>77</v>
      </c>
      <c r="B78" s="4">
        <v>0</v>
      </c>
      <c r="C78" s="4">
        <v>0</v>
      </c>
      <c r="D78" s="44">
        <f t="shared" si="1"/>
        <v>0</v>
      </c>
      <c r="E78" s="4" t="str">
        <f t="shared" si="2"/>
        <v>0</v>
      </c>
      <c r="F78" s="12"/>
      <c r="G78" s="12"/>
      <c r="H78" s="10">
        <f t="shared" si="8"/>
        <v>0.99999656230262157</v>
      </c>
      <c r="I78" s="11">
        <f t="shared" si="9"/>
        <v>0.99999944253607576</v>
      </c>
      <c r="J78" s="13">
        <f t="shared" si="4"/>
        <v>1</v>
      </c>
      <c r="K78" s="14">
        <f t="shared" si="5"/>
        <v>0</v>
      </c>
    </row>
    <row r="79" spans="1:11" ht="15.75" x14ac:dyDescent="0.25">
      <c r="A79" s="5">
        <v>78</v>
      </c>
      <c r="B79" s="4">
        <v>0</v>
      </c>
      <c r="C79" s="4">
        <v>0</v>
      </c>
      <c r="D79" s="44">
        <f t="shared" si="1"/>
        <v>0</v>
      </c>
      <c r="E79" s="4" t="str">
        <f t="shared" si="2"/>
        <v>0</v>
      </c>
      <c r="F79" s="12"/>
      <c r="G79" s="12"/>
      <c r="H79" s="10">
        <f t="shared" si="8"/>
        <v>0.9999976152682768</v>
      </c>
      <c r="I79" s="11">
        <f t="shared" si="9"/>
        <v>0.99999962730299219</v>
      </c>
      <c r="J79" s="13">
        <f t="shared" si="4"/>
        <v>1</v>
      </c>
      <c r="K79" s="14">
        <f t="shared" si="5"/>
        <v>0</v>
      </c>
    </row>
    <row r="80" spans="1:11" ht="15.75" x14ac:dyDescent="0.25">
      <c r="A80" s="5">
        <v>79</v>
      </c>
      <c r="B80" s="4">
        <v>0</v>
      </c>
      <c r="C80" s="4">
        <v>0</v>
      </c>
      <c r="D80" s="44">
        <f t="shared" si="1"/>
        <v>0</v>
      </c>
      <c r="E80" s="4" t="str">
        <f t="shared" si="2"/>
        <v>0</v>
      </c>
      <c r="F80" s="12"/>
      <c r="G80" s="12"/>
      <c r="H80" s="10">
        <f t="shared" si="8"/>
        <v>0.99999834571140744</v>
      </c>
      <c r="I80" s="11">
        <f t="shared" si="9"/>
        <v>0.99999975083042136</v>
      </c>
      <c r="J80" s="13">
        <f t="shared" si="4"/>
        <v>1</v>
      </c>
      <c r="K80" s="14">
        <f t="shared" si="5"/>
        <v>0</v>
      </c>
    </row>
    <row r="81" spans="1:11" ht="15.75" x14ac:dyDescent="0.25">
      <c r="A81" s="3">
        <v>80</v>
      </c>
      <c r="B81" s="4">
        <v>0</v>
      </c>
      <c r="C81" s="4">
        <v>0</v>
      </c>
      <c r="D81" s="44">
        <f t="shared" si="1"/>
        <v>0</v>
      </c>
      <c r="E81" s="4" t="str">
        <f t="shared" si="2"/>
        <v>0</v>
      </c>
      <c r="F81" s="12"/>
      <c r="G81" s="12"/>
      <c r="H81" s="10">
        <f t="shared" si="8"/>
        <v>0.99999885242012398</v>
      </c>
      <c r="I81" s="11">
        <f t="shared" si="9"/>
        <v>0.99999983341568321</v>
      </c>
      <c r="J81" s="13">
        <f t="shared" si="4"/>
        <v>1</v>
      </c>
      <c r="K81" s="14">
        <f t="shared" si="5"/>
        <v>0</v>
      </c>
    </row>
    <row r="82" spans="1:11" ht="15.75" x14ac:dyDescent="0.25">
      <c r="H82" s="7"/>
      <c r="I82" s="8"/>
      <c r="J82" s="8"/>
    </row>
  </sheetData>
  <mergeCells count="38">
    <mergeCell ref="A1:W2"/>
    <mergeCell ref="E8:H8"/>
    <mergeCell ref="E10:F10"/>
    <mergeCell ref="J7:M7"/>
    <mergeCell ref="G15:H15"/>
    <mergeCell ref="G12:H12"/>
    <mergeCell ref="G13:H13"/>
    <mergeCell ref="E15:F15"/>
    <mergeCell ref="E11:F11"/>
    <mergeCell ref="L8:M8"/>
    <mergeCell ref="G10:H10"/>
    <mergeCell ref="G11:H11"/>
    <mergeCell ref="J8:K8"/>
    <mergeCell ref="J9:K9"/>
    <mergeCell ref="J10:K10"/>
    <mergeCell ref="J11:K11"/>
    <mergeCell ref="E9:F9"/>
    <mergeCell ref="G9:H9"/>
    <mergeCell ref="J12:K12"/>
    <mergeCell ref="J13:K13"/>
    <mergeCell ref="L15:M15"/>
    <mergeCell ref="E12:F12"/>
    <mergeCell ref="E13:F13"/>
    <mergeCell ref="E14:F14"/>
    <mergeCell ref="E16:F16"/>
    <mergeCell ref="A18:A20"/>
    <mergeCell ref="B18:B20"/>
    <mergeCell ref="C18:C20"/>
    <mergeCell ref="D18:D20"/>
    <mergeCell ref="F18:F20"/>
    <mergeCell ref="E18:E20"/>
    <mergeCell ref="I18:I20"/>
    <mergeCell ref="J18:J20"/>
    <mergeCell ref="K18:K20"/>
    <mergeCell ref="G14:H14"/>
    <mergeCell ref="G18:G20"/>
    <mergeCell ref="H18:H20"/>
    <mergeCell ref="G16:H16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83"/>
  <sheetViews>
    <sheetView tabSelected="1" topLeftCell="I1" zoomScale="70" zoomScaleNormal="70" workbookViewId="0">
      <selection activeCell="G13" sqref="G13:G83"/>
    </sheetView>
  </sheetViews>
  <sheetFormatPr baseColWidth="10" defaultRowHeight="15" x14ac:dyDescent="0.25"/>
  <cols>
    <col min="6" max="6" width="14.28515625" customWidth="1"/>
    <col min="7" max="7" width="16.140625" customWidth="1"/>
    <col min="8" max="8" width="14.28515625" customWidth="1"/>
    <col min="9" max="9" width="13.42578125" customWidth="1"/>
    <col min="11" max="11" width="13.7109375" customWidth="1"/>
    <col min="12" max="13" width="15.28515625" customWidth="1"/>
    <col min="14" max="15" width="15.140625" customWidth="1"/>
    <col min="20" max="20" width="20.42578125" customWidth="1"/>
  </cols>
  <sheetData>
    <row r="1" spans="1:22" x14ac:dyDescent="0.25">
      <c r="A1" s="80" t="s">
        <v>26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</row>
    <row r="2" spans="1:22" x14ac:dyDescent="0.25">
      <c r="A2" s="80"/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</row>
    <row r="3" spans="1:22" x14ac:dyDescent="0.25">
      <c r="I3" s="79" t="s">
        <v>74</v>
      </c>
      <c r="J3" s="79"/>
      <c r="O3" s="79" t="s">
        <v>75</v>
      </c>
      <c r="P3" s="79"/>
    </row>
    <row r="4" spans="1:22" x14ac:dyDescent="0.25">
      <c r="I4" s="23" t="s">
        <v>5</v>
      </c>
      <c r="J4" s="23" t="s">
        <v>35</v>
      </c>
      <c r="O4" s="23" t="s">
        <v>5</v>
      </c>
      <c r="P4" s="23" t="s">
        <v>35</v>
      </c>
      <c r="S4" t="s">
        <v>5</v>
      </c>
      <c r="T4" t="s">
        <v>79</v>
      </c>
    </row>
    <row r="5" spans="1:22" x14ac:dyDescent="0.25">
      <c r="I5" s="21" t="s">
        <v>2</v>
      </c>
      <c r="J5" s="22">
        <f>ROUNDDOWN(-0.150202428696421,2)</f>
        <v>-0.15</v>
      </c>
      <c r="O5" s="21" t="s">
        <v>2</v>
      </c>
      <c r="P5" s="22">
        <v>0.15</v>
      </c>
      <c r="S5" t="s">
        <v>39</v>
      </c>
      <c r="T5">
        <v>0.34854306228328735</v>
      </c>
      <c r="V5" t="s">
        <v>80</v>
      </c>
    </row>
    <row r="6" spans="1:22" x14ac:dyDescent="0.25">
      <c r="I6" s="21" t="s">
        <v>6</v>
      </c>
      <c r="J6" s="22">
        <v>35.867191453937359</v>
      </c>
      <c r="L6" s="50" t="s">
        <v>69</v>
      </c>
      <c r="M6" s="51"/>
      <c r="O6" s="21" t="s">
        <v>6</v>
      </c>
      <c r="P6" s="22">
        <v>35.119812052129241</v>
      </c>
      <c r="Q6" t="s">
        <v>70</v>
      </c>
      <c r="S6" t="s">
        <v>6</v>
      </c>
      <c r="T6">
        <v>26.139582123949388</v>
      </c>
      <c r="V6">
        <f>SUM(R13:R83)</f>
        <v>-94.108000000000018</v>
      </c>
    </row>
    <row r="7" spans="1:22" x14ac:dyDescent="0.25">
      <c r="I7" s="21" t="s">
        <v>8</v>
      </c>
      <c r="J7" s="22">
        <f>-LN(1/0.25-1)/J5+J6</f>
        <v>43.191273378391422</v>
      </c>
      <c r="L7" s="52">
        <f>SUM(L13:L83)</f>
        <v>13.916000000000011</v>
      </c>
      <c r="M7" s="49"/>
      <c r="O7" s="21" t="s">
        <v>8</v>
      </c>
      <c r="P7" s="22">
        <f>-LN(1/0.25-1)/P5+P6</f>
        <v>27.795730127675174</v>
      </c>
      <c r="Q7">
        <f>SUM(O13:O83)</f>
        <v>-125.65900000000002</v>
      </c>
      <c r="S7" t="s">
        <v>8</v>
      </c>
      <c r="T7">
        <f>-LN(1/0.25-1)/T5+T6</f>
        <v>22.987569051386252</v>
      </c>
    </row>
    <row r="8" spans="1:22" x14ac:dyDescent="0.25">
      <c r="I8" s="21" t="s">
        <v>7</v>
      </c>
      <c r="J8" s="22">
        <f>-LN(1/0.75-1)/J5+J6</f>
        <v>28.543109529483292</v>
      </c>
      <c r="O8" s="21" t="s">
        <v>7</v>
      </c>
      <c r="P8" s="22">
        <f>-LN(1/0.75-1)/P5+P6</f>
        <v>42.443893976583311</v>
      </c>
      <c r="S8" t="s">
        <v>7</v>
      </c>
      <c r="T8">
        <f>-LN(1/0.75-1)/T5+T6</f>
        <v>29.291595196512528</v>
      </c>
    </row>
    <row r="9" spans="1:22" x14ac:dyDescent="0.25">
      <c r="I9" s="21" t="s">
        <v>9</v>
      </c>
      <c r="J9" s="22">
        <f>J7-J8</f>
        <v>14.64816384890813</v>
      </c>
      <c r="O9" s="21" t="s">
        <v>9</v>
      </c>
      <c r="P9" s="22">
        <f>P8-P7</f>
        <v>14.648163848908137</v>
      </c>
      <c r="S9" t="s">
        <v>9</v>
      </c>
      <c r="T9">
        <f>T8-T7</f>
        <v>6.3040261451262758</v>
      </c>
    </row>
    <row r="11" spans="1:22" x14ac:dyDescent="0.25">
      <c r="D11" s="53" t="s">
        <v>55</v>
      </c>
      <c r="E11" s="54" t="s">
        <v>72</v>
      </c>
      <c r="F11" s="54" t="s">
        <v>73</v>
      </c>
      <c r="G11" s="54"/>
    </row>
    <row r="12" spans="1:22" ht="64.5" x14ac:dyDescent="0.25">
      <c r="A12" s="17" t="s">
        <v>43</v>
      </c>
      <c r="B12" s="17" t="s">
        <v>44</v>
      </c>
      <c r="C12" s="17" t="s">
        <v>45</v>
      </c>
      <c r="D12" s="17" t="s">
        <v>71</v>
      </c>
      <c r="E12" s="17" t="s">
        <v>46</v>
      </c>
      <c r="F12" s="17" t="s">
        <v>47</v>
      </c>
      <c r="G12" s="17" t="s">
        <v>81</v>
      </c>
      <c r="H12" s="17" t="s">
        <v>64</v>
      </c>
      <c r="I12" s="18" t="s">
        <v>48</v>
      </c>
      <c r="J12" s="17" t="s">
        <v>65</v>
      </c>
      <c r="K12" s="17" t="s">
        <v>66</v>
      </c>
      <c r="L12" s="17" t="s">
        <v>67</v>
      </c>
      <c r="M12" s="55" t="s">
        <v>4</v>
      </c>
      <c r="N12" s="55" t="s">
        <v>68</v>
      </c>
      <c r="O12" s="55" t="s">
        <v>76</v>
      </c>
      <c r="P12" s="56" t="s">
        <v>4</v>
      </c>
      <c r="Q12" s="56" t="s">
        <v>77</v>
      </c>
      <c r="R12" s="56" t="s">
        <v>78</v>
      </c>
    </row>
    <row r="13" spans="1:22" x14ac:dyDescent="0.25">
      <c r="A13" s="19">
        <v>10</v>
      </c>
      <c r="B13" s="15">
        <v>0</v>
      </c>
      <c r="C13" s="15">
        <v>0</v>
      </c>
      <c r="D13" s="15">
        <f>C13+B13</f>
        <v>0</v>
      </c>
      <c r="E13" s="15">
        <v>0</v>
      </c>
      <c r="F13" s="2">
        <f>E13+D13</f>
        <v>0</v>
      </c>
      <c r="G13" s="2">
        <f>IFERROR(B13/D13,0)</f>
        <v>0</v>
      </c>
      <c r="H13" s="2">
        <f>IFERROR(B13/F13,0)</f>
        <v>0</v>
      </c>
      <c r="I13" s="2">
        <f>IFERROR(E13/F13,0)</f>
        <v>0</v>
      </c>
      <c r="J13" s="16">
        <f t="shared" ref="J13:J44" si="0">1/(1+EXP(-$J$5*(A13-$J$6)))</f>
        <v>0.97976856332302797</v>
      </c>
      <c r="K13" s="16">
        <f>IF(ISERROR(COMBIN(F13,E13)*(J13^E13)*((1-J13)^B13)),"0",COMBIN(F13,E13) *(J13^E13)*((1-J13)^B13))</f>
        <v>1</v>
      </c>
      <c r="L13" s="2">
        <f>ROUNDUP(IF(ISERROR(LOG(K13)),"0",LOG(K13)),3)</f>
        <v>0</v>
      </c>
      <c r="M13" s="42">
        <f>1/(1+EXP((-$P$5)*(A13-$P$6)))</f>
        <v>2.2577353511755383E-2</v>
      </c>
      <c r="N13" s="16">
        <f>IF(ISERROR(COMBIN(F13,D13)*(M13^D13)*((1-M13)^E13)),"0",COMBIN(F13,D13) *(M13^D13)*((1-M13)^E13))</f>
        <v>1</v>
      </c>
      <c r="O13" s="2">
        <f>ROUNDDOWN(IF(ISERROR(LN(N13)),"0",LN(N13)),3)</f>
        <v>0</v>
      </c>
      <c r="P13">
        <f>1/(1+EXP((-$T$5)*(A13-$T$6)))</f>
        <v>3.5923875811407976E-3</v>
      </c>
      <c r="Q13">
        <f>IF(ISERROR(COMBIN(D13,B13)*(P13^B13)*((1-P13)^C13)),"0",COMBIN(D13,B13) *(P13^B13)*((1-P13)^C13))</f>
        <v>1</v>
      </c>
      <c r="R13">
        <f>ROUNDDOWN(IF(ISERROR(LN(Q13)),"0",LN(Q13)),3)</f>
        <v>0</v>
      </c>
    </row>
    <row r="14" spans="1:22" x14ac:dyDescent="0.25">
      <c r="A14" s="19">
        <v>11</v>
      </c>
      <c r="B14" s="15">
        <v>0</v>
      </c>
      <c r="C14" s="15">
        <v>0</v>
      </c>
      <c r="D14" s="15">
        <f t="shared" ref="D14:D77" si="1">C14+B14</f>
        <v>0</v>
      </c>
      <c r="E14" s="15">
        <v>0</v>
      </c>
      <c r="F14" s="2">
        <f t="shared" ref="F14:F77" si="2">E14+D14</f>
        <v>0</v>
      </c>
      <c r="G14" s="2">
        <f t="shared" ref="G14:G77" si="3">IFERROR(B14/D14,0)</f>
        <v>0</v>
      </c>
      <c r="H14" s="2">
        <f t="shared" ref="H14:H77" si="4">IFERROR(B14/F14,0)</f>
        <v>0</v>
      </c>
      <c r="I14" s="2">
        <f t="shared" ref="I14:I77" si="5">IFERROR(E14/F14,0)</f>
        <v>0</v>
      </c>
      <c r="J14" s="16">
        <f t="shared" si="0"/>
        <v>0.97657113346024915</v>
      </c>
      <c r="K14" s="16">
        <f t="shared" ref="K14:K77" si="6">IF(ISERROR(COMBIN(F14,E14)*(J14^E14)*((1-J14)^B14)),"0",COMBIN(F14,E14) *(J14^E14)*((1-J14)^B14))</f>
        <v>1</v>
      </c>
      <c r="L14" s="2">
        <f t="shared" ref="L14:L77" si="7">ROUNDUP(IF(ISERROR(LOG(K14)),"0",LOG(K14)),3)</f>
        <v>0</v>
      </c>
      <c r="M14" s="42">
        <f t="shared" ref="M14:M77" si="8">1/(1+EXP(-$P$5*(A14-$P$6)))</f>
        <v>2.6135648278346215E-2</v>
      </c>
      <c r="N14" s="16">
        <f t="shared" ref="N14:N77" si="9">IF(ISERROR(COMBIN(F14,D14)*(M14^D14)*((1-M14)^E14)),"0",COMBIN(F14,D14) *(M14^D14)*((1-M14)^E14))</f>
        <v>1</v>
      </c>
      <c r="O14" s="2">
        <f t="shared" ref="O14:O77" si="10">ROUNDDOWN(IF(ISERROR(LN(N14)),"0",LN(N14)),3)</f>
        <v>0</v>
      </c>
      <c r="P14">
        <f t="shared" ref="P14:P77" si="11">1/(1+EXP((-$T$5)*(A14-$T$6)))</f>
        <v>5.0828046099146307E-3</v>
      </c>
      <c r="Q14">
        <f t="shared" ref="Q14:Q77" si="12">IF(ISERROR(COMBIN(D14,B14)*(P14^B14)*((1-P14)^C14)),"0",COMBIN(D14,B14) *(P14^B14)*((1-P14)^C14))</f>
        <v>1</v>
      </c>
      <c r="R14">
        <f t="shared" ref="R14:R77" si="13">ROUNDDOWN(IF(ISERROR(LN(Q14)),"0",LN(Q14)),3)</f>
        <v>0</v>
      </c>
    </row>
    <row r="15" spans="1:22" x14ac:dyDescent="0.25">
      <c r="A15" s="19">
        <v>12</v>
      </c>
      <c r="B15" s="15">
        <v>0</v>
      </c>
      <c r="C15" s="15">
        <v>0</v>
      </c>
      <c r="D15" s="15">
        <f t="shared" si="1"/>
        <v>0</v>
      </c>
      <c r="E15" s="15">
        <v>0</v>
      </c>
      <c r="F15" s="2">
        <f t="shared" si="2"/>
        <v>0</v>
      </c>
      <c r="G15" s="2">
        <f t="shared" si="3"/>
        <v>0</v>
      </c>
      <c r="H15" s="2">
        <f t="shared" si="4"/>
        <v>0</v>
      </c>
      <c r="I15" s="2">
        <f t="shared" si="5"/>
        <v>0</v>
      </c>
      <c r="J15" s="16">
        <f t="shared" si="0"/>
        <v>0.97288235963777558</v>
      </c>
      <c r="K15" s="16">
        <f t="shared" si="6"/>
        <v>1</v>
      </c>
      <c r="L15" s="2">
        <f t="shared" si="7"/>
        <v>0</v>
      </c>
      <c r="M15" s="42">
        <f t="shared" si="8"/>
        <v>3.0237397732643112E-2</v>
      </c>
      <c r="N15" s="16">
        <f t="shared" si="9"/>
        <v>1</v>
      </c>
      <c r="O15" s="2">
        <f t="shared" si="10"/>
        <v>0</v>
      </c>
      <c r="P15">
        <f t="shared" si="11"/>
        <v>7.1871087200285491E-3</v>
      </c>
      <c r="Q15">
        <f t="shared" si="12"/>
        <v>1</v>
      </c>
      <c r="R15">
        <f t="shared" si="13"/>
        <v>0</v>
      </c>
    </row>
    <row r="16" spans="1:22" x14ac:dyDescent="0.25">
      <c r="A16" s="19">
        <v>13</v>
      </c>
      <c r="B16" s="15">
        <v>0</v>
      </c>
      <c r="C16" s="15">
        <v>0</v>
      </c>
      <c r="D16" s="15">
        <f t="shared" si="1"/>
        <v>0</v>
      </c>
      <c r="E16" s="15">
        <v>0</v>
      </c>
      <c r="F16" s="2">
        <f t="shared" si="2"/>
        <v>0</v>
      </c>
      <c r="G16" s="2">
        <f t="shared" si="3"/>
        <v>0</v>
      </c>
      <c r="H16" s="2">
        <f t="shared" si="4"/>
        <v>0</v>
      </c>
      <c r="I16" s="2">
        <f t="shared" si="5"/>
        <v>0</v>
      </c>
      <c r="J16" s="16">
        <f t="shared" si="0"/>
        <v>0.96863145965419684</v>
      </c>
      <c r="K16" s="16">
        <f t="shared" si="6"/>
        <v>1</v>
      </c>
      <c r="L16" s="2">
        <f t="shared" si="7"/>
        <v>0</v>
      </c>
      <c r="M16" s="42">
        <f t="shared" si="8"/>
        <v>3.4959770335738861E-2</v>
      </c>
      <c r="N16" s="16">
        <f t="shared" si="9"/>
        <v>1</v>
      </c>
      <c r="O16" s="2">
        <f t="shared" si="10"/>
        <v>0</v>
      </c>
      <c r="P16">
        <f t="shared" si="11"/>
        <v>1.0153713235290563E-2</v>
      </c>
      <c r="Q16">
        <f t="shared" si="12"/>
        <v>1</v>
      </c>
      <c r="R16">
        <f t="shared" si="13"/>
        <v>0</v>
      </c>
    </row>
    <row r="17" spans="1:18" x14ac:dyDescent="0.25">
      <c r="A17" s="19">
        <v>14</v>
      </c>
      <c r="B17" s="15">
        <v>0</v>
      </c>
      <c r="C17" s="15">
        <v>0</v>
      </c>
      <c r="D17" s="15">
        <f t="shared" si="1"/>
        <v>0</v>
      </c>
      <c r="E17" s="15">
        <v>0</v>
      </c>
      <c r="F17" s="2">
        <f t="shared" si="2"/>
        <v>0</v>
      </c>
      <c r="G17" s="2">
        <f t="shared" si="3"/>
        <v>0</v>
      </c>
      <c r="H17" s="2">
        <f t="shared" si="4"/>
        <v>0</v>
      </c>
      <c r="I17" s="2">
        <f t="shared" si="5"/>
        <v>0</v>
      </c>
      <c r="J17" s="16">
        <f t="shared" si="0"/>
        <v>0.96373903461665211</v>
      </c>
      <c r="K17" s="16">
        <f t="shared" si="6"/>
        <v>1</v>
      </c>
      <c r="L17" s="2">
        <f t="shared" si="7"/>
        <v>0</v>
      </c>
      <c r="M17" s="42">
        <f t="shared" si="8"/>
        <v>4.0388950216690964E-2</v>
      </c>
      <c r="N17" s="16">
        <f t="shared" si="9"/>
        <v>1</v>
      </c>
      <c r="O17" s="2">
        <f t="shared" si="10"/>
        <v>0</v>
      </c>
      <c r="P17">
        <f t="shared" si="11"/>
        <v>1.4327164651389591E-2</v>
      </c>
      <c r="Q17">
        <f t="shared" si="12"/>
        <v>1</v>
      </c>
      <c r="R17">
        <f t="shared" si="13"/>
        <v>0</v>
      </c>
    </row>
    <row r="18" spans="1:18" x14ac:dyDescent="0.25">
      <c r="A18" s="19">
        <v>15</v>
      </c>
      <c r="B18" s="15">
        <v>0</v>
      </c>
      <c r="C18" s="15">
        <v>0</v>
      </c>
      <c r="D18" s="15">
        <f t="shared" si="1"/>
        <v>0</v>
      </c>
      <c r="E18" s="15">
        <v>2</v>
      </c>
      <c r="F18" s="2">
        <f t="shared" si="2"/>
        <v>2</v>
      </c>
      <c r="G18" s="2">
        <f t="shared" si="3"/>
        <v>0</v>
      </c>
      <c r="H18" s="2">
        <f t="shared" si="4"/>
        <v>0</v>
      </c>
      <c r="I18" s="2">
        <f t="shared" si="5"/>
        <v>1</v>
      </c>
      <c r="J18" s="16">
        <f t="shared" si="0"/>
        <v>0.9581165519520819</v>
      </c>
      <c r="K18" s="16">
        <f t="shared" si="6"/>
        <v>0.91798732712454645</v>
      </c>
      <c r="L18" s="2">
        <f>ROUNDUP(IF(ISERROR(LOG(K18)),"0",LOG(K18)),3)</f>
        <v>-3.7999999999999999E-2</v>
      </c>
      <c r="M18" s="42">
        <f t="shared" si="8"/>
        <v>4.662053885411812E-2</v>
      </c>
      <c r="N18" s="16">
        <f t="shared" si="9"/>
        <v>0.90893239693481209</v>
      </c>
      <c r="O18" s="2">
        <f>ROUNDDOWN(IF(ISERROR(LN(N18)),"0",LN(N18)),3)</f>
        <v>-9.5000000000000001E-2</v>
      </c>
      <c r="P18">
        <f t="shared" si="11"/>
        <v>2.0181044035741894E-2</v>
      </c>
      <c r="Q18">
        <f t="shared" si="12"/>
        <v>1</v>
      </c>
      <c r="R18">
        <f t="shared" si="13"/>
        <v>0</v>
      </c>
    </row>
    <row r="19" spans="1:18" x14ac:dyDescent="0.25">
      <c r="A19" s="19">
        <v>16</v>
      </c>
      <c r="B19" s="15">
        <v>3</v>
      </c>
      <c r="C19" s="15">
        <v>0</v>
      </c>
      <c r="D19" s="15">
        <f t="shared" si="1"/>
        <v>3</v>
      </c>
      <c r="E19" s="15">
        <v>3</v>
      </c>
      <c r="F19" s="2">
        <f t="shared" si="2"/>
        <v>6</v>
      </c>
      <c r="G19" s="2">
        <f t="shared" si="3"/>
        <v>1</v>
      </c>
      <c r="H19" s="2">
        <f t="shared" si="4"/>
        <v>0.5</v>
      </c>
      <c r="I19" s="2">
        <f t="shared" si="5"/>
        <v>0.5</v>
      </c>
      <c r="J19" s="16">
        <f t="shared" si="0"/>
        <v>0.95166599227029647</v>
      </c>
      <c r="K19" s="16">
        <f t="shared" si="6"/>
        <v>1.9464446908862574E-3</v>
      </c>
      <c r="L19" s="2">
        <f t="shared" si="7"/>
        <v>-2.7109999999999999</v>
      </c>
      <c r="M19" s="42">
        <f t="shared" si="8"/>
        <v>5.3759732050234182E-2</v>
      </c>
      <c r="N19" s="16">
        <f t="shared" si="9"/>
        <v>2.6327253758199553E-3</v>
      </c>
      <c r="O19" s="2">
        <f t="shared" si="10"/>
        <v>-5.9390000000000001</v>
      </c>
      <c r="P19">
        <f t="shared" si="11"/>
        <v>2.8357924028416595E-2</v>
      </c>
      <c r="Q19">
        <f t="shared" si="12"/>
        <v>2.2804644375593473E-5</v>
      </c>
      <c r="R19">
        <f t="shared" si="13"/>
        <v>-10.688000000000001</v>
      </c>
    </row>
    <row r="20" spans="1:18" x14ac:dyDescent="0.25">
      <c r="A20" s="19">
        <v>17</v>
      </c>
      <c r="B20" s="15">
        <v>1</v>
      </c>
      <c r="C20" s="15">
        <v>0</v>
      </c>
      <c r="D20" s="15">
        <f t="shared" si="1"/>
        <v>1</v>
      </c>
      <c r="E20" s="15">
        <v>1</v>
      </c>
      <c r="F20" s="2">
        <f t="shared" si="2"/>
        <v>2</v>
      </c>
      <c r="G20" s="2">
        <f t="shared" si="3"/>
        <v>1</v>
      </c>
      <c r="H20" s="2">
        <f t="shared" si="4"/>
        <v>0.5</v>
      </c>
      <c r="I20" s="2">
        <f t="shared" si="5"/>
        <v>0.5</v>
      </c>
      <c r="J20" s="16">
        <f t="shared" si="0"/>
        <v>0.94427974400859749</v>
      </c>
      <c r="K20" s="16">
        <f t="shared" si="6"/>
        <v>0.10523101812731017</v>
      </c>
      <c r="L20" s="2">
        <f t="shared" si="7"/>
        <v>-0.97799999999999998</v>
      </c>
      <c r="M20" s="42">
        <f t="shared" si="8"/>
        <v>6.1921173120172854E-2</v>
      </c>
      <c r="N20" s="16">
        <f t="shared" si="9"/>
        <v>0.11617388287918887</v>
      </c>
      <c r="O20" s="2">
        <f t="shared" si="10"/>
        <v>-2.1520000000000001</v>
      </c>
      <c r="P20">
        <f t="shared" si="11"/>
        <v>3.9713597465168921E-2</v>
      </c>
      <c r="Q20">
        <f t="shared" si="12"/>
        <v>3.9713597465168921E-2</v>
      </c>
      <c r="R20">
        <f t="shared" si="13"/>
        <v>-3.226</v>
      </c>
    </row>
    <row r="21" spans="1:18" x14ac:dyDescent="0.25">
      <c r="A21" s="19">
        <v>18</v>
      </c>
      <c r="B21" s="15">
        <v>0</v>
      </c>
      <c r="C21" s="15">
        <v>1</v>
      </c>
      <c r="D21" s="15">
        <f t="shared" si="1"/>
        <v>1</v>
      </c>
      <c r="E21" s="15">
        <v>3</v>
      </c>
      <c r="F21" s="2">
        <f t="shared" si="2"/>
        <v>4</v>
      </c>
      <c r="G21" s="2">
        <f t="shared" si="3"/>
        <v>0</v>
      </c>
      <c r="H21" s="2">
        <f t="shared" si="4"/>
        <v>0</v>
      </c>
      <c r="I21" s="2">
        <f t="shared" si="5"/>
        <v>0.75</v>
      </c>
      <c r="J21" s="16">
        <f t="shared" si="0"/>
        <v>0.93584085020788044</v>
      </c>
      <c r="K21" s="16">
        <f t="shared" si="6"/>
        <v>3.2784305425200224</v>
      </c>
      <c r="L21" s="2">
        <f t="shared" si="7"/>
        <v>0.51600000000000001</v>
      </c>
      <c r="M21" s="42">
        <f t="shared" si="8"/>
        <v>7.1228362272900553E-2</v>
      </c>
      <c r="N21" s="16">
        <f t="shared" si="9"/>
        <v>0.22826524091438821</v>
      </c>
      <c r="O21" s="2">
        <f t="shared" si="10"/>
        <v>-1.4770000000000001</v>
      </c>
      <c r="P21">
        <f t="shared" si="11"/>
        <v>5.5357474822029171E-2</v>
      </c>
      <c r="Q21">
        <f t="shared" si="12"/>
        <v>0.94464252517797087</v>
      </c>
      <c r="R21">
        <f t="shared" si="13"/>
        <v>-5.6000000000000001E-2</v>
      </c>
    </row>
    <row r="22" spans="1:18" x14ac:dyDescent="0.25">
      <c r="A22" s="19">
        <v>19</v>
      </c>
      <c r="B22" s="15">
        <v>1</v>
      </c>
      <c r="C22" s="15">
        <v>0</v>
      </c>
      <c r="D22" s="15">
        <f t="shared" si="1"/>
        <v>1</v>
      </c>
      <c r="E22" s="15">
        <v>5</v>
      </c>
      <c r="F22" s="2">
        <f t="shared" si="2"/>
        <v>6</v>
      </c>
      <c r="G22" s="2">
        <f t="shared" si="3"/>
        <v>1</v>
      </c>
      <c r="H22" s="2">
        <f t="shared" si="4"/>
        <v>0.16666666666666666</v>
      </c>
      <c r="I22" s="2">
        <f t="shared" si="5"/>
        <v>0.83333333333333337</v>
      </c>
      <c r="J22" s="16">
        <f t="shared" si="0"/>
        <v>0.92622373264725477</v>
      </c>
      <c r="K22" s="16">
        <f t="shared" si="6"/>
        <v>0.30175012088285896</v>
      </c>
      <c r="L22" s="2">
        <f t="shared" si="7"/>
        <v>-0.52100000000000002</v>
      </c>
      <c r="M22" s="42">
        <f t="shared" si="8"/>
        <v>8.1812482470267442E-2</v>
      </c>
      <c r="N22" s="16">
        <f t="shared" si="9"/>
        <v>0.32035222379632061</v>
      </c>
      <c r="O22" s="2">
        <f t="shared" si="10"/>
        <v>-1.1379999999999999</v>
      </c>
      <c r="P22">
        <f t="shared" si="11"/>
        <v>7.6671726339059651E-2</v>
      </c>
      <c r="Q22">
        <f t="shared" si="12"/>
        <v>7.6671726339059651E-2</v>
      </c>
      <c r="R22">
        <f t="shared" si="13"/>
        <v>-2.5680000000000001</v>
      </c>
    </row>
    <row r="23" spans="1:18" x14ac:dyDescent="0.25">
      <c r="A23" s="19">
        <v>20</v>
      </c>
      <c r="B23" s="15">
        <v>0</v>
      </c>
      <c r="C23" s="15">
        <v>0</v>
      </c>
      <c r="D23" s="15">
        <f t="shared" si="1"/>
        <v>0</v>
      </c>
      <c r="E23" s="15">
        <v>2</v>
      </c>
      <c r="F23" s="2">
        <f t="shared" si="2"/>
        <v>2</v>
      </c>
      <c r="G23" s="2">
        <f t="shared" si="3"/>
        <v>0</v>
      </c>
      <c r="H23" s="2">
        <f t="shared" si="4"/>
        <v>0</v>
      </c>
      <c r="I23" s="2">
        <f t="shared" si="5"/>
        <v>1</v>
      </c>
      <c r="J23" s="16">
        <f t="shared" si="0"/>
        <v>0.91529553745216374</v>
      </c>
      <c r="K23" s="16">
        <f t="shared" si="6"/>
        <v>0.83776592087984525</v>
      </c>
      <c r="L23" s="2">
        <f t="shared" si="7"/>
        <v>-7.6999999999999999E-2</v>
      </c>
      <c r="M23" s="42">
        <f t="shared" si="8"/>
        <v>9.3810487032095283E-2</v>
      </c>
      <c r="N23" s="16">
        <f t="shared" si="9"/>
        <v>0.82117943341300836</v>
      </c>
      <c r="O23" s="2">
        <f t="shared" si="10"/>
        <v>-0.19700000000000001</v>
      </c>
      <c r="P23">
        <f t="shared" si="11"/>
        <v>0.105277984028554</v>
      </c>
      <c r="Q23">
        <f t="shared" si="12"/>
        <v>1</v>
      </c>
      <c r="R23">
        <f t="shared" si="13"/>
        <v>0</v>
      </c>
    </row>
    <row r="24" spans="1:18" x14ac:dyDescent="0.25">
      <c r="A24" s="19">
        <v>21</v>
      </c>
      <c r="B24" s="15">
        <v>0</v>
      </c>
      <c r="C24" s="15">
        <v>0</v>
      </c>
      <c r="D24" s="15">
        <f t="shared" si="1"/>
        <v>0</v>
      </c>
      <c r="E24" s="15">
        <v>1</v>
      </c>
      <c r="F24" s="2">
        <f t="shared" si="2"/>
        <v>1</v>
      </c>
      <c r="G24" s="2">
        <f t="shared" si="3"/>
        <v>0</v>
      </c>
      <c r="H24" s="2">
        <f t="shared" si="4"/>
        <v>0</v>
      </c>
      <c r="I24" s="2">
        <f t="shared" si="5"/>
        <v>1</v>
      </c>
      <c r="J24" s="16">
        <f t="shared" si="0"/>
        <v>0.90291825941428239</v>
      </c>
      <c r="K24" s="16">
        <f t="shared" si="6"/>
        <v>0.90291825941428239</v>
      </c>
      <c r="L24" s="2">
        <f t="shared" si="7"/>
        <v>-4.4999999999999998E-2</v>
      </c>
      <c r="M24" s="42">
        <f t="shared" si="8"/>
        <v>0.10736228882605384</v>
      </c>
      <c r="N24" s="16">
        <f t="shared" si="9"/>
        <v>0.89263771117394619</v>
      </c>
      <c r="O24" s="2">
        <f t="shared" si="10"/>
        <v>-0.113</v>
      </c>
      <c r="P24">
        <f t="shared" si="11"/>
        <v>0.14290536721693667</v>
      </c>
      <c r="Q24">
        <f t="shared" si="12"/>
        <v>1</v>
      </c>
      <c r="R24">
        <f t="shared" si="13"/>
        <v>0</v>
      </c>
    </row>
    <row r="25" spans="1:18" x14ac:dyDescent="0.25">
      <c r="A25" s="19">
        <v>22</v>
      </c>
      <c r="B25" s="15">
        <v>0</v>
      </c>
      <c r="C25" s="15">
        <v>1</v>
      </c>
      <c r="D25" s="15">
        <f t="shared" si="1"/>
        <v>1</v>
      </c>
      <c r="E25" s="15">
        <v>11</v>
      </c>
      <c r="F25" s="2">
        <f t="shared" si="2"/>
        <v>12</v>
      </c>
      <c r="G25" s="2">
        <f t="shared" si="3"/>
        <v>0</v>
      </c>
      <c r="H25" s="2">
        <f t="shared" si="4"/>
        <v>0</v>
      </c>
      <c r="I25" s="2">
        <f t="shared" si="5"/>
        <v>0.91666666666666663</v>
      </c>
      <c r="J25" s="16">
        <f t="shared" si="0"/>
        <v>0.88895180430043108</v>
      </c>
      <c r="K25" s="16">
        <f t="shared" si="6"/>
        <v>3.2873172553516605</v>
      </c>
      <c r="L25" s="2">
        <f t="shared" si="7"/>
        <v>0.51700000000000002</v>
      </c>
      <c r="M25" s="42">
        <f t="shared" si="8"/>
        <v>0.12260690153100486</v>
      </c>
      <c r="N25" s="16">
        <f t="shared" si="9"/>
        <v>0.34900569736989567</v>
      </c>
      <c r="O25" s="2">
        <f t="shared" si="10"/>
        <v>-1.052</v>
      </c>
      <c r="P25">
        <f t="shared" si="11"/>
        <v>0.19110862865110625</v>
      </c>
      <c r="Q25">
        <f t="shared" si="12"/>
        <v>0.80889137134889377</v>
      </c>
      <c r="R25">
        <f t="shared" si="13"/>
        <v>-0.21199999999999999</v>
      </c>
    </row>
    <row r="26" spans="1:18" x14ac:dyDescent="0.25">
      <c r="A26" s="19">
        <v>23</v>
      </c>
      <c r="B26" s="15">
        <v>1</v>
      </c>
      <c r="C26" s="15">
        <v>4</v>
      </c>
      <c r="D26" s="15">
        <f t="shared" si="1"/>
        <v>5</v>
      </c>
      <c r="E26" s="15">
        <v>27</v>
      </c>
      <c r="F26" s="2">
        <f t="shared" si="2"/>
        <v>32</v>
      </c>
      <c r="G26" s="2">
        <f t="shared" si="3"/>
        <v>0.2</v>
      </c>
      <c r="H26" s="2">
        <f t="shared" si="4"/>
        <v>3.125E-2</v>
      </c>
      <c r="I26" s="2">
        <f t="shared" si="5"/>
        <v>0.84375</v>
      </c>
      <c r="J26" s="16">
        <f t="shared" si="0"/>
        <v>0.87325813252353346</v>
      </c>
      <c r="K26" s="16">
        <f t="shared" si="6"/>
        <v>657.32335149975904</v>
      </c>
      <c r="L26" s="2">
        <f t="shared" si="7"/>
        <v>2.8180000000000001</v>
      </c>
      <c r="M26" s="42">
        <f t="shared" si="8"/>
        <v>0.13967741795610403</v>
      </c>
      <c r="N26" s="16">
        <f t="shared" si="9"/>
        <v>0.18428687687769249</v>
      </c>
      <c r="O26" s="2">
        <f t="shared" si="10"/>
        <v>-1.6910000000000001</v>
      </c>
      <c r="P26">
        <f t="shared" si="11"/>
        <v>0.25081326480828164</v>
      </c>
      <c r="Q26">
        <f t="shared" si="12"/>
        <v>0.39507615916032424</v>
      </c>
      <c r="R26">
        <f t="shared" si="13"/>
        <v>-0.92800000000000005</v>
      </c>
    </row>
    <row r="27" spans="1:18" x14ac:dyDescent="0.25">
      <c r="A27" s="19">
        <v>24</v>
      </c>
      <c r="B27" s="15">
        <v>10</v>
      </c>
      <c r="C27" s="15">
        <v>3</v>
      </c>
      <c r="D27" s="15">
        <f t="shared" si="1"/>
        <v>13</v>
      </c>
      <c r="E27" s="15">
        <v>27</v>
      </c>
      <c r="F27" s="2">
        <f t="shared" si="2"/>
        <v>40</v>
      </c>
      <c r="G27" s="2">
        <f t="shared" si="3"/>
        <v>0.76923076923076927</v>
      </c>
      <c r="H27" s="2">
        <f t="shared" si="4"/>
        <v>0.25</v>
      </c>
      <c r="I27" s="2">
        <f t="shared" si="5"/>
        <v>0.67500000000000004</v>
      </c>
      <c r="J27" s="16">
        <f t="shared" si="0"/>
        <v>0.8557065857266517</v>
      </c>
      <c r="K27" s="16">
        <f t="shared" si="6"/>
        <v>0.70083965767959533</v>
      </c>
      <c r="L27" s="2">
        <f t="shared" si="7"/>
        <v>-0.155</v>
      </c>
      <c r="M27" s="42">
        <f t="shared" si="8"/>
        <v>0.15869477688379072</v>
      </c>
      <c r="N27" s="16">
        <f t="shared" si="9"/>
        <v>4.5860944048234046E-3</v>
      </c>
      <c r="O27" s="2">
        <f t="shared" si="10"/>
        <v>-5.3840000000000003</v>
      </c>
      <c r="P27">
        <f t="shared" si="11"/>
        <v>0.3217510037519683</v>
      </c>
      <c r="Q27">
        <f t="shared" si="12"/>
        <v>1.0610421009215885E-3</v>
      </c>
      <c r="R27">
        <f t="shared" si="13"/>
        <v>-6.8479999999999999</v>
      </c>
    </row>
    <row r="28" spans="1:18" x14ac:dyDescent="0.25">
      <c r="A28" s="19">
        <v>25</v>
      </c>
      <c r="B28" s="15">
        <v>11</v>
      </c>
      <c r="C28" s="15">
        <v>5</v>
      </c>
      <c r="D28" s="15">
        <f t="shared" si="1"/>
        <v>16</v>
      </c>
      <c r="E28" s="15">
        <v>63</v>
      </c>
      <c r="F28" s="2">
        <f t="shared" si="2"/>
        <v>79</v>
      </c>
      <c r="G28" s="2">
        <f t="shared" si="3"/>
        <v>0.6875</v>
      </c>
      <c r="H28" s="2">
        <f t="shared" si="4"/>
        <v>0.13924050632911392</v>
      </c>
      <c r="I28" s="2">
        <f t="shared" si="5"/>
        <v>0.79746835443037978</v>
      </c>
      <c r="J28" s="16">
        <f t="shared" si="0"/>
        <v>0.83618042208046328</v>
      </c>
      <c r="K28" s="16">
        <f t="shared" si="6"/>
        <v>626.18798572895719</v>
      </c>
      <c r="L28" s="2">
        <f t="shared" si="7"/>
        <v>2.7969999999999997</v>
      </c>
      <c r="M28" s="42">
        <f t="shared" si="8"/>
        <v>0.1797603752019081</v>
      </c>
      <c r="N28" s="16">
        <f t="shared" si="9"/>
        <v>9.7084892055797914E-2</v>
      </c>
      <c r="O28" s="2">
        <f t="shared" si="10"/>
        <v>-2.3319999999999999</v>
      </c>
      <c r="P28">
        <f t="shared" si="11"/>
        <v>0.40198683168913563</v>
      </c>
      <c r="Q28">
        <f t="shared" si="12"/>
        <v>1.4796754203749629E-2</v>
      </c>
      <c r="R28">
        <f t="shared" si="13"/>
        <v>-4.2130000000000001</v>
      </c>
    </row>
    <row r="29" spans="1:18" x14ac:dyDescent="0.25">
      <c r="A29" s="19">
        <v>26</v>
      </c>
      <c r="B29" s="15">
        <v>15</v>
      </c>
      <c r="C29" s="15">
        <v>5</v>
      </c>
      <c r="D29" s="15">
        <f t="shared" si="1"/>
        <v>20</v>
      </c>
      <c r="E29" s="15">
        <v>57</v>
      </c>
      <c r="F29" s="2">
        <f t="shared" si="2"/>
        <v>77</v>
      </c>
      <c r="G29" s="2">
        <f t="shared" si="3"/>
        <v>0.75</v>
      </c>
      <c r="H29" s="2">
        <f t="shared" si="4"/>
        <v>0.19480519480519481</v>
      </c>
      <c r="I29" s="2">
        <f t="shared" si="5"/>
        <v>0.74025974025974028</v>
      </c>
      <c r="J29" s="16">
        <f t="shared" si="0"/>
        <v>0.81458447031507197</v>
      </c>
      <c r="K29" s="16">
        <f t="shared" si="6"/>
        <v>129.89684910646332</v>
      </c>
      <c r="L29" s="2">
        <f t="shared" si="7"/>
        <v>2.1139999999999999</v>
      </c>
      <c r="M29" s="42">
        <f t="shared" si="8"/>
        <v>0.20294772903862968</v>
      </c>
      <c r="N29" s="16">
        <f t="shared" si="9"/>
        <v>5.0174095315260639E-2</v>
      </c>
      <c r="O29" s="2">
        <f t="shared" si="10"/>
        <v>-2.992</v>
      </c>
      <c r="P29">
        <f t="shared" si="11"/>
        <v>0.48783980313158187</v>
      </c>
      <c r="Q29">
        <f t="shared" si="12"/>
        <v>1.1524745795499246E-2</v>
      </c>
      <c r="R29">
        <f t="shared" si="13"/>
        <v>-4.4630000000000001</v>
      </c>
    </row>
    <row r="30" spans="1:18" x14ac:dyDescent="0.25">
      <c r="A30" s="19">
        <v>27</v>
      </c>
      <c r="B30" s="15">
        <v>24</v>
      </c>
      <c r="C30" s="15">
        <v>8</v>
      </c>
      <c r="D30" s="15">
        <f t="shared" si="1"/>
        <v>32</v>
      </c>
      <c r="E30" s="15">
        <v>61</v>
      </c>
      <c r="F30" s="2">
        <f t="shared" si="2"/>
        <v>93</v>
      </c>
      <c r="G30" s="2">
        <f t="shared" si="3"/>
        <v>0.75</v>
      </c>
      <c r="H30" s="2">
        <f t="shared" si="4"/>
        <v>0.25806451612903225</v>
      </c>
      <c r="I30" s="2">
        <f t="shared" si="5"/>
        <v>0.65591397849462363</v>
      </c>
      <c r="J30" s="16">
        <f t="shared" si="0"/>
        <v>0.79085365538399877</v>
      </c>
      <c r="K30" s="16">
        <f t="shared" si="6"/>
        <v>258.36989954772463</v>
      </c>
      <c r="L30" s="2">
        <f t="shared" si="7"/>
        <v>2.4129999999999998</v>
      </c>
      <c r="M30" s="42">
        <f t="shared" si="8"/>
        <v>0.22829357165946565</v>
      </c>
      <c r="N30" s="16">
        <f t="shared" si="9"/>
        <v>3.499037269710016E-3</v>
      </c>
      <c r="O30" s="2">
        <f t="shared" si="10"/>
        <v>-5.6550000000000002</v>
      </c>
      <c r="P30">
        <f t="shared" si="11"/>
        <v>0.57441628166902214</v>
      </c>
      <c r="Q30">
        <f t="shared" si="12"/>
        <v>1.8848091598667537E-2</v>
      </c>
      <c r="R30">
        <f t="shared" si="13"/>
        <v>-3.9710000000000001</v>
      </c>
    </row>
    <row r="31" spans="1:18" x14ac:dyDescent="0.25">
      <c r="A31" s="19">
        <v>28</v>
      </c>
      <c r="B31" s="15">
        <v>33</v>
      </c>
      <c r="C31" s="15">
        <v>12</v>
      </c>
      <c r="D31" s="15">
        <f t="shared" si="1"/>
        <v>45</v>
      </c>
      <c r="E31" s="15">
        <v>75</v>
      </c>
      <c r="F31" s="2">
        <f t="shared" si="2"/>
        <v>120</v>
      </c>
      <c r="G31" s="2">
        <f t="shared" si="3"/>
        <v>0.73333333333333328</v>
      </c>
      <c r="H31" s="2">
        <f t="shared" si="4"/>
        <v>0.27500000000000002</v>
      </c>
      <c r="I31" s="2">
        <f t="shared" si="5"/>
        <v>0.625</v>
      </c>
      <c r="J31" s="16">
        <f t="shared" si="0"/>
        <v>0.76496195719075244</v>
      </c>
      <c r="K31" s="16">
        <f t="shared" si="6"/>
        <v>7473.3861519622606</v>
      </c>
      <c r="L31" s="2">
        <f t="shared" si="7"/>
        <v>3.8740000000000001</v>
      </c>
      <c r="M31" s="42">
        <f t="shared" si="8"/>
        <v>0.25578898155063667</v>
      </c>
      <c r="N31" s="16">
        <f t="shared" si="9"/>
        <v>1.215793767029575E-3</v>
      </c>
      <c r="O31" s="2">
        <f t="shared" si="10"/>
        <v>-6.7119999999999997</v>
      </c>
      <c r="P31">
        <f t="shared" si="11"/>
        <v>0.65665787455351643</v>
      </c>
      <c r="Q31">
        <f t="shared" si="12"/>
        <v>7.2394650283810716E-2</v>
      </c>
      <c r="R31">
        <f t="shared" si="13"/>
        <v>-2.625</v>
      </c>
    </row>
    <row r="32" spans="1:18" x14ac:dyDescent="0.25">
      <c r="A32" s="19">
        <v>29</v>
      </c>
      <c r="B32" s="15">
        <v>26</v>
      </c>
      <c r="C32" s="15">
        <v>5</v>
      </c>
      <c r="D32" s="15">
        <f t="shared" si="1"/>
        <v>31</v>
      </c>
      <c r="E32" s="15">
        <v>85</v>
      </c>
      <c r="F32" s="2">
        <f t="shared" si="2"/>
        <v>116</v>
      </c>
      <c r="G32" s="2">
        <f t="shared" si="3"/>
        <v>0.83870967741935487</v>
      </c>
      <c r="H32" s="2">
        <f t="shared" si="4"/>
        <v>0.22413793103448276</v>
      </c>
      <c r="I32" s="2">
        <f t="shared" si="5"/>
        <v>0.73275862068965514</v>
      </c>
      <c r="J32" s="16">
        <f t="shared" si="0"/>
        <v>0.73693115669259313</v>
      </c>
      <c r="K32" s="16">
        <f t="shared" si="6"/>
        <v>65.897049142618727</v>
      </c>
      <c r="L32" s="2">
        <f t="shared" si="7"/>
        <v>1.819</v>
      </c>
      <c r="M32" s="42">
        <f t="shared" si="8"/>
        <v>0.28537133261372244</v>
      </c>
      <c r="N32" s="16">
        <f t="shared" si="9"/>
        <v>7.5915530978710219E-2</v>
      </c>
      <c r="O32" s="2">
        <f t="shared" si="10"/>
        <v>-2.5779999999999998</v>
      </c>
      <c r="P32">
        <f t="shared" si="11"/>
        <v>0.73046416132849623</v>
      </c>
      <c r="Q32">
        <f t="shared" si="12"/>
        <v>6.8687202815457149E-2</v>
      </c>
      <c r="R32">
        <f t="shared" si="13"/>
        <v>-2.6779999999999999</v>
      </c>
    </row>
    <row r="33" spans="1:18" x14ac:dyDescent="0.25">
      <c r="A33" s="19">
        <v>30</v>
      </c>
      <c r="B33" s="15">
        <v>35</v>
      </c>
      <c r="C33" s="15">
        <v>9</v>
      </c>
      <c r="D33" s="15">
        <f t="shared" si="1"/>
        <v>44</v>
      </c>
      <c r="E33" s="15">
        <v>103</v>
      </c>
      <c r="F33" s="2">
        <f t="shared" si="2"/>
        <v>147</v>
      </c>
      <c r="G33" s="2">
        <f t="shared" si="3"/>
        <v>0.79545454545454541</v>
      </c>
      <c r="H33" s="2">
        <f t="shared" si="4"/>
        <v>0.23809523809523808</v>
      </c>
      <c r="I33" s="2">
        <f t="shared" si="5"/>
        <v>0.70068027210884354</v>
      </c>
      <c r="J33" s="16">
        <f t="shared" si="0"/>
        <v>0.70683853315037526</v>
      </c>
      <c r="K33" s="16">
        <f t="shared" si="6"/>
        <v>4422.9879189993426</v>
      </c>
      <c r="L33" s="2">
        <f t="shared" si="7"/>
        <v>3.6459999999999999</v>
      </c>
      <c r="M33" s="42">
        <f t="shared" si="8"/>
        <v>0.3169180081773218</v>
      </c>
      <c r="N33" s="16">
        <f t="shared" si="9"/>
        <v>6.4470182091986739E-2</v>
      </c>
      <c r="O33" s="2">
        <f t="shared" si="10"/>
        <v>-2.7410000000000001</v>
      </c>
      <c r="P33">
        <f t="shared" si="11"/>
        <v>0.79339654409834304</v>
      </c>
      <c r="Q33">
        <f t="shared" si="12"/>
        <v>0.14757152224202727</v>
      </c>
      <c r="R33">
        <f t="shared" si="13"/>
        <v>-1.913</v>
      </c>
    </row>
    <row r="34" spans="1:18" x14ac:dyDescent="0.25">
      <c r="A34" s="19">
        <v>31</v>
      </c>
      <c r="B34" s="15">
        <v>55</v>
      </c>
      <c r="C34" s="15">
        <v>13</v>
      </c>
      <c r="D34" s="15">
        <f t="shared" si="1"/>
        <v>68</v>
      </c>
      <c r="E34" s="15">
        <v>129</v>
      </c>
      <c r="F34" s="2">
        <f t="shared" si="2"/>
        <v>197</v>
      </c>
      <c r="G34" s="2">
        <f t="shared" si="3"/>
        <v>0.80882352941176472</v>
      </c>
      <c r="H34" s="2">
        <f t="shared" si="4"/>
        <v>0.27918781725888325</v>
      </c>
      <c r="I34" s="2">
        <f t="shared" si="5"/>
        <v>0.65482233502538068</v>
      </c>
      <c r="J34" s="16">
        <f t="shared" si="0"/>
        <v>0.67482254648775075</v>
      </c>
      <c r="K34" s="16">
        <f t="shared" si="6"/>
        <v>109954.36335202189</v>
      </c>
      <c r="L34" s="2">
        <f t="shared" si="7"/>
        <v>5.0420000000000007</v>
      </c>
      <c r="M34" s="42">
        <f t="shared" si="8"/>
        <v>0.35024287249678271</v>
      </c>
      <c r="N34" s="16">
        <f t="shared" si="9"/>
        <v>5.9037942611406248E-2</v>
      </c>
      <c r="O34" s="2">
        <f t="shared" si="10"/>
        <v>-2.8290000000000002</v>
      </c>
      <c r="P34">
        <f t="shared" si="11"/>
        <v>0.84475799008348118</v>
      </c>
      <c r="Q34">
        <f t="shared" si="12"/>
        <v>8.910337797837134E-2</v>
      </c>
      <c r="R34">
        <f t="shared" si="13"/>
        <v>-2.4169999999999998</v>
      </c>
    </row>
    <row r="35" spans="1:18" x14ac:dyDescent="0.25">
      <c r="A35" s="19">
        <v>32</v>
      </c>
      <c r="B35" s="15">
        <v>102</v>
      </c>
      <c r="C35" s="15">
        <v>14</v>
      </c>
      <c r="D35" s="15">
        <f t="shared" si="1"/>
        <v>116</v>
      </c>
      <c r="E35" s="15">
        <v>134</v>
      </c>
      <c r="F35" s="2">
        <f t="shared" si="2"/>
        <v>250</v>
      </c>
      <c r="G35" s="2">
        <f t="shared" si="3"/>
        <v>0.87931034482758619</v>
      </c>
      <c r="H35" s="2">
        <f t="shared" si="4"/>
        <v>0.40799999999999997</v>
      </c>
      <c r="I35" s="2">
        <f t="shared" si="5"/>
        <v>0.53600000000000003</v>
      </c>
      <c r="J35" s="16">
        <f t="shared" si="0"/>
        <v>0.64108551916528711</v>
      </c>
      <c r="K35" s="16">
        <f t="shared" si="6"/>
        <v>260.20368603843036</v>
      </c>
      <c r="L35" s="2">
        <f t="shared" si="7"/>
        <v>2.4159999999999999</v>
      </c>
      <c r="M35" s="42">
        <f t="shared" si="8"/>
        <v>0.38509640169960657</v>
      </c>
      <c r="N35" s="16">
        <f t="shared" si="9"/>
        <v>2.0215936021243885E-3</v>
      </c>
      <c r="O35" s="2">
        <f t="shared" si="10"/>
        <v>-6.2030000000000003</v>
      </c>
      <c r="P35">
        <f t="shared" si="11"/>
        <v>0.88519856393426244</v>
      </c>
      <c r="Q35">
        <f t="shared" si="12"/>
        <v>0.11083532006439265</v>
      </c>
      <c r="R35">
        <f t="shared" si="13"/>
        <v>-2.1989999999999998</v>
      </c>
    </row>
    <row r="36" spans="1:18" x14ac:dyDescent="0.25">
      <c r="A36" s="19">
        <v>33</v>
      </c>
      <c r="B36" s="15">
        <v>94</v>
      </c>
      <c r="C36" s="15">
        <v>10</v>
      </c>
      <c r="D36" s="15">
        <f t="shared" si="1"/>
        <v>104</v>
      </c>
      <c r="E36" s="15">
        <v>122</v>
      </c>
      <c r="F36" s="2">
        <f t="shared" si="2"/>
        <v>226</v>
      </c>
      <c r="G36" s="2">
        <f t="shared" si="3"/>
        <v>0.90384615384615385</v>
      </c>
      <c r="H36" s="2">
        <f t="shared" si="4"/>
        <v>0.41592920353982299</v>
      </c>
      <c r="I36" s="2">
        <f t="shared" si="5"/>
        <v>0.53982300884955747</v>
      </c>
      <c r="J36" s="16">
        <f t="shared" si="0"/>
        <v>0.60589246542827302</v>
      </c>
      <c r="K36" s="16">
        <f t="shared" si="6"/>
        <v>77.084400342839174</v>
      </c>
      <c r="L36" s="2">
        <f t="shared" si="7"/>
        <v>1.8869999999999998</v>
      </c>
      <c r="M36" s="42">
        <f t="shared" si="8"/>
        <v>0.4211701131941617</v>
      </c>
      <c r="N36" s="16">
        <f t="shared" si="9"/>
        <v>2.640730502551359E-2</v>
      </c>
      <c r="O36" s="2">
        <f t="shared" si="10"/>
        <v>-3.6339999999999999</v>
      </c>
      <c r="P36">
        <f t="shared" si="11"/>
        <v>0.91615003353960944</v>
      </c>
      <c r="Q36">
        <f t="shared" si="12"/>
        <v>0.11927417587188445</v>
      </c>
      <c r="R36">
        <f t="shared" si="13"/>
        <v>-2.1259999999999999</v>
      </c>
    </row>
    <row r="37" spans="1:18" x14ac:dyDescent="0.25">
      <c r="A37" s="19">
        <v>34</v>
      </c>
      <c r="B37" s="15">
        <v>83</v>
      </c>
      <c r="C37" s="15">
        <v>10</v>
      </c>
      <c r="D37" s="15">
        <f t="shared" si="1"/>
        <v>93</v>
      </c>
      <c r="E37" s="15">
        <v>125</v>
      </c>
      <c r="F37" s="2">
        <f t="shared" si="2"/>
        <v>218</v>
      </c>
      <c r="G37" s="2">
        <f t="shared" si="3"/>
        <v>0.89247311827956988</v>
      </c>
      <c r="H37" s="2">
        <f t="shared" si="4"/>
        <v>0.38073394495412843</v>
      </c>
      <c r="I37" s="2">
        <f t="shared" si="5"/>
        <v>0.57339449541284404</v>
      </c>
      <c r="J37" s="16">
        <f t="shared" si="0"/>
        <v>0.56956552262221938</v>
      </c>
      <c r="K37" s="16">
        <f t="shared" si="6"/>
        <v>248.32799288821749</v>
      </c>
      <c r="L37" s="2">
        <f t="shared" si="7"/>
        <v>2.3959999999999999</v>
      </c>
      <c r="M37" s="42">
        <f t="shared" si="8"/>
        <v>0.4581055045414601</v>
      </c>
      <c r="N37" s="16">
        <f t="shared" si="9"/>
        <v>3.5230095367505765E-2</v>
      </c>
      <c r="O37" s="2">
        <f t="shared" si="10"/>
        <v>-3.3450000000000002</v>
      </c>
      <c r="P37">
        <f t="shared" si="11"/>
        <v>0.93932866667558201</v>
      </c>
      <c r="Q37">
        <f t="shared" si="12"/>
        <v>3.0274325529710776E-2</v>
      </c>
      <c r="R37">
        <f t="shared" si="13"/>
        <v>-3.4969999999999999</v>
      </c>
    </row>
    <row r="38" spans="1:18" x14ac:dyDescent="0.25">
      <c r="A38" s="19">
        <v>35</v>
      </c>
      <c r="B38" s="15">
        <v>111</v>
      </c>
      <c r="C38" s="15">
        <v>6</v>
      </c>
      <c r="D38" s="15">
        <f t="shared" si="1"/>
        <v>117</v>
      </c>
      <c r="E38" s="15">
        <v>119</v>
      </c>
      <c r="F38" s="2">
        <f t="shared" si="2"/>
        <v>236</v>
      </c>
      <c r="G38" s="2">
        <f t="shared" si="3"/>
        <v>0.94871794871794868</v>
      </c>
      <c r="H38" s="2">
        <f t="shared" si="4"/>
        <v>0.47033898305084748</v>
      </c>
      <c r="I38" s="2">
        <f t="shared" si="5"/>
        <v>0.50423728813559321</v>
      </c>
      <c r="J38" s="16">
        <f t="shared" si="0"/>
        <v>0.53247390294754726</v>
      </c>
      <c r="K38" s="16">
        <f t="shared" si="6"/>
        <v>3.4071340971771109</v>
      </c>
      <c r="L38" s="2">
        <f t="shared" si="7"/>
        <v>0.53300000000000003</v>
      </c>
      <c r="M38" s="42">
        <f t="shared" si="8"/>
        <v>0.49550716897124969</v>
      </c>
      <c r="N38" s="16">
        <f t="shared" si="9"/>
        <v>5.1883129991928255E-2</v>
      </c>
      <c r="O38" s="2">
        <f t="shared" si="10"/>
        <v>-2.9580000000000002</v>
      </c>
      <c r="P38">
        <f t="shared" si="11"/>
        <v>0.95640492415766176</v>
      </c>
      <c r="Q38">
        <f t="shared" si="12"/>
        <v>0.15243171014693818</v>
      </c>
      <c r="R38">
        <f t="shared" si="13"/>
        <v>-1.881</v>
      </c>
    </row>
    <row r="39" spans="1:18" x14ac:dyDescent="0.25">
      <c r="A39" s="19">
        <v>36</v>
      </c>
      <c r="B39" s="15">
        <v>144</v>
      </c>
      <c r="C39" s="15">
        <v>10</v>
      </c>
      <c r="D39" s="15">
        <f t="shared" si="1"/>
        <v>154</v>
      </c>
      <c r="E39" s="15">
        <v>119</v>
      </c>
      <c r="F39" s="2">
        <f t="shared" si="2"/>
        <v>273</v>
      </c>
      <c r="G39" s="2">
        <f t="shared" si="3"/>
        <v>0.93506493506493504</v>
      </c>
      <c r="H39" s="2">
        <f t="shared" si="4"/>
        <v>0.52747252747252749</v>
      </c>
      <c r="I39" s="2">
        <f t="shared" si="5"/>
        <v>0.4358974358974359</v>
      </c>
      <c r="J39" s="16">
        <f t="shared" si="0"/>
        <v>0.49501984422256456</v>
      </c>
      <c r="K39" s="16">
        <f t="shared" si="6"/>
        <v>6.6491422406732532</v>
      </c>
      <c r="L39" s="2">
        <f t="shared" si="7"/>
        <v>0.82299999999999995</v>
      </c>
      <c r="M39" s="42">
        <f t="shared" si="8"/>
        <v>0.53295918476818116</v>
      </c>
      <c r="N39" s="16">
        <f t="shared" si="9"/>
        <v>2.8527789392376723E-2</v>
      </c>
      <c r="O39" s="2">
        <f t="shared" si="10"/>
        <v>-3.556</v>
      </c>
      <c r="P39">
        <f t="shared" si="11"/>
        <v>0.96883444423161436</v>
      </c>
      <c r="Q39">
        <f t="shared" si="12"/>
        <v>1.3884620327526454E-2</v>
      </c>
      <c r="R39">
        <f t="shared" si="13"/>
        <v>-4.2759999999999998</v>
      </c>
    </row>
    <row r="40" spans="1:18" x14ac:dyDescent="0.25">
      <c r="A40" s="19">
        <v>37</v>
      </c>
      <c r="B40" s="15">
        <v>194</v>
      </c>
      <c r="C40" s="15">
        <v>5</v>
      </c>
      <c r="D40" s="15">
        <f t="shared" si="1"/>
        <v>199</v>
      </c>
      <c r="E40" s="15">
        <v>196</v>
      </c>
      <c r="F40" s="2">
        <f t="shared" si="2"/>
        <v>395</v>
      </c>
      <c r="G40" s="2">
        <f t="shared" si="3"/>
        <v>0.97487437185929648</v>
      </c>
      <c r="H40" s="2">
        <f t="shared" si="4"/>
        <v>0.49113924050632912</v>
      </c>
      <c r="I40" s="2">
        <f t="shared" si="5"/>
        <v>0.4962025316455696</v>
      </c>
      <c r="J40" s="16">
        <f t="shared" si="0"/>
        <v>0.45762159731100899</v>
      </c>
      <c r="K40" s="16">
        <f t="shared" si="6"/>
        <v>0.2625544820617508</v>
      </c>
      <c r="L40" s="2">
        <f t="shared" si="7"/>
        <v>-0.58099999999999996</v>
      </c>
      <c r="M40" s="42">
        <f t="shared" si="8"/>
        <v>0.57004339197585085</v>
      </c>
      <c r="N40" s="16">
        <f t="shared" si="9"/>
        <v>1.2083201979274387E-3</v>
      </c>
      <c r="O40" s="2">
        <f t="shared" si="10"/>
        <v>-6.718</v>
      </c>
      <c r="P40">
        <f t="shared" si="11"/>
        <v>0.97780239727581453</v>
      </c>
      <c r="Q40">
        <f t="shared" si="12"/>
        <v>0.17113437505125617</v>
      </c>
      <c r="R40">
        <f t="shared" si="13"/>
        <v>-1.7649999999999999</v>
      </c>
    </row>
    <row r="41" spans="1:18" x14ac:dyDescent="0.25">
      <c r="A41" s="19">
        <v>38</v>
      </c>
      <c r="B41" s="15">
        <v>257</v>
      </c>
      <c r="C41" s="15">
        <v>10</v>
      </c>
      <c r="D41" s="15">
        <f t="shared" si="1"/>
        <v>267</v>
      </c>
      <c r="E41" s="15">
        <v>227</v>
      </c>
      <c r="F41" s="2">
        <f t="shared" si="2"/>
        <v>494</v>
      </c>
      <c r="G41" s="2">
        <f t="shared" si="3"/>
        <v>0.96254681647940077</v>
      </c>
      <c r="H41" s="2">
        <f t="shared" si="4"/>
        <v>0.52024291497975705</v>
      </c>
      <c r="I41" s="2">
        <f t="shared" si="5"/>
        <v>0.45951417004048584</v>
      </c>
      <c r="J41" s="16">
        <f t="shared" si="0"/>
        <v>0.42069493217293091</v>
      </c>
      <c r="K41" s="16">
        <f t="shared" si="6"/>
        <v>1.856844567862473</v>
      </c>
      <c r="L41" s="2">
        <f t="shared" si="7"/>
        <v>0.26900000000000002</v>
      </c>
      <c r="M41" s="42">
        <f t="shared" si="8"/>
        <v>0.6063578778555252</v>
      </c>
      <c r="N41" s="16">
        <f t="shared" si="9"/>
        <v>4.3423446477404881E-4</v>
      </c>
      <c r="O41" s="2">
        <f t="shared" si="10"/>
        <v>-7.7409999999999997</v>
      </c>
      <c r="P41">
        <f t="shared" si="11"/>
        <v>0.9842318028206648</v>
      </c>
      <c r="Q41">
        <f t="shared" si="12"/>
        <v>6.8410175988846134E-3</v>
      </c>
      <c r="R41">
        <f t="shared" si="13"/>
        <v>-4.984</v>
      </c>
    </row>
    <row r="42" spans="1:18" x14ac:dyDescent="0.25">
      <c r="A42" s="19">
        <v>39</v>
      </c>
      <c r="B42" s="15">
        <v>271</v>
      </c>
      <c r="C42" s="15">
        <v>13</v>
      </c>
      <c r="D42" s="15">
        <f t="shared" si="1"/>
        <v>284</v>
      </c>
      <c r="E42" s="15">
        <v>191</v>
      </c>
      <c r="F42" s="2">
        <f t="shared" si="2"/>
        <v>475</v>
      </c>
      <c r="G42" s="2">
        <f t="shared" si="3"/>
        <v>0.95422535211267601</v>
      </c>
      <c r="H42" s="2">
        <f t="shared" si="4"/>
        <v>0.57052631578947366</v>
      </c>
      <c r="I42" s="2">
        <f t="shared" si="5"/>
        <v>0.40210526315789474</v>
      </c>
      <c r="J42" s="16">
        <f t="shared" si="0"/>
        <v>0.38463487529437468</v>
      </c>
      <c r="K42" s="16">
        <f t="shared" si="6"/>
        <v>15.164477319953273</v>
      </c>
      <c r="L42" s="2">
        <f t="shared" si="7"/>
        <v>1.1809999999999998</v>
      </c>
      <c r="M42" s="42">
        <f t="shared" si="8"/>
        <v>0.64153395968258997</v>
      </c>
      <c r="N42" s="16">
        <f t="shared" si="9"/>
        <v>5.3885945695055651E-3</v>
      </c>
      <c r="O42" s="2">
        <f t="shared" si="10"/>
        <v>-5.2229999999999999</v>
      </c>
      <c r="P42">
        <f t="shared" si="11"/>
        <v>0.98882026071223872</v>
      </c>
      <c r="Q42">
        <f t="shared" si="12"/>
        <v>1.9240039415929432E-5</v>
      </c>
      <c r="R42">
        <f t="shared" si="13"/>
        <v>-10.858000000000001</v>
      </c>
    </row>
    <row r="43" spans="1:18" x14ac:dyDescent="0.25">
      <c r="A43" s="19">
        <v>40</v>
      </c>
      <c r="B43" s="15">
        <v>262</v>
      </c>
      <c r="C43" s="15">
        <v>3</v>
      </c>
      <c r="D43" s="15">
        <f t="shared" si="1"/>
        <v>265</v>
      </c>
      <c r="E43" s="15">
        <v>164</v>
      </c>
      <c r="F43" s="2">
        <f t="shared" si="2"/>
        <v>429</v>
      </c>
      <c r="G43" s="2">
        <f t="shared" si="3"/>
        <v>0.98867924528301887</v>
      </c>
      <c r="H43" s="2">
        <f t="shared" si="4"/>
        <v>0.61072261072261069</v>
      </c>
      <c r="I43" s="2">
        <f t="shared" si="5"/>
        <v>0.38228438228438227</v>
      </c>
      <c r="J43" s="16">
        <f t="shared" si="0"/>
        <v>0.34979935483860469</v>
      </c>
      <c r="K43" s="16">
        <f t="shared" si="6"/>
        <v>5.3974184960597776E-2</v>
      </c>
      <c r="L43" s="2">
        <f t="shared" si="7"/>
        <v>-1.2679999999999998</v>
      </c>
      <c r="M43" s="42">
        <f t="shared" si="8"/>
        <v>0.67525018750358079</v>
      </c>
      <c r="N43" s="16">
        <f t="shared" si="9"/>
        <v>1.6967653187208841E-3</v>
      </c>
      <c r="O43" s="2">
        <f t="shared" si="10"/>
        <v>-6.3789999999999996</v>
      </c>
      <c r="P43">
        <f t="shared" si="11"/>
        <v>0.99208424138959461</v>
      </c>
      <c r="Q43">
        <f t="shared" si="12"/>
        <v>0.18960611528725257</v>
      </c>
      <c r="R43">
        <f t="shared" si="13"/>
        <v>-1.6619999999999999</v>
      </c>
    </row>
    <row r="44" spans="1:18" x14ac:dyDescent="0.25">
      <c r="A44" s="19">
        <v>41</v>
      </c>
      <c r="B44" s="15">
        <v>195</v>
      </c>
      <c r="C44" s="15">
        <v>3</v>
      </c>
      <c r="D44" s="15">
        <f t="shared" si="1"/>
        <v>198</v>
      </c>
      <c r="E44" s="15">
        <v>98</v>
      </c>
      <c r="F44" s="2">
        <f t="shared" si="2"/>
        <v>296</v>
      </c>
      <c r="G44" s="2">
        <f t="shared" si="3"/>
        <v>0.98484848484848486</v>
      </c>
      <c r="H44" s="2">
        <f t="shared" si="4"/>
        <v>0.65878378378378377</v>
      </c>
      <c r="I44" s="2">
        <f t="shared" si="5"/>
        <v>0.33108108108108109</v>
      </c>
      <c r="J44" s="16">
        <f t="shared" si="0"/>
        <v>0.31649613481345695</v>
      </c>
      <c r="K44" s="16">
        <f t="shared" si="6"/>
        <v>0.13343144496063417</v>
      </c>
      <c r="L44" s="2">
        <f t="shared" si="7"/>
        <v>-0.875</v>
      </c>
      <c r="M44" s="42">
        <f t="shared" si="8"/>
        <v>0.70724233597197284</v>
      </c>
      <c r="N44" s="16">
        <f t="shared" si="9"/>
        <v>1.7659894944026065E-2</v>
      </c>
      <c r="O44" s="2">
        <f t="shared" si="10"/>
        <v>-4.0359999999999996</v>
      </c>
      <c r="P44">
        <f t="shared" si="11"/>
        <v>0.99440068273442217</v>
      </c>
      <c r="Q44">
        <f t="shared" si="12"/>
        <v>7.4837135936939123E-2</v>
      </c>
      <c r="R44">
        <f t="shared" si="13"/>
        <v>-2.5920000000000001</v>
      </c>
    </row>
    <row r="45" spans="1:18" x14ac:dyDescent="0.25">
      <c r="A45" s="19">
        <v>42</v>
      </c>
      <c r="B45" s="15">
        <v>189</v>
      </c>
      <c r="C45" s="15">
        <v>3</v>
      </c>
      <c r="D45" s="15">
        <f t="shared" si="1"/>
        <v>192</v>
      </c>
      <c r="E45" s="15">
        <v>76</v>
      </c>
      <c r="F45" s="2">
        <f t="shared" si="2"/>
        <v>268</v>
      </c>
      <c r="G45" s="2">
        <f t="shared" si="3"/>
        <v>0.984375</v>
      </c>
      <c r="H45" s="2">
        <f t="shared" si="4"/>
        <v>0.70522388059701491</v>
      </c>
      <c r="I45" s="2">
        <f t="shared" si="5"/>
        <v>0.28358208955223879</v>
      </c>
      <c r="J45" s="16">
        <f t="shared" ref="J45:J76" si="14">1/(1+EXP(-$J$5*(A45-$J$6)))</f>
        <v>0.28497393392406267</v>
      </c>
      <c r="K45" s="16">
        <f t="shared" si="6"/>
        <v>0.14752681181691366</v>
      </c>
      <c r="L45" s="2">
        <f t="shared" si="7"/>
        <v>-0.83199999999999996</v>
      </c>
      <c r="M45" s="42">
        <f t="shared" si="8"/>
        <v>0.73730891420791134</v>
      </c>
      <c r="N45" s="16">
        <f t="shared" si="9"/>
        <v>4.0122947842587367E-2</v>
      </c>
      <c r="O45" s="2">
        <f t="shared" si="10"/>
        <v>-3.2149999999999999</v>
      </c>
      <c r="P45">
        <f t="shared" si="11"/>
        <v>0.99604195283923713</v>
      </c>
      <c r="Q45">
        <f t="shared" si="12"/>
        <v>3.4029229648014289E-2</v>
      </c>
      <c r="R45">
        <f t="shared" si="13"/>
        <v>-3.38</v>
      </c>
    </row>
    <row r="46" spans="1:18" x14ac:dyDescent="0.25">
      <c r="A46" s="19">
        <v>43</v>
      </c>
      <c r="B46" s="15">
        <v>118</v>
      </c>
      <c r="C46" s="15">
        <v>1</v>
      </c>
      <c r="D46" s="15">
        <f t="shared" si="1"/>
        <v>119</v>
      </c>
      <c r="E46" s="15">
        <v>34</v>
      </c>
      <c r="F46" s="2">
        <f t="shared" si="2"/>
        <v>153</v>
      </c>
      <c r="G46" s="2">
        <f t="shared" si="3"/>
        <v>0.99159663865546221</v>
      </c>
      <c r="H46" s="2">
        <f t="shared" si="4"/>
        <v>0.77124183006535951</v>
      </c>
      <c r="I46" s="2">
        <f t="shared" si="5"/>
        <v>0.22222222222222221</v>
      </c>
      <c r="J46" s="16">
        <f t="shared" si="14"/>
        <v>0.25541805446493798</v>
      </c>
      <c r="K46" s="16">
        <f t="shared" si="6"/>
        <v>6.5804785008754016E-2</v>
      </c>
      <c r="L46" s="2">
        <f t="shared" si="7"/>
        <v>-1.1819999999999999</v>
      </c>
      <c r="M46" s="42">
        <f t="shared" si="8"/>
        <v>0.76531228213254388</v>
      </c>
      <c r="N46" s="16">
        <f t="shared" si="9"/>
        <v>7.2360868725955124E-2</v>
      </c>
      <c r="O46" s="2">
        <f t="shared" si="10"/>
        <v>-2.6259999999999999</v>
      </c>
      <c r="P46">
        <f t="shared" si="11"/>
        <v>0.99720348731622921</v>
      </c>
      <c r="Q46">
        <f t="shared" si="12"/>
        <v>0.23913922094348875</v>
      </c>
      <c r="R46">
        <f t="shared" si="13"/>
        <v>-1.43</v>
      </c>
    </row>
    <row r="47" spans="1:18" x14ac:dyDescent="0.25">
      <c r="A47" s="19">
        <v>44</v>
      </c>
      <c r="B47" s="15">
        <v>96</v>
      </c>
      <c r="C47" s="15">
        <v>2</v>
      </c>
      <c r="D47" s="15">
        <f t="shared" si="1"/>
        <v>98</v>
      </c>
      <c r="E47" s="15">
        <v>17</v>
      </c>
      <c r="F47" s="2">
        <f t="shared" si="2"/>
        <v>115</v>
      </c>
      <c r="G47" s="2">
        <f t="shared" si="3"/>
        <v>0.97959183673469385</v>
      </c>
      <c r="H47" s="2">
        <f t="shared" si="4"/>
        <v>0.83478260869565213</v>
      </c>
      <c r="I47" s="2">
        <f t="shared" si="5"/>
        <v>0.14782608695652175</v>
      </c>
      <c r="J47" s="16">
        <f t="shared" si="14"/>
        <v>0.22795030379165762</v>
      </c>
      <c r="K47" s="16">
        <f t="shared" si="6"/>
        <v>1.7295391722402197E-2</v>
      </c>
      <c r="L47" s="2">
        <f t="shared" si="7"/>
        <v>-1.7629999999999999</v>
      </c>
      <c r="M47" s="42">
        <f t="shared" si="8"/>
        <v>0.79117592365911038</v>
      </c>
      <c r="N47" s="16">
        <f t="shared" si="9"/>
        <v>2.5570111975862678E-2</v>
      </c>
      <c r="O47" s="2">
        <f t="shared" si="10"/>
        <v>-3.6659999999999999</v>
      </c>
      <c r="P47">
        <f t="shared" si="11"/>
        <v>0.99802483207971593</v>
      </c>
      <c r="Q47">
        <f t="shared" si="12"/>
        <v>1.5337168618414701E-2</v>
      </c>
      <c r="R47">
        <f t="shared" si="13"/>
        <v>-4.1769999999999996</v>
      </c>
    </row>
    <row r="48" spans="1:18" x14ac:dyDescent="0.25">
      <c r="A48" s="19">
        <v>45</v>
      </c>
      <c r="B48" s="15">
        <v>74</v>
      </c>
      <c r="C48" s="15">
        <v>1</v>
      </c>
      <c r="D48" s="15">
        <f t="shared" si="1"/>
        <v>75</v>
      </c>
      <c r="E48" s="15">
        <v>15</v>
      </c>
      <c r="F48" s="2">
        <f t="shared" si="2"/>
        <v>90</v>
      </c>
      <c r="G48" s="2">
        <f t="shared" si="3"/>
        <v>0.98666666666666669</v>
      </c>
      <c r="H48" s="2">
        <f t="shared" si="4"/>
        <v>0.82222222222222219</v>
      </c>
      <c r="I48" s="2">
        <f t="shared" si="5"/>
        <v>0.16666666666666666</v>
      </c>
      <c r="J48" s="16">
        <f t="shared" si="14"/>
        <v>0.20263256482064393</v>
      </c>
      <c r="K48" s="16">
        <f t="shared" si="6"/>
        <v>9.6425456155234596E-2</v>
      </c>
      <c r="L48" s="2">
        <f t="shared" si="7"/>
        <v>-1.0159999999999998</v>
      </c>
      <c r="M48" s="42">
        <f t="shared" si="8"/>
        <v>0.81487873171878811</v>
      </c>
      <c r="N48" s="16">
        <f t="shared" si="9"/>
        <v>0.10107480845677172</v>
      </c>
      <c r="O48" s="2">
        <f t="shared" si="10"/>
        <v>-2.2909999999999999</v>
      </c>
      <c r="P48">
        <f t="shared" si="11"/>
        <v>0.99860528263970605</v>
      </c>
      <c r="Q48">
        <f t="shared" si="12"/>
        <v>9.4339386406364481E-2</v>
      </c>
      <c r="R48">
        <f t="shared" si="13"/>
        <v>-2.36</v>
      </c>
    </row>
    <row r="49" spans="1:18" x14ac:dyDescent="0.25">
      <c r="A49" s="19">
        <v>46</v>
      </c>
      <c r="B49" s="15">
        <v>51</v>
      </c>
      <c r="C49" s="15">
        <v>0</v>
      </c>
      <c r="D49" s="15">
        <f t="shared" si="1"/>
        <v>51</v>
      </c>
      <c r="E49" s="15">
        <v>5</v>
      </c>
      <c r="F49" s="2">
        <f t="shared" si="2"/>
        <v>56</v>
      </c>
      <c r="G49" s="2">
        <f t="shared" si="3"/>
        <v>1</v>
      </c>
      <c r="H49" s="2">
        <f t="shared" si="4"/>
        <v>0.9107142857142857</v>
      </c>
      <c r="I49" s="2">
        <f t="shared" si="5"/>
        <v>8.9285714285714288E-2</v>
      </c>
      <c r="J49" s="16">
        <f t="shared" si="14"/>
        <v>0.17947311133873342</v>
      </c>
      <c r="K49" s="16">
        <f t="shared" si="6"/>
        <v>2.9564673854632944E-2</v>
      </c>
      <c r="L49" s="2">
        <f t="shared" si="7"/>
        <v>-1.5299999999999998</v>
      </c>
      <c r="M49" s="42">
        <f t="shared" si="8"/>
        <v>0.83644729136732598</v>
      </c>
      <c r="N49" s="16">
        <f t="shared" si="9"/>
        <v>4.9510656453831355E-2</v>
      </c>
      <c r="O49" s="2">
        <f t="shared" si="10"/>
        <v>-3.0049999999999999</v>
      </c>
      <c r="P49">
        <f t="shared" si="11"/>
        <v>0.99901532215155819</v>
      </c>
      <c r="Q49">
        <f t="shared" si="12"/>
        <v>0.950998008005984</v>
      </c>
      <c r="R49">
        <f t="shared" si="13"/>
        <v>-0.05</v>
      </c>
    </row>
    <row r="50" spans="1:18" x14ac:dyDescent="0.25">
      <c r="A50" s="19">
        <v>47</v>
      </c>
      <c r="B50" s="15">
        <v>39</v>
      </c>
      <c r="C50" s="15">
        <v>0</v>
      </c>
      <c r="D50" s="15">
        <f t="shared" si="1"/>
        <v>39</v>
      </c>
      <c r="E50" s="15">
        <v>4</v>
      </c>
      <c r="F50" s="2">
        <f t="shared" si="2"/>
        <v>43</v>
      </c>
      <c r="G50" s="2">
        <f t="shared" si="3"/>
        <v>1</v>
      </c>
      <c r="H50" s="2">
        <f t="shared" si="4"/>
        <v>0.90697674418604646</v>
      </c>
      <c r="I50" s="2">
        <f t="shared" si="5"/>
        <v>9.3023255813953487E-2</v>
      </c>
      <c r="J50" s="16">
        <f t="shared" si="14"/>
        <v>0.15843467429202743</v>
      </c>
      <c r="K50" s="16">
        <f t="shared" si="6"/>
        <v>9.3148698917425929E-2</v>
      </c>
      <c r="L50" s="2">
        <f t="shared" si="7"/>
        <v>-1.0309999999999999</v>
      </c>
      <c r="M50" s="42">
        <f t="shared" si="8"/>
        <v>0.85594712592299782</v>
      </c>
      <c r="N50" s="16">
        <f t="shared" si="9"/>
        <v>0.12327319290273482</v>
      </c>
      <c r="O50" s="2">
        <f t="shared" si="10"/>
        <v>-2.093</v>
      </c>
      <c r="P50">
        <f t="shared" si="11"/>
        <v>0.99930489613157347</v>
      </c>
      <c r="Q50">
        <f t="shared" si="12"/>
        <v>0.97324592739670202</v>
      </c>
      <c r="R50">
        <f t="shared" si="13"/>
        <v>-2.7E-2</v>
      </c>
    </row>
    <row r="51" spans="1:18" x14ac:dyDescent="0.25">
      <c r="A51" s="19">
        <v>48</v>
      </c>
      <c r="B51" s="15">
        <v>33</v>
      </c>
      <c r="C51" s="15">
        <v>0</v>
      </c>
      <c r="D51" s="15">
        <f t="shared" si="1"/>
        <v>33</v>
      </c>
      <c r="E51" s="15">
        <v>3</v>
      </c>
      <c r="F51" s="2">
        <f t="shared" si="2"/>
        <v>36</v>
      </c>
      <c r="G51" s="2">
        <f t="shared" si="3"/>
        <v>1</v>
      </c>
      <c r="H51" s="2">
        <f t="shared" si="4"/>
        <v>0.91666666666666663</v>
      </c>
      <c r="I51" s="2">
        <f t="shared" si="5"/>
        <v>8.3333333333333329E-2</v>
      </c>
      <c r="J51" s="16">
        <f t="shared" si="14"/>
        <v>0.13944331877622959</v>
      </c>
      <c r="K51" s="16">
        <f t="shared" si="6"/>
        <v>0.13633714893830753</v>
      </c>
      <c r="L51" s="2">
        <f t="shared" si="7"/>
        <v>-0.86599999999999999</v>
      </c>
      <c r="M51" s="42">
        <f t="shared" si="8"/>
        <v>0.87347374017464674</v>
      </c>
      <c r="N51" s="16">
        <f t="shared" si="9"/>
        <v>0.16652727390980196</v>
      </c>
      <c r="O51" s="2">
        <f t="shared" si="10"/>
        <v>-1.792</v>
      </c>
      <c r="P51">
        <f t="shared" si="11"/>
        <v>0.99950935404311714</v>
      </c>
      <c r="Q51">
        <f t="shared" si="12"/>
        <v>0.98393514861692155</v>
      </c>
      <c r="R51">
        <f t="shared" si="13"/>
        <v>-1.6E-2</v>
      </c>
    </row>
    <row r="52" spans="1:18" x14ac:dyDescent="0.25">
      <c r="A52" s="19">
        <v>49</v>
      </c>
      <c r="B52" s="15">
        <v>28</v>
      </c>
      <c r="C52" s="15">
        <v>0</v>
      </c>
      <c r="D52" s="15">
        <f t="shared" si="1"/>
        <v>28</v>
      </c>
      <c r="E52" s="15">
        <v>3</v>
      </c>
      <c r="F52" s="2">
        <f t="shared" si="2"/>
        <v>31</v>
      </c>
      <c r="G52" s="2">
        <f t="shared" si="3"/>
        <v>1</v>
      </c>
      <c r="H52" s="2">
        <f t="shared" si="4"/>
        <v>0.90322580645161288</v>
      </c>
      <c r="I52" s="2">
        <f t="shared" si="5"/>
        <v>9.6774193548387094E-2</v>
      </c>
      <c r="J52" s="16">
        <f t="shared" si="14"/>
        <v>0.12239734217246234</v>
      </c>
      <c r="K52" s="16">
        <f t="shared" si="6"/>
        <v>0.21300396774055702</v>
      </c>
      <c r="L52" s="2">
        <f t="shared" si="7"/>
        <v>-0.67200000000000004</v>
      </c>
      <c r="M52" s="42">
        <f t="shared" si="8"/>
        <v>0.8891441036754224</v>
      </c>
      <c r="N52" s="16">
        <f t="shared" si="9"/>
        <v>0.22815309710985821</v>
      </c>
      <c r="O52" s="2">
        <f t="shared" si="10"/>
        <v>-1.4770000000000001</v>
      </c>
      <c r="P52">
        <f t="shared" si="11"/>
        <v>0.99965369352810785</v>
      </c>
      <c r="Q52">
        <f t="shared" si="12"/>
        <v>0.99034861587170187</v>
      </c>
      <c r="R52">
        <f t="shared" si="13"/>
        <v>-8.9999999999999993E-3</v>
      </c>
    </row>
    <row r="53" spans="1:18" x14ac:dyDescent="0.25">
      <c r="A53" s="19">
        <v>50</v>
      </c>
      <c r="B53" s="15">
        <v>21</v>
      </c>
      <c r="C53" s="15">
        <v>0</v>
      </c>
      <c r="D53" s="15">
        <f t="shared" si="1"/>
        <v>21</v>
      </c>
      <c r="E53" s="15">
        <v>1</v>
      </c>
      <c r="F53" s="2">
        <f t="shared" si="2"/>
        <v>22</v>
      </c>
      <c r="G53" s="2">
        <f t="shared" si="3"/>
        <v>1</v>
      </c>
      <c r="H53" s="2">
        <f t="shared" si="4"/>
        <v>0.95454545454545459</v>
      </c>
      <c r="I53" s="2">
        <f t="shared" si="5"/>
        <v>4.5454545454545456E-2</v>
      </c>
      <c r="J53" s="16">
        <f t="shared" si="14"/>
        <v>0.10717560270842233</v>
      </c>
      <c r="K53" s="16">
        <f t="shared" si="6"/>
        <v>0.21807488394622473</v>
      </c>
      <c r="L53" s="2">
        <f t="shared" si="7"/>
        <v>-0.66200000000000003</v>
      </c>
      <c r="M53" s="42">
        <f t="shared" si="8"/>
        <v>0.90308901004824049</v>
      </c>
      <c r="N53" s="16">
        <f t="shared" si="9"/>
        <v>0.25069023249044503</v>
      </c>
      <c r="O53" s="2">
        <f t="shared" si="10"/>
        <v>-1.383</v>
      </c>
      <c r="P53">
        <f t="shared" si="11"/>
        <v>0.99975558123714359</v>
      </c>
      <c r="Q53">
        <f t="shared" si="12"/>
        <v>0.99487973209273106</v>
      </c>
      <c r="R53">
        <f t="shared" si="13"/>
        <v>-5.0000000000000001E-3</v>
      </c>
    </row>
    <row r="54" spans="1:18" x14ac:dyDescent="0.25">
      <c r="A54" s="19">
        <v>51</v>
      </c>
      <c r="B54" s="15">
        <v>27</v>
      </c>
      <c r="C54" s="15">
        <v>0</v>
      </c>
      <c r="D54" s="15">
        <f t="shared" si="1"/>
        <v>27</v>
      </c>
      <c r="E54" s="15">
        <v>1</v>
      </c>
      <c r="F54" s="2">
        <f t="shared" si="2"/>
        <v>28</v>
      </c>
      <c r="G54" s="2">
        <f t="shared" si="3"/>
        <v>1</v>
      </c>
      <c r="H54" s="2">
        <f t="shared" si="4"/>
        <v>0.9642857142857143</v>
      </c>
      <c r="I54" s="2">
        <f t="shared" si="5"/>
        <v>3.5714285714285712E-2</v>
      </c>
      <c r="J54" s="16">
        <f t="shared" si="14"/>
        <v>9.3644893263465437E-2</v>
      </c>
      <c r="K54" s="16">
        <f t="shared" si="6"/>
        <v>0.18437352294104462</v>
      </c>
      <c r="L54" s="2">
        <f t="shared" si="7"/>
        <v>-0.73499999999999999</v>
      </c>
      <c r="M54" s="42">
        <f t="shared" si="8"/>
        <v>0.9154465571163396</v>
      </c>
      <c r="N54" s="16">
        <f t="shared" si="9"/>
        <v>0.2179617122550174</v>
      </c>
      <c r="O54" s="2">
        <f t="shared" si="10"/>
        <v>-1.5229999999999999</v>
      </c>
      <c r="P54">
        <f t="shared" si="11"/>
        <v>0.99982749747666388</v>
      </c>
      <c r="Q54">
        <f t="shared" si="12"/>
        <v>0.99535286162022141</v>
      </c>
      <c r="R54">
        <f t="shared" si="13"/>
        <v>-4.0000000000000001E-3</v>
      </c>
    </row>
    <row r="55" spans="1:18" x14ac:dyDescent="0.25">
      <c r="A55" s="19">
        <v>52</v>
      </c>
      <c r="B55" s="15">
        <v>18</v>
      </c>
      <c r="C55" s="15">
        <v>0</v>
      </c>
      <c r="D55" s="15">
        <f t="shared" si="1"/>
        <v>18</v>
      </c>
      <c r="E55" s="15">
        <v>1</v>
      </c>
      <c r="F55" s="2">
        <f t="shared" si="2"/>
        <v>19</v>
      </c>
      <c r="G55" s="2">
        <f t="shared" si="3"/>
        <v>1</v>
      </c>
      <c r="H55" s="2">
        <f t="shared" si="4"/>
        <v>0.94736842105263153</v>
      </c>
      <c r="I55" s="2">
        <f t="shared" si="5"/>
        <v>5.2631578947368418E-2</v>
      </c>
      <c r="J55" s="16">
        <f t="shared" si="14"/>
        <v>8.1666158871879821E-2</v>
      </c>
      <c r="K55" s="16">
        <f t="shared" si="6"/>
        <v>0.33481609372682131</v>
      </c>
      <c r="L55" s="2">
        <f t="shared" si="7"/>
        <v>-0.47599999999999998</v>
      </c>
      <c r="M55" s="42">
        <f t="shared" si="8"/>
        <v>0.92635683606364727</v>
      </c>
      <c r="N55" s="16">
        <f t="shared" si="9"/>
        <v>0.35309830533208392</v>
      </c>
      <c r="O55" s="2">
        <f t="shared" si="10"/>
        <v>-1.0409999999999999</v>
      </c>
      <c r="P55">
        <f t="shared" si="11"/>
        <v>0.99987825611093495</v>
      </c>
      <c r="Q55">
        <f t="shared" si="12"/>
        <v>0.99781087622598341</v>
      </c>
      <c r="R55">
        <f t="shared" si="13"/>
        <v>-2E-3</v>
      </c>
    </row>
    <row r="56" spans="1:18" x14ac:dyDescent="0.25">
      <c r="A56" s="19">
        <v>53</v>
      </c>
      <c r="B56" s="15">
        <v>14</v>
      </c>
      <c r="C56" s="15">
        <v>0</v>
      </c>
      <c r="D56" s="15">
        <f t="shared" si="1"/>
        <v>14</v>
      </c>
      <c r="E56" s="15">
        <v>2</v>
      </c>
      <c r="F56" s="2">
        <f t="shared" si="2"/>
        <v>16</v>
      </c>
      <c r="G56" s="2">
        <f t="shared" si="3"/>
        <v>1</v>
      </c>
      <c r="H56" s="2">
        <f t="shared" si="4"/>
        <v>0.875</v>
      </c>
      <c r="I56" s="2">
        <f t="shared" si="5"/>
        <v>0.125</v>
      </c>
      <c r="J56" s="16">
        <f t="shared" si="14"/>
        <v>7.109950279495407E-2</v>
      </c>
      <c r="K56" s="16">
        <f t="shared" si="6"/>
        <v>0.21601460145313592</v>
      </c>
      <c r="L56" s="2">
        <f t="shared" si="7"/>
        <v>-0.66600000000000004</v>
      </c>
      <c r="M56" s="42">
        <f t="shared" si="8"/>
        <v>0.93595780259285755</v>
      </c>
      <c r="N56" s="16">
        <f t="shared" si="9"/>
        <v>0.19485047272351153</v>
      </c>
      <c r="O56" s="2">
        <f t="shared" si="10"/>
        <v>-1.635</v>
      </c>
      <c r="P56">
        <f t="shared" si="11"/>
        <v>0.99991408036918417</v>
      </c>
      <c r="Q56">
        <f t="shared" si="12"/>
        <v>0.99879779671640645</v>
      </c>
      <c r="R56">
        <f t="shared" si="13"/>
        <v>-1E-3</v>
      </c>
    </row>
    <row r="57" spans="1:18" x14ac:dyDescent="0.25">
      <c r="A57" s="19">
        <v>54</v>
      </c>
      <c r="B57" s="15">
        <v>17</v>
      </c>
      <c r="C57" s="15">
        <v>0</v>
      </c>
      <c r="D57" s="15">
        <f t="shared" si="1"/>
        <v>17</v>
      </c>
      <c r="E57" s="15">
        <v>0</v>
      </c>
      <c r="F57" s="2">
        <f t="shared" si="2"/>
        <v>17</v>
      </c>
      <c r="G57" s="2">
        <f t="shared" si="3"/>
        <v>1</v>
      </c>
      <c r="H57" s="2">
        <f t="shared" si="4"/>
        <v>1</v>
      </c>
      <c r="I57" s="2">
        <f t="shared" si="5"/>
        <v>0</v>
      </c>
      <c r="J57" s="16">
        <f t="shared" si="14"/>
        <v>6.1808030794885595E-2</v>
      </c>
      <c r="K57" s="16">
        <f t="shared" si="6"/>
        <v>0.33803299174707768</v>
      </c>
      <c r="L57" s="2">
        <f t="shared" si="7"/>
        <v>-0.47199999999999998</v>
      </c>
      <c r="M57" s="42">
        <f t="shared" si="8"/>
        <v>0.94438222778537917</v>
      </c>
      <c r="N57" s="16">
        <f t="shared" si="9"/>
        <v>0.3780181865206439</v>
      </c>
      <c r="O57" s="2">
        <f t="shared" si="10"/>
        <v>-0.97199999999999998</v>
      </c>
      <c r="P57">
        <f t="shared" si="11"/>
        <v>0.99993936364948255</v>
      </c>
      <c r="Q57">
        <f t="shared" si="12"/>
        <v>0.99896968192994495</v>
      </c>
      <c r="R57">
        <f t="shared" si="13"/>
        <v>-1E-3</v>
      </c>
    </row>
    <row r="58" spans="1:18" x14ac:dyDescent="0.25">
      <c r="A58" s="19">
        <v>55</v>
      </c>
      <c r="B58" s="15">
        <v>21</v>
      </c>
      <c r="C58" s="15">
        <v>0</v>
      </c>
      <c r="D58" s="15">
        <f t="shared" si="1"/>
        <v>21</v>
      </c>
      <c r="E58" s="15">
        <v>0</v>
      </c>
      <c r="F58" s="2">
        <f t="shared" si="2"/>
        <v>21</v>
      </c>
      <c r="G58" s="2">
        <f t="shared" si="3"/>
        <v>1</v>
      </c>
      <c r="H58" s="2">
        <f t="shared" si="4"/>
        <v>1</v>
      </c>
      <c r="I58" s="2">
        <f t="shared" si="5"/>
        <v>0</v>
      </c>
      <c r="J58" s="16">
        <f t="shared" si="14"/>
        <v>5.3660649264568164E-2</v>
      </c>
      <c r="K58" s="16">
        <f t="shared" si="6"/>
        <v>0.31403994006451619</v>
      </c>
      <c r="L58" s="2">
        <f t="shared" si="7"/>
        <v>-0.504</v>
      </c>
      <c r="M58" s="42">
        <f t="shared" si="8"/>
        <v>0.95175558493514434</v>
      </c>
      <c r="N58" s="16">
        <f t="shared" si="9"/>
        <v>0.35402514793318973</v>
      </c>
      <c r="O58" s="2">
        <f t="shared" si="10"/>
        <v>-1.038</v>
      </c>
      <c r="P58">
        <f t="shared" si="11"/>
        <v>0.99995720722247317</v>
      </c>
      <c r="Q58">
        <f t="shared" si="12"/>
        <v>0.99910173612431386</v>
      </c>
      <c r="R58">
        <f t="shared" si="13"/>
        <v>0</v>
      </c>
    </row>
    <row r="59" spans="1:18" x14ac:dyDescent="0.25">
      <c r="A59" s="19">
        <v>56</v>
      </c>
      <c r="B59" s="15">
        <v>16</v>
      </c>
      <c r="C59" s="15">
        <v>0</v>
      </c>
      <c r="D59" s="15">
        <f t="shared" si="1"/>
        <v>16</v>
      </c>
      <c r="E59" s="15">
        <v>0</v>
      </c>
      <c r="F59" s="2">
        <f t="shared" si="2"/>
        <v>16</v>
      </c>
      <c r="G59" s="2">
        <f t="shared" si="3"/>
        <v>1</v>
      </c>
      <c r="H59" s="2">
        <f t="shared" si="4"/>
        <v>1</v>
      </c>
      <c r="I59" s="2">
        <f t="shared" si="5"/>
        <v>0</v>
      </c>
      <c r="J59" s="16">
        <f t="shared" si="14"/>
        <v>4.6533966998145146E-2</v>
      </c>
      <c r="K59" s="16">
        <f t="shared" si="6"/>
        <v>0.46653434015551704</v>
      </c>
      <c r="L59" s="2">
        <f t="shared" si="7"/>
        <v>-0.33200000000000002</v>
      </c>
      <c r="M59" s="42">
        <f t="shared" si="8"/>
        <v>0.95819471300681058</v>
      </c>
      <c r="N59" s="16">
        <f t="shared" si="9"/>
        <v>0.50496389119091323</v>
      </c>
      <c r="O59" s="2">
        <f t="shared" si="10"/>
        <v>-0.68300000000000005</v>
      </c>
      <c r="P59">
        <f t="shared" si="11"/>
        <v>0.99996980009224146</v>
      </c>
      <c r="Q59">
        <f t="shared" si="12"/>
        <v>0.99951691090457206</v>
      </c>
      <c r="R59">
        <f t="shared" si="13"/>
        <v>0</v>
      </c>
    </row>
    <row r="60" spans="1:18" x14ac:dyDescent="0.25">
      <c r="A60" s="19">
        <v>57</v>
      </c>
      <c r="B60" s="15">
        <v>12</v>
      </c>
      <c r="C60" s="15">
        <v>0</v>
      </c>
      <c r="D60" s="15">
        <f t="shared" si="1"/>
        <v>12</v>
      </c>
      <c r="E60" s="15">
        <v>0</v>
      </c>
      <c r="F60" s="2">
        <f t="shared" si="2"/>
        <v>12</v>
      </c>
      <c r="G60" s="2">
        <f t="shared" si="3"/>
        <v>1</v>
      </c>
      <c r="H60" s="2">
        <f t="shared" si="4"/>
        <v>1</v>
      </c>
      <c r="I60" s="2">
        <f t="shared" si="5"/>
        <v>0</v>
      </c>
      <c r="J60" s="16">
        <f t="shared" si="14"/>
        <v>4.0313460780485331E-2</v>
      </c>
      <c r="K60" s="16">
        <f t="shared" si="6"/>
        <v>0.61031330809970008</v>
      </c>
      <c r="L60" s="2">
        <f t="shared" si="7"/>
        <v>-0.215</v>
      </c>
      <c r="M60" s="42">
        <f t="shared" si="8"/>
        <v>0.9638070995927922</v>
      </c>
      <c r="N60" s="16">
        <f t="shared" si="9"/>
        <v>0.64251231015406285</v>
      </c>
      <c r="O60" s="2">
        <f t="shared" si="10"/>
        <v>-0.442</v>
      </c>
      <c r="P60">
        <f t="shared" si="11"/>
        <v>0.99997868726683781</v>
      </c>
      <c r="Q60">
        <f t="shared" si="12"/>
        <v>0.99974427717927483</v>
      </c>
      <c r="R60">
        <f t="shared" si="13"/>
        <v>0</v>
      </c>
    </row>
    <row r="61" spans="1:18" x14ac:dyDescent="0.25">
      <c r="A61" s="19">
        <v>58</v>
      </c>
      <c r="B61" s="15">
        <v>15</v>
      </c>
      <c r="C61" s="15">
        <v>0</v>
      </c>
      <c r="D61" s="15">
        <f t="shared" si="1"/>
        <v>15</v>
      </c>
      <c r="E61" s="15">
        <v>0</v>
      </c>
      <c r="F61" s="2">
        <f t="shared" si="2"/>
        <v>15</v>
      </c>
      <c r="G61" s="2">
        <f t="shared" si="3"/>
        <v>1</v>
      </c>
      <c r="H61" s="2">
        <f t="shared" si="4"/>
        <v>1</v>
      </c>
      <c r="I61" s="2">
        <f t="shared" si="5"/>
        <v>0</v>
      </c>
      <c r="J61" s="16">
        <f t="shared" si="14"/>
        <v>3.4894059381626374E-2</v>
      </c>
      <c r="K61" s="16">
        <f t="shared" si="6"/>
        <v>0.58698206712125367</v>
      </c>
      <c r="L61" s="2">
        <f t="shared" si="7"/>
        <v>-0.23200000000000001</v>
      </c>
      <c r="M61" s="42">
        <f t="shared" si="8"/>
        <v>0.9686906394724194</v>
      </c>
      <c r="N61" s="16">
        <f t="shared" si="9"/>
        <v>0.62054966724695115</v>
      </c>
      <c r="O61" s="2">
        <f t="shared" si="10"/>
        <v>-0.47699999999999998</v>
      </c>
      <c r="P61">
        <f t="shared" si="11"/>
        <v>0.99998495917899866</v>
      </c>
      <c r="Q61">
        <f t="shared" si="12"/>
        <v>0.9997744114371927</v>
      </c>
      <c r="R61">
        <f t="shared" si="13"/>
        <v>0</v>
      </c>
    </row>
    <row r="62" spans="1:18" x14ac:dyDescent="0.25">
      <c r="A62" s="19">
        <v>59</v>
      </c>
      <c r="B62" s="15">
        <v>9</v>
      </c>
      <c r="C62" s="15">
        <v>0</v>
      </c>
      <c r="D62" s="15">
        <f t="shared" si="1"/>
        <v>9</v>
      </c>
      <c r="E62" s="15">
        <v>0</v>
      </c>
      <c r="F62" s="2">
        <f t="shared" si="2"/>
        <v>9</v>
      </c>
      <c r="G62" s="2">
        <f t="shared" si="3"/>
        <v>1</v>
      </c>
      <c r="H62" s="2">
        <f t="shared" si="4"/>
        <v>1</v>
      </c>
      <c r="I62" s="2">
        <f t="shared" si="5"/>
        <v>0</v>
      </c>
      <c r="J62" s="16">
        <f t="shared" si="14"/>
        <v>3.0180285434766779E-2</v>
      </c>
      <c r="K62" s="16">
        <f t="shared" si="6"/>
        <v>0.75896032605643371</v>
      </c>
      <c r="L62" s="2">
        <f t="shared" si="7"/>
        <v>-0.12</v>
      </c>
      <c r="M62" s="42">
        <f t="shared" si="8"/>
        <v>0.9729337438113641</v>
      </c>
      <c r="N62" s="16">
        <f t="shared" si="9"/>
        <v>0.78117690434016296</v>
      </c>
      <c r="O62" s="2">
        <f t="shared" si="10"/>
        <v>-0.246</v>
      </c>
      <c r="P62">
        <f t="shared" si="11"/>
        <v>0.99998938541213278</v>
      </c>
      <c r="Q62">
        <f t="shared" si="12"/>
        <v>0.99990447276519567</v>
      </c>
      <c r="R62">
        <f t="shared" si="13"/>
        <v>0</v>
      </c>
    </row>
    <row r="63" spans="1:18" x14ac:dyDescent="0.25">
      <c r="A63" s="19">
        <v>60</v>
      </c>
      <c r="B63" s="15">
        <v>12</v>
      </c>
      <c r="C63" s="15">
        <v>0</v>
      </c>
      <c r="D63" s="15">
        <f t="shared" si="1"/>
        <v>12</v>
      </c>
      <c r="E63" s="15">
        <v>0</v>
      </c>
      <c r="F63" s="2">
        <f t="shared" si="2"/>
        <v>12</v>
      </c>
      <c r="G63" s="2">
        <f t="shared" si="3"/>
        <v>1</v>
      </c>
      <c r="H63" s="2">
        <f t="shared" si="4"/>
        <v>1</v>
      </c>
      <c r="I63" s="2">
        <f t="shared" si="5"/>
        <v>0</v>
      </c>
      <c r="J63" s="16">
        <f t="shared" si="14"/>
        <v>2.6086074951442943E-2</v>
      </c>
      <c r="K63" s="16">
        <f t="shared" si="6"/>
        <v>0.7281936797054287</v>
      </c>
      <c r="L63" s="2">
        <f t="shared" si="7"/>
        <v>-0.13800000000000001</v>
      </c>
      <c r="M63" s="42">
        <f t="shared" si="8"/>
        <v>0.97661569592376696</v>
      </c>
      <c r="N63" s="16">
        <f t="shared" si="9"/>
        <v>0.75280829967438467</v>
      </c>
      <c r="O63" s="2">
        <f t="shared" si="10"/>
        <v>-0.28299999999999997</v>
      </c>
      <c r="P63">
        <f t="shared" si="11"/>
        <v>0.99999250909715487</v>
      </c>
      <c r="Q63">
        <f t="shared" si="12"/>
        <v>0.99991011286926545</v>
      </c>
      <c r="R63">
        <f t="shared" si="13"/>
        <v>0</v>
      </c>
    </row>
    <row r="64" spans="1:18" x14ac:dyDescent="0.25">
      <c r="A64" s="19">
        <v>61</v>
      </c>
      <c r="B64" s="15">
        <v>8</v>
      </c>
      <c r="C64" s="15">
        <v>0</v>
      </c>
      <c r="D64" s="15">
        <f t="shared" si="1"/>
        <v>8</v>
      </c>
      <c r="E64" s="15">
        <v>0</v>
      </c>
      <c r="F64" s="2">
        <f t="shared" si="2"/>
        <v>8</v>
      </c>
      <c r="G64" s="2">
        <f t="shared" si="3"/>
        <v>1</v>
      </c>
      <c r="H64" s="2">
        <f t="shared" si="4"/>
        <v>1</v>
      </c>
      <c r="I64" s="2">
        <f t="shared" si="5"/>
        <v>0</v>
      </c>
      <c r="J64" s="16">
        <f t="shared" si="14"/>
        <v>2.2534373281230622E-2</v>
      </c>
      <c r="K64" s="16">
        <f t="shared" si="6"/>
        <v>0.83332028261063296</v>
      </c>
      <c r="L64" s="2">
        <f t="shared" si="7"/>
        <v>-0.08</v>
      </c>
      <c r="M64" s="42">
        <f t="shared" si="8"/>
        <v>0.97980716992254591</v>
      </c>
      <c r="N64" s="16">
        <f t="shared" si="9"/>
        <v>0.84942473879104774</v>
      </c>
      <c r="O64" s="2">
        <f t="shared" si="10"/>
        <v>-0.16300000000000001</v>
      </c>
      <c r="P64">
        <f t="shared" si="11"/>
        <v>0.99999471354191494</v>
      </c>
      <c r="Q64">
        <f t="shared" si="12"/>
        <v>0.99995770911781701</v>
      </c>
      <c r="R64">
        <f t="shared" si="13"/>
        <v>0</v>
      </c>
    </row>
    <row r="65" spans="1:18" x14ac:dyDescent="0.25">
      <c r="A65" s="19">
        <v>62</v>
      </c>
      <c r="B65" s="15">
        <v>14</v>
      </c>
      <c r="C65" s="15">
        <v>0</v>
      </c>
      <c r="D65" s="15">
        <f t="shared" si="1"/>
        <v>14</v>
      </c>
      <c r="E65" s="15">
        <v>0</v>
      </c>
      <c r="F65" s="2">
        <f t="shared" si="2"/>
        <v>14</v>
      </c>
      <c r="G65" s="2">
        <f t="shared" si="3"/>
        <v>1</v>
      </c>
      <c r="H65" s="2">
        <f t="shared" si="4"/>
        <v>1</v>
      </c>
      <c r="I65" s="2">
        <f t="shared" si="5"/>
        <v>0</v>
      </c>
      <c r="J65" s="16">
        <f t="shared" si="14"/>
        <v>1.9456586297286648E-2</v>
      </c>
      <c r="K65" s="16">
        <f t="shared" si="6"/>
        <v>0.7595136376065964</v>
      </c>
      <c r="L65" s="2">
        <f t="shared" si="7"/>
        <v>-0.12</v>
      </c>
      <c r="M65" s="42">
        <f t="shared" si="8"/>
        <v>0.98257084710454612</v>
      </c>
      <c r="N65" s="16">
        <f t="shared" si="9"/>
        <v>0.78179743730806839</v>
      </c>
      <c r="O65" s="2">
        <f t="shared" si="10"/>
        <v>-0.246</v>
      </c>
      <c r="P65">
        <f t="shared" si="11"/>
        <v>0.99999626925865492</v>
      </c>
      <c r="Q65">
        <f t="shared" si="12"/>
        <v>0.99994777088772702</v>
      </c>
      <c r="R65">
        <f t="shared" si="13"/>
        <v>0</v>
      </c>
    </row>
    <row r="66" spans="1:18" x14ac:dyDescent="0.25">
      <c r="A66" s="19">
        <v>63</v>
      </c>
      <c r="B66" s="15">
        <v>5</v>
      </c>
      <c r="C66" s="15">
        <v>0</v>
      </c>
      <c r="D66" s="15">
        <f t="shared" si="1"/>
        <v>5</v>
      </c>
      <c r="E66" s="15">
        <v>0</v>
      </c>
      <c r="F66" s="2">
        <f t="shared" si="2"/>
        <v>5</v>
      </c>
      <c r="G66" s="2">
        <f t="shared" si="3"/>
        <v>1</v>
      </c>
      <c r="H66" s="2">
        <f t="shared" si="4"/>
        <v>1</v>
      </c>
      <c r="I66" s="2">
        <f t="shared" si="5"/>
        <v>0</v>
      </c>
      <c r="J66" s="16">
        <f t="shared" si="14"/>
        <v>1.6791947671337615E-2</v>
      </c>
      <c r="K66" s="16">
        <f t="shared" si="6"/>
        <v>0.91881300473622374</v>
      </c>
      <c r="L66" s="2">
        <f t="shared" si="7"/>
        <v>-3.6999999999999998E-2</v>
      </c>
      <c r="M66" s="42">
        <f t="shared" si="8"/>
        <v>0.98496208089310333</v>
      </c>
      <c r="N66" s="16">
        <f t="shared" si="9"/>
        <v>0.92703804289985892</v>
      </c>
      <c r="O66" s="2">
        <f t="shared" si="10"/>
        <v>-7.4999999999999997E-2</v>
      </c>
      <c r="P66">
        <f t="shared" si="11"/>
        <v>0.99999736715502385</v>
      </c>
      <c r="Q66">
        <f t="shared" si="12"/>
        <v>0.99998683584443782</v>
      </c>
      <c r="R66">
        <f t="shared" si="13"/>
        <v>0</v>
      </c>
    </row>
    <row r="67" spans="1:18" x14ac:dyDescent="0.25">
      <c r="A67" s="19">
        <v>64</v>
      </c>
      <c r="B67" s="15">
        <v>8</v>
      </c>
      <c r="C67" s="15">
        <v>0</v>
      </c>
      <c r="D67" s="15">
        <f t="shared" si="1"/>
        <v>8</v>
      </c>
      <c r="E67" s="15">
        <v>0</v>
      </c>
      <c r="F67" s="2">
        <f t="shared" si="2"/>
        <v>8</v>
      </c>
      <c r="G67" s="2">
        <f t="shared" si="3"/>
        <v>1</v>
      </c>
      <c r="H67" s="2">
        <f t="shared" si="4"/>
        <v>1</v>
      </c>
      <c r="I67" s="2">
        <f t="shared" si="5"/>
        <v>0</v>
      </c>
      <c r="J67" s="16">
        <f t="shared" si="14"/>
        <v>1.4486847811046186E-2</v>
      </c>
      <c r="K67" s="16">
        <f t="shared" si="6"/>
        <v>0.88981433158648082</v>
      </c>
      <c r="L67" s="2">
        <f t="shared" si="7"/>
        <v>-5.1000000000000004E-2</v>
      </c>
      <c r="M67" s="42">
        <f t="shared" si="8"/>
        <v>0.9870295744158939</v>
      </c>
      <c r="N67" s="16">
        <f t="shared" si="9"/>
        <v>0.90082685612534918</v>
      </c>
      <c r="O67" s="2">
        <f t="shared" si="10"/>
        <v>-0.104</v>
      </c>
      <c r="P67">
        <f t="shared" si="11"/>
        <v>0.99999814195898673</v>
      </c>
      <c r="Q67">
        <f t="shared" si="12"/>
        <v>0.99998513576855852</v>
      </c>
      <c r="R67">
        <f t="shared" si="13"/>
        <v>0</v>
      </c>
    </row>
    <row r="68" spans="1:18" x14ac:dyDescent="0.25">
      <c r="A68" s="19">
        <v>65</v>
      </c>
      <c r="B68" s="15">
        <v>9</v>
      </c>
      <c r="C68" s="15">
        <v>0</v>
      </c>
      <c r="D68" s="15">
        <f t="shared" si="1"/>
        <v>9</v>
      </c>
      <c r="E68" s="15">
        <v>0</v>
      </c>
      <c r="F68" s="2">
        <f t="shared" si="2"/>
        <v>9</v>
      </c>
      <c r="G68" s="2">
        <f t="shared" si="3"/>
        <v>1</v>
      </c>
      <c r="H68" s="2">
        <f t="shared" si="4"/>
        <v>1</v>
      </c>
      <c r="I68" s="2">
        <f t="shared" si="5"/>
        <v>0</v>
      </c>
      <c r="J68" s="16">
        <f t="shared" si="14"/>
        <v>1.2494157453871077E-2</v>
      </c>
      <c r="K68" s="16">
        <f t="shared" si="6"/>
        <v>0.89301152567537312</v>
      </c>
      <c r="L68" s="2">
        <f t="shared" si="7"/>
        <v>-0.05</v>
      </c>
      <c r="M68" s="42">
        <f t="shared" si="8"/>
        <v>0.98881604545062229</v>
      </c>
      <c r="N68" s="16">
        <f t="shared" si="9"/>
        <v>0.90373176121912802</v>
      </c>
      <c r="O68" s="2">
        <f t="shared" si="10"/>
        <v>-0.10100000000000001</v>
      </c>
      <c r="P68">
        <f t="shared" si="11"/>
        <v>0.99999868875089459</v>
      </c>
      <c r="Q68">
        <f t="shared" si="12"/>
        <v>0.99998819881994871</v>
      </c>
      <c r="R68">
        <f t="shared" si="13"/>
        <v>0</v>
      </c>
    </row>
    <row r="69" spans="1:18" x14ac:dyDescent="0.25">
      <c r="A69" s="19">
        <v>66</v>
      </c>
      <c r="B69" s="15">
        <v>2</v>
      </c>
      <c r="C69" s="15">
        <v>0</v>
      </c>
      <c r="D69" s="15">
        <f t="shared" si="1"/>
        <v>2</v>
      </c>
      <c r="E69" s="15">
        <v>0</v>
      </c>
      <c r="F69" s="2">
        <f t="shared" si="2"/>
        <v>2</v>
      </c>
      <c r="G69" s="2">
        <f t="shared" si="3"/>
        <v>1</v>
      </c>
      <c r="H69" s="2">
        <f t="shared" si="4"/>
        <v>1</v>
      </c>
      <c r="I69" s="2">
        <f t="shared" si="5"/>
        <v>0</v>
      </c>
      <c r="J69" s="16">
        <f t="shared" si="14"/>
        <v>1.0772568873793775E-2</v>
      </c>
      <c r="K69" s="16">
        <f t="shared" si="6"/>
        <v>0.97857091049255318</v>
      </c>
      <c r="L69" s="2">
        <f t="shared" si="7"/>
        <v>-9.9999999999999985E-3</v>
      </c>
      <c r="M69" s="42">
        <f t="shared" si="8"/>
        <v>0.99035886180248101</v>
      </c>
      <c r="N69" s="16">
        <f t="shared" si="9"/>
        <v>0.98081067515070564</v>
      </c>
      <c r="O69" s="2">
        <f t="shared" si="10"/>
        <v>-1.9E-2</v>
      </c>
      <c r="P69">
        <f t="shared" si="11"/>
        <v>0.99999907463079241</v>
      </c>
      <c r="Q69">
        <f t="shared" si="12"/>
        <v>0.99999814926244113</v>
      </c>
      <c r="R69">
        <f t="shared" si="13"/>
        <v>0</v>
      </c>
    </row>
    <row r="70" spans="1:18" x14ac:dyDescent="0.25">
      <c r="A70" s="19">
        <v>67</v>
      </c>
      <c r="B70" s="15">
        <v>6</v>
      </c>
      <c r="C70" s="15">
        <v>0</v>
      </c>
      <c r="D70" s="15">
        <f t="shared" si="1"/>
        <v>6</v>
      </c>
      <c r="E70" s="15">
        <v>0</v>
      </c>
      <c r="F70" s="2">
        <f t="shared" si="2"/>
        <v>6</v>
      </c>
      <c r="G70" s="2">
        <f t="shared" si="3"/>
        <v>1</v>
      </c>
      <c r="H70" s="2">
        <f t="shared" si="4"/>
        <v>1</v>
      </c>
      <c r="I70" s="2">
        <f t="shared" si="5"/>
        <v>0</v>
      </c>
      <c r="J70" s="16">
        <f t="shared" si="14"/>
        <v>9.2859698597083026E-3</v>
      </c>
      <c r="K70" s="16">
        <f t="shared" si="6"/>
        <v>0.94556171606209194</v>
      </c>
      <c r="L70" s="2">
        <f t="shared" si="7"/>
        <v>-2.5000000000000001E-2</v>
      </c>
      <c r="M70" s="42">
        <f t="shared" si="8"/>
        <v>0.99169063652776945</v>
      </c>
      <c r="N70" s="16">
        <f t="shared" si="9"/>
        <v>0.95116809877157749</v>
      </c>
      <c r="O70" s="2">
        <f t="shared" si="10"/>
        <v>-0.05</v>
      </c>
      <c r="P70">
        <f t="shared" si="11"/>
        <v>0.99999934695240633</v>
      </c>
      <c r="Q70">
        <f t="shared" si="12"/>
        <v>0.99999608172083487</v>
      </c>
      <c r="R70">
        <f t="shared" si="13"/>
        <v>0</v>
      </c>
    </row>
    <row r="71" spans="1:18" x14ac:dyDescent="0.25">
      <c r="A71" s="19">
        <v>68</v>
      </c>
      <c r="B71" s="15">
        <v>2</v>
      </c>
      <c r="C71" s="15">
        <v>0</v>
      </c>
      <c r="D71" s="15">
        <f t="shared" si="1"/>
        <v>2</v>
      </c>
      <c r="E71" s="15">
        <v>0</v>
      </c>
      <c r="F71" s="2">
        <f t="shared" si="2"/>
        <v>2</v>
      </c>
      <c r="G71" s="2">
        <f t="shared" si="3"/>
        <v>1</v>
      </c>
      <c r="H71" s="2">
        <f t="shared" si="4"/>
        <v>1</v>
      </c>
      <c r="I71" s="2">
        <f t="shared" si="5"/>
        <v>0</v>
      </c>
      <c r="J71" s="16">
        <f t="shared" si="14"/>
        <v>8.0028597182901298E-3</v>
      </c>
      <c r="K71" s="16">
        <f t="shared" si="6"/>
        <v>0.98405832632709023</v>
      </c>
      <c r="L71" s="2">
        <f t="shared" si="7"/>
        <v>-7.0000000000000001E-3</v>
      </c>
      <c r="M71" s="42">
        <f t="shared" si="8"/>
        <v>0.99283977713763194</v>
      </c>
      <c r="N71" s="16">
        <f t="shared" si="9"/>
        <v>0.98573082306670268</v>
      </c>
      <c r="O71" s="2">
        <f t="shared" si="10"/>
        <v>-1.4E-2</v>
      </c>
      <c r="P71">
        <f t="shared" si="11"/>
        <v>0.99999953913408623</v>
      </c>
      <c r="Q71">
        <f t="shared" si="12"/>
        <v>0.99999907826838486</v>
      </c>
      <c r="R71">
        <f t="shared" si="13"/>
        <v>0</v>
      </c>
    </row>
    <row r="72" spans="1:18" x14ac:dyDescent="0.25">
      <c r="A72" s="19">
        <v>69</v>
      </c>
      <c r="B72" s="15">
        <v>4</v>
      </c>
      <c r="C72" s="15">
        <v>0</v>
      </c>
      <c r="D72" s="15">
        <f t="shared" si="1"/>
        <v>4</v>
      </c>
      <c r="E72" s="15">
        <v>0</v>
      </c>
      <c r="F72" s="2">
        <f t="shared" si="2"/>
        <v>4</v>
      </c>
      <c r="G72" s="2">
        <f t="shared" si="3"/>
        <v>1</v>
      </c>
      <c r="H72" s="2">
        <f t="shared" si="4"/>
        <v>1</v>
      </c>
      <c r="I72" s="2">
        <f t="shared" si="5"/>
        <v>0</v>
      </c>
      <c r="J72" s="16">
        <f t="shared" si="14"/>
        <v>6.8958121936701844E-3</v>
      </c>
      <c r="K72" s="16">
        <f t="shared" si="6"/>
        <v>0.97270075519652122</v>
      </c>
      <c r="L72" s="2">
        <f t="shared" si="7"/>
        <v>-1.3000000000000001E-2</v>
      </c>
      <c r="M72" s="42">
        <f t="shared" si="8"/>
        <v>0.9938309863299879</v>
      </c>
      <c r="N72" s="16">
        <f t="shared" si="9"/>
        <v>0.97555134805628907</v>
      </c>
      <c r="O72" s="2">
        <f t="shared" si="10"/>
        <v>-2.4E-2</v>
      </c>
      <c r="P72">
        <f t="shared" si="11"/>
        <v>0.99999967475972584</v>
      </c>
      <c r="Q72">
        <f t="shared" si="12"/>
        <v>0.99999869903953809</v>
      </c>
      <c r="R72">
        <f t="shared" si="13"/>
        <v>0</v>
      </c>
    </row>
    <row r="73" spans="1:18" x14ac:dyDescent="0.25">
      <c r="A73" s="19">
        <v>70</v>
      </c>
      <c r="B73" s="15">
        <v>3</v>
      </c>
      <c r="C73" s="15">
        <v>0</v>
      </c>
      <c r="D73" s="15">
        <f t="shared" si="1"/>
        <v>3</v>
      </c>
      <c r="E73" s="15">
        <v>0</v>
      </c>
      <c r="F73" s="2">
        <f t="shared" si="2"/>
        <v>3</v>
      </c>
      <c r="G73" s="2">
        <f t="shared" si="3"/>
        <v>1</v>
      </c>
      <c r="H73" s="2">
        <f t="shared" si="4"/>
        <v>1</v>
      </c>
      <c r="I73" s="2">
        <f t="shared" si="5"/>
        <v>0</v>
      </c>
      <c r="J73" s="16">
        <f t="shared" si="14"/>
        <v>5.9409870650381121E-3</v>
      </c>
      <c r="K73" s="16">
        <f t="shared" si="6"/>
        <v>0.98228271509772358</v>
      </c>
      <c r="L73" s="2">
        <f t="shared" si="7"/>
        <v>-8.0000000000000002E-3</v>
      </c>
      <c r="M73" s="42">
        <f t="shared" si="8"/>
        <v>0.99468571419152307</v>
      </c>
      <c r="N73" s="16">
        <f t="shared" si="9"/>
        <v>0.98414171739141887</v>
      </c>
      <c r="O73" s="2">
        <f t="shared" si="10"/>
        <v>-1.4999999999999999E-2</v>
      </c>
      <c r="P73">
        <f t="shared" si="11"/>
        <v>0.99999977047286726</v>
      </c>
      <c r="Q73">
        <f t="shared" si="12"/>
        <v>0.99999931141875986</v>
      </c>
      <c r="R73">
        <f t="shared" si="13"/>
        <v>0</v>
      </c>
    </row>
    <row r="74" spans="1:18" x14ac:dyDescent="0.25">
      <c r="A74" s="19">
        <v>71</v>
      </c>
      <c r="B74" s="15">
        <v>5</v>
      </c>
      <c r="C74" s="15">
        <v>0</v>
      </c>
      <c r="D74" s="15">
        <f t="shared" si="1"/>
        <v>5</v>
      </c>
      <c r="E74" s="15">
        <v>0</v>
      </c>
      <c r="F74" s="2">
        <f t="shared" si="2"/>
        <v>5</v>
      </c>
      <c r="G74" s="2">
        <f t="shared" si="3"/>
        <v>1</v>
      </c>
      <c r="H74" s="2">
        <f t="shared" si="4"/>
        <v>1</v>
      </c>
      <c r="I74" s="2">
        <f t="shared" si="5"/>
        <v>0</v>
      </c>
      <c r="J74" s="16">
        <f t="shared" si="14"/>
        <v>5.1176900075282977E-3</v>
      </c>
      <c r="K74" s="16">
        <f t="shared" si="6"/>
        <v>0.97467212053730945</v>
      </c>
      <c r="L74" s="2">
        <f t="shared" si="7"/>
        <v>-1.2E-2</v>
      </c>
      <c r="M74" s="42">
        <f t="shared" si="8"/>
        <v>0.99542256342486646</v>
      </c>
      <c r="N74" s="16">
        <f t="shared" si="9"/>
        <v>0.97732138946656189</v>
      </c>
      <c r="O74" s="2">
        <f t="shared" si="10"/>
        <v>-2.1999999999999999E-2</v>
      </c>
      <c r="P74">
        <f t="shared" si="11"/>
        <v>0.99999983801912817</v>
      </c>
      <c r="Q74">
        <f t="shared" si="12"/>
        <v>0.9999991900959031</v>
      </c>
      <c r="R74">
        <f t="shared" si="13"/>
        <v>0</v>
      </c>
    </row>
    <row r="75" spans="1:18" x14ac:dyDescent="0.25">
      <c r="A75" s="19">
        <v>72</v>
      </c>
      <c r="B75" s="15">
        <v>5</v>
      </c>
      <c r="C75" s="15">
        <v>0</v>
      </c>
      <c r="D75" s="15">
        <f t="shared" si="1"/>
        <v>5</v>
      </c>
      <c r="E75" s="15">
        <v>0</v>
      </c>
      <c r="F75" s="2">
        <f t="shared" si="2"/>
        <v>5</v>
      </c>
      <c r="G75" s="2">
        <f t="shared" si="3"/>
        <v>1</v>
      </c>
      <c r="H75" s="2">
        <f t="shared" si="4"/>
        <v>1</v>
      </c>
      <c r="I75" s="2">
        <f t="shared" si="5"/>
        <v>0</v>
      </c>
      <c r="J75" s="16">
        <f t="shared" si="14"/>
        <v>4.4079788530505069E-3</v>
      </c>
      <c r="K75" s="16">
        <f t="shared" si="6"/>
        <v>0.97815355391392456</v>
      </c>
      <c r="L75" s="2">
        <f t="shared" si="7"/>
        <v>-9.9999999999999985E-3</v>
      </c>
      <c r="M75" s="42">
        <f t="shared" si="8"/>
        <v>0.99605765018437042</v>
      </c>
      <c r="N75" s="16">
        <f t="shared" si="9"/>
        <v>0.98044306062455477</v>
      </c>
      <c r="O75" s="2">
        <f t="shared" si="10"/>
        <v>-1.9E-2</v>
      </c>
      <c r="P75">
        <f t="shared" si="11"/>
        <v>0.99999988568757869</v>
      </c>
      <c r="Q75">
        <f t="shared" si="12"/>
        <v>0.99999942843802425</v>
      </c>
      <c r="R75">
        <f t="shared" si="13"/>
        <v>0</v>
      </c>
    </row>
    <row r="76" spans="1:18" x14ac:dyDescent="0.25">
      <c r="A76" s="19">
        <v>73</v>
      </c>
      <c r="B76" s="15">
        <v>2</v>
      </c>
      <c r="C76" s="15">
        <v>0</v>
      </c>
      <c r="D76" s="15">
        <f t="shared" si="1"/>
        <v>2</v>
      </c>
      <c r="E76" s="15">
        <v>0</v>
      </c>
      <c r="F76" s="2">
        <f t="shared" si="2"/>
        <v>2</v>
      </c>
      <c r="G76" s="2">
        <f t="shared" si="3"/>
        <v>1</v>
      </c>
      <c r="H76" s="2">
        <f t="shared" si="4"/>
        <v>1</v>
      </c>
      <c r="I76" s="2">
        <f t="shared" si="5"/>
        <v>0</v>
      </c>
      <c r="J76" s="16">
        <f t="shared" si="14"/>
        <v>3.7963134811430351E-3</v>
      </c>
      <c r="K76" s="16">
        <f t="shared" si="6"/>
        <v>0.99242178503376099</v>
      </c>
      <c r="L76" s="2">
        <f t="shared" si="7"/>
        <v>-4.0000000000000001E-3</v>
      </c>
      <c r="M76" s="42">
        <f t="shared" si="8"/>
        <v>0.9966049237028175</v>
      </c>
      <c r="N76" s="16">
        <f t="shared" si="9"/>
        <v>0.99322137394869869</v>
      </c>
      <c r="O76" s="2">
        <f t="shared" si="10"/>
        <v>-6.0000000000000001E-3</v>
      </c>
      <c r="P76">
        <f t="shared" si="11"/>
        <v>0.99999991932794685</v>
      </c>
      <c r="Q76">
        <f t="shared" si="12"/>
        <v>0.99999983865590025</v>
      </c>
      <c r="R76">
        <f t="shared" si="13"/>
        <v>0</v>
      </c>
    </row>
    <row r="77" spans="1:18" x14ac:dyDescent="0.25">
      <c r="A77" s="19">
        <v>74</v>
      </c>
      <c r="B77" s="15">
        <v>7</v>
      </c>
      <c r="C77" s="15">
        <v>0</v>
      </c>
      <c r="D77" s="15">
        <f t="shared" si="1"/>
        <v>7</v>
      </c>
      <c r="E77" s="15">
        <v>0</v>
      </c>
      <c r="F77" s="2">
        <f t="shared" si="2"/>
        <v>7</v>
      </c>
      <c r="G77" s="2">
        <f t="shared" si="3"/>
        <v>1</v>
      </c>
      <c r="H77" s="2">
        <f t="shared" si="4"/>
        <v>1</v>
      </c>
      <c r="I77" s="2">
        <f t="shared" si="5"/>
        <v>0</v>
      </c>
      <c r="J77" s="16">
        <f t="shared" ref="J77:J83" si="15">1/(1+EXP(-$J$5*(A77-$J$6)))</f>
        <v>3.2692460590799132E-3</v>
      </c>
      <c r="K77" s="16">
        <f t="shared" si="6"/>
        <v>0.97733850598633221</v>
      </c>
      <c r="L77" s="2">
        <f t="shared" si="7"/>
        <v>-9.9999999999999985E-3</v>
      </c>
      <c r="M77" s="42">
        <f t="shared" si="8"/>
        <v>0.99707644818218466</v>
      </c>
      <c r="N77" s="16">
        <f t="shared" si="9"/>
        <v>0.979713755505765</v>
      </c>
      <c r="O77" s="2">
        <f t="shared" si="10"/>
        <v>-0.02</v>
      </c>
      <c r="P77">
        <f t="shared" si="11"/>
        <v>0.99999994306847839</v>
      </c>
      <c r="Q77">
        <f t="shared" si="12"/>
        <v>0.99999960147941669</v>
      </c>
      <c r="R77">
        <f t="shared" si="13"/>
        <v>0</v>
      </c>
    </row>
    <row r="78" spans="1:18" x14ac:dyDescent="0.25">
      <c r="A78" s="19">
        <v>75</v>
      </c>
      <c r="B78" s="15">
        <v>6</v>
      </c>
      <c r="C78" s="15">
        <v>0</v>
      </c>
      <c r="D78" s="15">
        <f t="shared" ref="D78:D83" si="16">C78+B78</f>
        <v>6</v>
      </c>
      <c r="E78" s="15">
        <v>0</v>
      </c>
      <c r="F78" s="2">
        <f t="shared" ref="F78:F83" si="17">E78+D78</f>
        <v>6</v>
      </c>
      <c r="G78" s="2">
        <f t="shared" ref="G78:G83" si="18">IFERROR(B78/D78,0)</f>
        <v>1</v>
      </c>
      <c r="H78" s="2">
        <f t="shared" ref="H78:H83" si="19">IFERROR(B78/F78,0)</f>
        <v>1</v>
      </c>
      <c r="I78" s="2">
        <f t="shared" ref="I78:I83" si="20">IFERROR(E78/F78,0)</f>
        <v>0</v>
      </c>
      <c r="J78" s="16">
        <f t="shared" si="15"/>
        <v>2.8151481218140237E-3</v>
      </c>
      <c r="K78" s="16">
        <f t="shared" ref="K78:K83" si="21">IF(ISERROR(COMBIN(F78,E78)*(J78^E78)*((1-J78)^B78)),"0",COMBIN(F78,E78) *(J78^E78)*((1-J78)^B78))</f>
        <v>0.98322754189007378</v>
      </c>
      <c r="L78" s="2">
        <f t="shared" ref="L78:L83" si="22">ROUNDUP(IF(ISERROR(LOG(K78)),"0",LOG(K78)),3)</f>
        <v>-8.0000000000000002E-3</v>
      </c>
      <c r="M78" s="42">
        <f t="shared" ref="M78:M83" si="23">1/(1+EXP(-$P$5*(A78-$P$6)))</f>
        <v>0.99748265049709883</v>
      </c>
      <c r="N78" s="16">
        <f t="shared" ref="N78:N83" si="24">IF(ISERROR(COMBIN(F78,D78)*(M78^D78)*((1-M78)^E78)),"0",COMBIN(F78,D78) *(M78^D78)*((1-M78)^E78))</f>
        <v>0.98499064026083682</v>
      </c>
      <c r="O78" s="2">
        <f t="shared" ref="O78:O83" si="25">ROUNDDOWN(IF(ISERROR(LN(N78)),"0",LN(N78)),3)</f>
        <v>-1.4999999999999999E-2</v>
      </c>
      <c r="P78">
        <f t="shared" ref="P78:P83" si="26">1/(1+EXP((-$T$5)*(A78-$T$6)))</f>
        <v>0.99999995982254075</v>
      </c>
      <c r="Q78">
        <f t="shared" ref="Q78:Q83" si="27">IF(ISERROR(COMBIN(D78,B78)*(P78^B78)*((1-P78)^C78)),"0",COMBIN(D78,B78) *(P78^B78)*((1-P78)^C78))</f>
        <v>0.99999975893526882</v>
      </c>
      <c r="R78">
        <f t="shared" ref="R78:R83" si="28">ROUNDDOWN(IF(ISERROR(LN(Q78)),"0",LN(Q78)),3)</f>
        <v>0</v>
      </c>
    </row>
    <row r="79" spans="1:18" x14ac:dyDescent="0.25">
      <c r="A79" s="19">
        <v>76</v>
      </c>
      <c r="B79" s="15">
        <v>1</v>
      </c>
      <c r="C79" s="15">
        <v>0</v>
      </c>
      <c r="D79" s="15">
        <f t="shared" si="16"/>
        <v>1</v>
      </c>
      <c r="E79" s="15">
        <v>0</v>
      </c>
      <c r="F79" s="2">
        <f t="shared" si="17"/>
        <v>1</v>
      </c>
      <c r="G79" s="2">
        <f t="shared" si="18"/>
        <v>1</v>
      </c>
      <c r="H79" s="2">
        <f t="shared" si="19"/>
        <v>1</v>
      </c>
      <c r="I79" s="2">
        <f t="shared" si="20"/>
        <v>0</v>
      </c>
      <c r="J79" s="16">
        <f t="shared" si="15"/>
        <v>2.4239709493645983E-3</v>
      </c>
      <c r="K79" s="16">
        <f t="shared" si="21"/>
        <v>0.99757602905063536</v>
      </c>
      <c r="L79" s="2">
        <f t="shared" si="22"/>
        <v>-2E-3</v>
      </c>
      <c r="M79" s="42">
        <f t="shared" si="23"/>
        <v>0.99783253718970777</v>
      </c>
      <c r="N79" s="16">
        <f t="shared" si="24"/>
        <v>0.99783253718970777</v>
      </c>
      <c r="O79" s="2">
        <f t="shared" si="25"/>
        <v>-2E-3</v>
      </c>
      <c r="P79">
        <f t="shared" si="26"/>
        <v>0.99999997164614285</v>
      </c>
      <c r="Q79">
        <f t="shared" si="27"/>
        <v>0.99999997164614285</v>
      </c>
      <c r="R79">
        <f t="shared" si="28"/>
        <v>0</v>
      </c>
    </row>
    <row r="80" spans="1:18" x14ac:dyDescent="0.25">
      <c r="A80" s="19">
        <v>77</v>
      </c>
      <c r="B80" s="15">
        <v>0</v>
      </c>
      <c r="C80" s="15">
        <v>0</v>
      </c>
      <c r="D80" s="15">
        <f t="shared" si="16"/>
        <v>0</v>
      </c>
      <c r="E80" s="15">
        <v>0</v>
      </c>
      <c r="F80" s="2">
        <f t="shared" si="17"/>
        <v>0</v>
      </c>
      <c r="G80" s="2">
        <f t="shared" si="18"/>
        <v>0</v>
      </c>
      <c r="H80" s="2">
        <f t="shared" si="19"/>
        <v>0</v>
      </c>
      <c r="I80" s="2">
        <f t="shared" si="20"/>
        <v>0</v>
      </c>
      <c r="J80" s="16">
        <f t="shared" si="15"/>
        <v>2.0870357971287351E-3</v>
      </c>
      <c r="K80" s="16">
        <f t="shared" si="21"/>
        <v>1</v>
      </c>
      <c r="L80" s="2">
        <f t="shared" si="22"/>
        <v>0</v>
      </c>
      <c r="M80" s="42">
        <f t="shared" si="23"/>
        <v>0.99813388407099257</v>
      </c>
      <c r="N80" s="16">
        <f t="shared" si="24"/>
        <v>1</v>
      </c>
      <c r="O80" s="2">
        <f t="shared" si="25"/>
        <v>0</v>
      </c>
      <c r="P80">
        <f t="shared" si="26"/>
        <v>0.99999997999024282</v>
      </c>
      <c r="Q80">
        <f t="shared" si="27"/>
        <v>1</v>
      </c>
      <c r="R80">
        <f t="shared" si="28"/>
        <v>0</v>
      </c>
    </row>
    <row r="81" spans="1:18" x14ac:dyDescent="0.25">
      <c r="A81" s="19">
        <v>78</v>
      </c>
      <c r="B81" s="15">
        <v>3</v>
      </c>
      <c r="C81" s="15">
        <v>0</v>
      </c>
      <c r="D81" s="15">
        <f t="shared" si="16"/>
        <v>3</v>
      </c>
      <c r="E81" s="15">
        <v>0</v>
      </c>
      <c r="F81" s="2">
        <f t="shared" si="17"/>
        <v>3</v>
      </c>
      <c r="G81" s="2">
        <f t="shared" si="18"/>
        <v>1</v>
      </c>
      <c r="H81" s="2">
        <f t="shared" si="19"/>
        <v>1</v>
      </c>
      <c r="I81" s="2">
        <f t="shared" si="20"/>
        <v>0</v>
      </c>
      <c r="J81" s="16">
        <f t="shared" si="15"/>
        <v>1.7968507155439297E-3</v>
      </c>
      <c r="K81" s="16">
        <f t="shared" si="21"/>
        <v>0.99461912806940755</v>
      </c>
      <c r="L81" s="2">
        <f t="shared" si="22"/>
        <v>-3.0000000000000001E-3</v>
      </c>
      <c r="M81" s="42">
        <f t="shared" si="23"/>
        <v>0.99839340152369171</v>
      </c>
      <c r="N81" s="16">
        <f t="shared" si="24"/>
        <v>0.99518794390018173</v>
      </c>
      <c r="O81" s="2">
        <f t="shared" si="25"/>
        <v>-4.0000000000000001E-3</v>
      </c>
      <c r="P81">
        <f t="shared" si="26"/>
        <v>0.99999998587880357</v>
      </c>
      <c r="Q81">
        <f t="shared" si="27"/>
        <v>0.99999995763641136</v>
      </c>
      <c r="R81">
        <f t="shared" si="28"/>
        <v>0</v>
      </c>
    </row>
    <row r="82" spans="1:18" x14ac:dyDescent="0.25">
      <c r="A82" s="19">
        <v>79</v>
      </c>
      <c r="B82" s="15">
        <v>1</v>
      </c>
      <c r="C82" s="15">
        <v>0</v>
      </c>
      <c r="D82" s="15">
        <f t="shared" si="16"/>
        <v>1</v>
      </c>
      <c r="E82" s="15">
        <v>0</v>
      </c>
      <c r="F82" s="2">
        <f t="shared" si="17"/>
        <v>1</v>
      </c>
      <c r="G82" s="2">
        <f t="shared" si="18"/>
        <v>1</v>
      </c>
      <c r="H82" s="2">
        <f t="shared" si="19"/>
        <v>1</v>
      </c>
      <c r="I82" s="2">
        <f t="shared" si="20"/>
        <v>0</v>
      </c>
      <c r="J82" s="16">
        <f t="shared" si="15"/>
        <v>1.5469509249769347E-3</v>
      </c>
      <c r="K82" s="16">
        <f t="shared" si="21"/>
        <v>0.99845304907502308</v>
      </c>
      <c r="L82" s="2">
        <f t="shared" si="22"/>
        <v>-1E-3</v>
      </c>
      <c r="M82" s="42">
        <f t="shared" si="23"/>
        <v>0.99861687835278012</v>
      </c>
      <c r="N82" s="16">
        <f t="shared" si="24"/>
        <v>0.99861687835278012</v>
      </c>
      <c r="O82" s="2">
        <f t="shared" si="25"/>
        <v>-1E-3</v>
      </c>
      <c r="P82">
        <f t="shared" si="26"/>
        <v>0.99999999003445239</v>
      </c>
      <c r="Q82">
        <f t="shared" si="27"/>
        <v>0.99999999003445239</v>
      </c>
      <c r="R82">
        <f t="shared" si="28"/>
        <v>0</v>
      </c>
    </row>
    <row r="83" spans="1:18" x14ac:dyDescent="0.25">
      <c r="A83" s="19">
        <v>80</v>
      </c>
      <c r="B83" s="15">
        <v>1</v>
      </c>
      <c r="C83" s="15">
        <v>0</v>
      </c>
      <c r="D83" s="15">
        <f t="shared" si="16"/>
        <v>1</v>
      </c>
      <c r="E83" s="15">
        <v>0</v>
      </c>
      <c r="F83" s="2">
        <f t="shared" si="17"/>
        <v>1</v>
      </c>
      <c r="G83" s="2">
        <f t="shared" si="18"/>
        <v>1</v>
      </c>
      <c r="H83" s="2">
        <f t="shared" si="19"/>
        <v>1</v>
      </c>
      <c r="I83" s="2">
        <f t="shared" si="20"/>
        <v>0</v>
      </c>
      <c r="J83" s="16">
        <f t="shared" si="15"/>
        <v>1.3317599651392702E-3</v>
      </c>
      <c r="K83" s="16">
        <f t="shared" si="21"/>
        <v>0.99866824003486077</v>
      </c>
      <c r="L83" s="2">
        <f t="shared" si="22"/>
        <v>-1E-3</v>
      </c>
      <c r="M83" s="42">
        <f t="shared" si="23"/>
        <v>0.99880930676951774</v>
      </c>
      <c r="N83" s="16">
        <f t="shared" si="24"/>
        <v>0.99880930676951774</v>
      </c>
      <c r="O83" s="2">
        <f t="shared" si="25"/>
        <v>-1E-3</v>
      </c>
      <c r="P83">
        <f t="shared" si="26"/>
        <v>0.99999999296715836</v>
      </c>
      <c r="Q83">
        <f t="shared" si="27"/>
        <v>0.99999999296715836</v>
      </c>
      <c r="R83">
        <f t="shared" si="28"/>
        <v>0</v>
      </c>
    </row>
  </sheetData>
  <mergeCells count="3">
    <mergeCell ref="I3:J3"/>
    <mergeCell ref="O3:P3"/>
    <mergeCell ref="A1:V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66"/>
  <sheetViews>
    <sheetView topLeftCell="A37" zoomScale="80" zoomScaleNormal="80" workbookViewId="0">
      <selection activeCell="H7" sqref="H7"/>
    </sheetView>
  </sheetViews>
  <sheetFormatPr baseColWidth="10" defaultRowHeight="15" x14ac:dyDescent="0.25"/>
  <cols>
    <col min="1" max="1" width="15.140625" customWidth="1"/>
    <col min="8" max="8" width="17.140625" customWidth="1"/>
    <col min="9" max="9" width="12.140625" customWidth="1"/>
    <col min="10" max="12" width="16" customWidth="1"/>
  </cols>
  <sheetData>
    <row r="1" spans="1:23" x14ac:dyDescent="0.25">
      <c r="A1" s="82" t="s">
        <v>33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</row>
    <row r="2" spans="1:23" x14ac:dyDescent="0.25">
      <c r="A2" s="82"/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</row>
    <row r="4" spans="1:23" x14ac:dyDescent="0.25">
      <c r="F4" s="83" t="s">
        <v>5</v>
      </c>
      <c r="G4" s="83"/>
      <c r="H4" s="27" t="s">
        <v>21</v>
      </c>
    </row>
    <row r="5" spans="1:23" x14ac:dyDescent="0.25">
      <c r="F5" s="81" t="s">
        <v>39</v>
      </c>
      <c r="G5" s="81"/>
      <c r="H5" s="28">
        <v>0.18491165911062221</v>
      </c>
      <c r="I5" s="25"/>
    </row>
    <row r="6" spans="1:23" x14ac:dyDescent="0.25">
      <c r="F6" s="81" t="s">
        <v>6</v>
      </c>
      <c r="G6" s="81"/>
      <c r="H6" s="28">
        <v>37.378605451121466</v>
      </c>
      <c r="I6" s="25"/>
    </row>
    <row r="7" spans="1:23" x14ac:dyDescent="0.25">
      <c r="F7" s="81" t="s">
        <v>8</v>
      </c>
      <c r="G7" s="81"/>
      <c r="H7" s="28">
        <f>-LN(1/0.25-1)/H5+H6</f>
        <v>31.437323576564967</v>
      </c>
    </row>
    <row r="8" spans="1:23" x14ac:dyDescent="0.25">
      <c r="F8" s="81" t="s">
        <v>7</v>
      </c>
      <c r="G8" s="81"/>
      <c r="H8" s="28">
        <f>-LN(1/0.75-1)/H5+H6</f>
        <v>43.319887325677968</v>
      </c>
      <c r="J8" s="27" t="s">
        <v>42</v>
      </c>
    </row>
    <row r="9" spans="1:23" x14ac:dyDescent="0.25">
      <c r="F9" s="81" t="s">
        <v>9</v>
      </c>
      <c r="G9" s="81"/>
      <c r="H9" s="28">
        <f>H8-H7</f>
        <v>11.882563749113</v>
      </c>
      <c r="J9" s="26">
        <f>SUM(K13:K66)</f>
        <v>-39.83653939949307</v>
      </c>
    </row>
    <row r="12" spans="1:23" ht="63" x14ac:dyDescent="0.25">
      <c r="A12" s="29" t="s">
        <v>28</v>
      </c>
      <c r="B12" s="9" t="s">
        <v>29</v>
      </c>
      <c r="C12" s="9" t="s">
        <v>30</v>
      </c>
      <c r="D12" s="9" t="s">
        <v>31</v>
      </c>
      <c r="E12" s="9" t="s">
        <v>32</v>
      </c>
      <c r="F12" s="9" t="s">
        <v>34</v>
      </c>
      <c r="G12" s="9" t="s">
        <v>38</v>
      </c>
      <c r="H12" s="9" t="s">
        <v>37</v>
      </c>
      <c r="I12" s="9" t="s">
        <v>4</v>
      </c>
      <c r="J12" s="9" t="s">
        <v>40</v>
      </c>
      <c r="K12" s="9" t="s">
        <v>41</v>
      </c>
      <c r="L12" s="20"/>
    </row>
    <row r="13" spans="1:23" ht="15.75" x14ac:dyDescent="0.25">
      <c r="A13" s="3">
        <v>10</v>
      </c>
      <c r="B13" s="4"/>
      <c r="C13" s="4"/>
      <c r="D13" s="4"/>
      <c r="E13" s="4"/>
      <c r="F13" s="4">
        <f>E13+D13+B13</f>
        <v>0</v>
      </c>
      <c r="G13" s="4">
        <f>SUM(B13:E13)</f>
        <v>0</v>
      </c>
      <c r="H13" s="4">
        <f>IFERROR(C13/G13,0)</f>
        <v>0</v>
      </c>
      <c r="I13" s="4">
        <f>1/(1+EXP(-$H$5*(A13-$H$6)))</f>
        <v>6.2891311538598197E-3</v>
      </c>
      <c r="J13" s="4">
        <f>IF(ISERROR(COMBIN(G13,C13)*(I13^C13)*((1-I13)^F13)),"0",COMBIN(G13,C13) *(I13^C13)*((1-I13)^F13))</f>
        <v>1</v>
      </c>
      <c r="K13" s="4">
        <f>IF(ISERROR(LOG(J13)),"0",LOG(J13))</f>
        <v>0</v>
      </c>
      <c r="L13" s="8"/>
    </row>
    <row r="14" spans="1:23" ht="15.75" x14ac:dyDescent="0.25">
      <c r="A14" s="5">
        <v>11</v>
      </c>
      <c r="B14" s="4"/>
      <c r="C14" s="4"/>
      <c r="D14" s="4"/>
      <c r="E14" s="4">
        <v>2</v>
      </c>
      <c r="F14" s="4">
        <f t="shared" ref="F14:F66" si="0">E14+D14+B14</f>
        <v>2</v>
      </c>
      <c r="G14" s="4">
        <f t="array" ref="G14">SUM(B14:E14)</f>
        <v>2</v>
      </c>
      <c r="H14" s="4">
        <f t="shared" ref="H14:H66" si="1">IFERROR(C14/G14,0)</f>
        <v>0</v>
      </c>
      <c r="I14" s="4">
        <f t="shared" ref="I14:I66" si="2">1/(1+EXP(-$H$5*(A14-$H$6)))</f>
        <v>7.5568769664075093E-3</v>
      </c>
      <c r="J14" s="4">
        <f t="shared" ref="J14:J66" si="3">IF(ISERROR(COMBIN(G14,C14)*(I14^C14)*((1-I14)^F14)),"0",COMBIN(G14,C14) *(I14^C14)*((1-I14)^F14))</f>
        <v>0.98494335245667042</v>
      </c>
      <c r="K14" s="4">
        <f t="shared" ref="K14:K66" si="4">IF(ISERROR(LOG(J14)),"0",LOG(J14))</f>
        <v>-6.5887465815083488E-3</v>
      </c>
      <c r="L14" s="8"/>
    </row>
    <row r="15" spans="1:23" ht="15.75" x14ac:dyDescent="0.25">
      <c r="A15" s="5">
        <v>12</v>
      </c>
      <c r="B15" s="4"/>
      <c r="C15" s="4"/>
      <c r="D15" s="4"/>
      <c r="E15" s="4">
        <v>4</v>
      </c>
      <c r="F15" s="4">
        <f t="shared" si="0"/>
        <v>4</v>
      </c>
      <c r="G15" s="4">
        <f t="array" ref="G15">SUM(B15:E15)</f>
        <v>4</v>
      </c>
      <c r="H15" s="4">
        <f t="shared" si="1"/>
        <v>0</v>
      </c>
      <c r="I15" s="4">
        <f t="shared" si="2"/>
        <v>9.0778369918427769E-3</v>
      </c>
      <c r="J15" s="4">
        <f t="shared" si="3"/>
        <v>0.96418010925649522</v>
      </c>
      <c r="K15" s="4">
        <f t="shared" si="4"/>
        <v>-1.5841832124167884E-2</v>
      </c>
      <c r="L15" s="8"/>
    </row>
    <row r="16" spans="1:23" ht="15.75" x14ac:dyDescent="0.25">
      <c r="A16" s="5">
        <v>13</v>
      </c>
      <c r="B16" s="4"/>
      <c r="C16" s="4"/>
      <c r="D16" s="4"/>
      <c r="E16" s="4">
        <v>1</v>
      </c>
      <c r="F16" s="4">
        <f t="shared" si="0"/>
        <v>1</v>
      </c>
      <c r="G16" s="4">
        <f t="array" ref="G16">SUM(B16:E16)</f>
        <v>1</v>
      </c>
      <c r="H16" s="4">
        <f t="shared" si="1"/>
        <v>0</v>
      </c>
      <c r="I16" s="4">
        <f t="shared" si="2"/>
        <v>1.0901555498459265E-2</v>
      </c>
      <c r="J16" s="4">
        <f t="shared" si="3"/>
        <v>0.98909844450154072</v>
      </c>
      <c r="K16" s="4">
        <f t="shared" si="4"/>
        <v>-4.7604811266989339E-3</v>
      </c>
      <c r="L16" s="8"/>
    </row>
    <row r="17" spans="1:12" ht="15.75" x14ac:dyDescent="0.25">
      <c r="A17" s="5">
        <v>14</v>
      </c>
      <c r="B17" s="4"/>
      <c r="C17" s="4"/>
      <c r="D17" s="4"/>
      <c r="E17" s="4">
        <v>2</v>
      </c>
      <c r="F17" s="4">
        <f t="shared" si="0"/>
        <v>2</v>
      </c>
      <c r="G17" s="4">
        <f t="array" ref="G17">SUM(B17:E17)</f>
        <v>2</v>
      </c>
      <c r="H17" s="4">
        <f t="shared" si="1"/>
        <v>0</v>
      </c>
      <c r="I17" s="4">
        <f t="shared" si="2"/>
        <v>1.3086816558101807E-2</v>
      </c>
      <c r="J17" s="4">
        <f t="shared" si="3"/>
        <v>0.97399763165142172</v>
      </c>
      <c r="K17" s="4">
        <f t="shared" si="4"/>
        <v>-1.1442099139833423E-2</v>
      </c>
      <c r="L17" s="8"/>
    </row>
    <row r="18" spans="1:12" ht="15.75" x14ac:dyDescent="0.25">
      <c r="A18" s="5">
        <v>15</v>
      </c>
      <c r="B18" s="4"/>
      <c r="C18" s="4"/>
      <c r="D18" s="4">
        <v>2</v>
      </c>
      <c r="E18" s="4">
        <v>5</v>
      </c>
      <c r="F18" s="4">
        <f t="shared" si="0"/>
        <v>7</v>
      </c>
      <c r="G18" s="4">
        <f t="array" ref="G18">SUM(B18:E18)</f>
        <v>7</v>
      </c>
      <c r="H18" s="4">
        <f t="shared" si="1"/>
        <v>0</v>
      </c>
      <c r="I18" s="4">
        <f t="shared" si="2"/>
        <v>1.5703167568946221E-2</v>
      </c>
      <c r="J18" s="4">
        <f t="shared" si="3"/>
        <v>0.89512278594590877</v>
      </c>
      <c r="K18" s="4">
        <f t="shared" si="4"/>
        <v>-4.8117387476015232E-2</v>
      </c>
      <c r="L18" s="8"/>
    </row>
    <row r="19" spans="1:12" ht="15.75" x14ac:dyDescent="0.25">
      <c r="A19" s="5">
        <v>16</v>
      </c>
      <c r="B19" s="4"/>
      <c r="C19" s="4"/>
      <c r="D19" s="4">
        <v>2</v>
      </c>
      <c r="E19" s="4">
        <v>17</v>
      </c>
      <c r="F19" s="4">
        <f t="shared" si="0"/>
        <v>19</v>
      </c>
      <c r="G19" s="4">
        <f t="array" ref="G19">SUM(B19:E19)</f>
        <v>19</v>
      </c>
      <c r="H19" s="4">
        <f t="shared" si="1"/>
        <v>0</v>
      </c>
      <c r="I19" s="4">
        <f t="shared" si="2"/>
        <v>1.8832605046289634E-2</v>
      </c>
      <c r="J19" s="4">
        <f t="shared" si="3"/>
        <v>0.69681749829155981</v>
      </c>
      <c r="K19" s="4">
        <f t="shared" si="4"/>
        <v>-0.15688095197850863</v>
      </c>
      <c r="L19" s="8"/>
    </row>
    <row r="20" spans="1:12" ht="15.75" x14ac:dyDescent="0.25">
      <c r="A20" s="5">
        <v>17</v>
      </c>
      <c r="B20" s="4"/>
      <c r="C20" s="4"/>
      <c r="D20" s="4">
        <v>1</v>
      </c>
      <c r="E20" s="4">
        <v>10</v>
      </c>
      <c r="F20" s="4">
        <f t="shared" si="0"/>
        <v>11</v>
      </c>
      <c r="G20" s="4">
        <f t="array" ref="G20">SUM(B20:E20)</f>
        <v>11</v>
      </c>
      <c r="H20" s="4">
        <f t="shared" si="1"/>
        <v>0</v>
      </c>
      <c r="I20" s="4">
        <f t="shared" si="2"/>
        <v>2.257139742399928E-2</v>
      </c>
      <c r="J20" s="4">
        <f t="shared" si="3"/>
        <v>0.77792097309236574</v>
      </c>
      <c r="K20" s="4">
        <f t="shared" si="4"/>
        <v>-0.10906451958246413</v>
      </c>
      <c r="L20" s="8"/>
    </row>
    <row r="21" spans="1:12" ht="15.75" x14ac:dyDescent="0.25">
      <c r="A21" s="5">
        <v>18</v>
      </c>
      <c r="B21" s="4"/>
      <c r="C21" s="4"/>
      <c r="D21" s="4">
        <v>2</v>
      </c>
      <c r="E21" s="4">
        <v>13</v>
      </c>
      <c r="F21" s="4">
        <f t="shared" si="0"/>
        <v>15</v>
      </c>
      <c r="G21" s="4">
        <f t="array" ref="G21">SUM(B21:E21)</f>
        <v>15</v>
      </c>
      <c r="H21" s="4">
        <f t="shared" si="1"/>
        <v>0</v>
      </c>
      <c r="I21" s="4">
        <f t="shared" si="2"/>
        <v>2.703199366246864E-2</v>
      </c>
      <c r="J21" s="4">
        <f t="shared" si="3"/>
        <v>0.66294636998823564</v>
      </c>
      <c r="K21" s="4">
        <f t="shared" si="4"/>
        <v>-0.17852160305863074</v>
      </c>
      <c r="L21" s="8"/>
    </row>
    <row r="22" spans="1:12" ht="15.75" x14ac:dyDescent="0.25">
      <c r="A22" s="5">
        <v>19</v>
      </c>
      <c r="B22" s="4"/>
      <c r="C22" s="4"/>
      <c r="D22" s="4">
        <v>4</v>
      </c>
      <c r="E22" s="4">
        <v>14</v>
      </c>
      <c r="F22" s="4">
        <f t="shared" si="0"/>
        <v>18</v>
      </c>
      <c r="G22" s="4">
        <f t="array" ref="G22">SUM(B22:E22)</f>
        <v>18</v>
      </c>
      <c r="H22" s="4">
        <f t="shared" si="1"/>
        <v>0</v>
      </c>
      <c r="I22" s="4">
        <f t="shared" si="2"/>
        <v>3.2344929364571597E-2</v>
      </c>
      <c r="J22" s="4">
        <f t="shared" si="3"/>
        <v>0.5533123716865086</v>
      </c>
      <c r="K22" s="4">
        <f t="shared" si="4"/>
        <v>-0.25702961914945816</v>
      </c>
      <c r="L22" s="8"/>
    </row>
    <row r="23" spans="1:12" ht="15.75" x14ac:dyDescent="0.25">
      <c r="A23" s="3">
        <v>20</v>
      </c>
      <c r="B23" s="4"/>
      <c r="C23" s="4"/>
      <c r="D23" s="4">
        <v>4</v>
      </c>
      <c r="E23" s="4">
        <v>21</v>
      </c>
      <c r="F23" s="4">
        <f t="shared" si="0"/>
        <v>25</v>
      </c>
      <c r="G23" s="4">
        <f t="array" ref="G23">SUM(B23:E23)</f>
        <v>25</v>
      </c>
      <c r="H23" s="4">
        <f t="shared" si="1"/>
        <v>0</v>
      </c>
      <c r="I23" s="4">
        <f t="shared" si="2"/>
        <v>3.8660591073617849E-2</v>
      </c>
      <c r="J23" s="4">
        <f t="shared" si="3"/>
        <v>0.37318024984571102</v>
      </c>
      <c r="K23" s="4">
        <f t="shared" si="4"/>
        <v>-0.42808134887514837</v>
      </c>
      <c r="L23" s="8"/>
    </row>
    <row r="24" spans="1:12" ht="15.75" x14ac:dyDescent="0.25">
      <c r="A24" s="5">
        <v>21</v>
      </c>
      <c r="B24" s="4"/>
      <c r="C24" s="4"/>
      <c r="D24" s="4">
        <v>7</v>
      </c>
      <c r="E24" s="4">
        <v>17</v>
      </c>
      <c r="F24" s="4">
        <f t="shared" si="0"/>
        <v>24</v>
      </c>
      <c r="G24" s="4">
        <f t="array" ref="G24">SUM(B24:E24)</f>
        <v>24</v>
      </c>
      <c r="H24" s="4">
        <f t="shared" si="1"/>
        <v>0</v>
      </c>
      <c r="I24" s="4">
        <f t="shared" si="2"/>
        <v>4.6150632025908418E-2</v>
      </c>
      <c r="J24" s="4">
        <f t="shared" si="3"/>
        <v>0.32174744774843067</v>
      </c>
      <c r="K24" s="4">
        <f t="shared" si="4"/>
        <v>-0.49248488943731078</v>
      </c>
      <c r="L24" s="8"/>
    </row>
    <row r="25" spans="1:12" ht="15.75" x14ac:dyDescent="0.25">
      <c r="A25" s="5">
        <v>22</v>
      </c>
      <c r="B25" s="4">
        <v>1</v>
      </c>
      <c r="C25" s="4">
        <v>1</v>
      </c>
      <c r="D25" s="4">
        <v>7</v>
      </c>
      <c r="E25" s="4">
        <v>15</v>
      </c>
      <c r="F25" s="4">
        <f t="shared" si="0"/>
        <v>23</v>
      </c>
      <c r="G25" s="4">
        <f t="array" ref="G25">SUM(B25:E25)</f>
        <v>24</v>
      </c>
      <c r="H25" s="4">
        <f t="shared" si="1"/>
        <v>4.1666666666666664E-2</v>
      </c>
      <c r="I25" s="4">
        <f t="shared" si="2"/>
        <v>5.5008747709074005E-2</v>
      </c>
      <c r="J25" s="4">
        <f t="shared" si="3"/>
        <v>0.35932061206794658</v>
      </c>
      <c r="K25" s="4">
        <f t="shared" si="4"/>
        <v>-0.44451786921168218</v>
      </c>
      <c r="L25" s="8"/>
    </row>
    <row r="26" spans="1:12" ht="15.75" x14ac:dyDescent="0.25">
      <c r="A26" s="5">
        <v>23</v>
      </c>
      <c r="B26" s="4">
        <v>4</v>
      </c>
      <c r="C26" s="4">
        <v>1</v>
      </c>
      <c r="D26" s="4">
        <v>13</v>
      </c>
      <c r="E26" s="4">
        <v>26</v>
      </c>
      <c r="F26" s="4">
        <f t="shared" si="0"/>
        <v>43</v>
      </c>
      <c r="G26" s="4">
        <f t="array" ref="G26">SUM(B26:E26)</f>
        <v>44</v>
      </c>
      <c r="H26" s="4">
        <f t="shared" si="1"/>
        <v>2.2727272727272728E-2</v>
      </c>
      <c r="I26" s="4">
        <f t="shared" si="2"/>
        <v>6.5450418867585097E-2</v>
      </c>
      <c r="J26" s="4">
        <f t="shared" si="3"/>
        <v>0.15677111065145721</v>
      </c>
      <c r="K26" s="4">
        <f t="shared" si="4"/>
        <v>-0.80473396486971005</v>
      </c>
      <c r="L26" s="8"/>
    </row>
    <row r="27" spans="1:12" ht="15.75" x14ac:dyDescent="0.25">
      <c r="A27" s="5">
        <v>24</v>
      </c>
      <c r="B27" s="4">
        <v>3</v>
      </c>
      <c r="C27" s="4">
        <v>5</v>
      </c>
      <c r="D27" s="4">
        <v>16</v>
      </c>
      <c r="E27" s="4">
        <v>26</v>
      </c>
      <c r="F27" s="4">
        <f t="shared" si="0"/>
        <v>45</v>
      </c>
      <c r="G27" s="4">
        <f t="array" ref="G27">SUM(B27:E27)</f>
        <v>50</v>
      </c>
      <c r="H27" s="4">
        <f t="shared" si="1"/>
        <v>0.1</v>
      </c>
      <c r="I27" s="4">
        <f t="shared" si="2"/>
        <v>7.7711120080588961E-2</v>
      </c>
      <c r="J27" s="4">
        <f t="shared" si="3"/>
        <v>0.15758372594614081</v>
      </c>
      <c r="K27" s="4">
        <f t="shared" si="4"/>
        <v>-0.80248863517595326</v>
      </c>
      <c r="L27" s="8"/>
    </row>
    <row r="28" spans="1:12" ht="15.75" x14ac:dyDescent="0.25">
      <c r="A28" s="5">
        <v>25</v>
      </c>
      <c r="B28" s="4">
        <v>10</v>
      </c>
      <c r="C28" s="4">
        <v>5</v>
      </c>
      <c r="D28" s="4">
        <v>38</v>
      </c>
      <c r="E28" s="4">
        <v>33</v>
      </c>
      <c r="F28" s="4">
        <f t="shared" si="0"/>
        <v>81</v>
      </c>
      <c r="G28" s="4">
        <f t="array" ref="G28">SUM(B28:E28)</f>
        <v>86</v>
      </c>
      <c r="H28" s="4">
        <f t="shared" si="1"/>
        <v>5.8139534883720929E-2</v>
      </c>
      <c r="I28" s="4">
        <f t="shared" si="2"/>
        <v>9.2042389101274685E-2</v>
      </c>
      <c r="J28" s="4">
        <f t="shared" si="3"/>
        <v>9.229076039104997E-2</v>
      </c>
      <c r="K28" s="4">
        <f t="shared" si="4"/>
        <v>-1.0348417758109218</v>
      </c>
      <c r="L28" s="8"/>
    </row>
    <row r="29" spans="1:12" ht="15.75" x14ac:dyDescent="0.25">
      <c r="A29" s="5">
        <v>26</v>
      </c>
      <c r="B29" s="4">
        <v>10</v>
      </c>
      <c r="C29" s="4">
        <v>15</v>
      </c>
      <c r="D29" s="4">
        <v>35</v>
      </c>
      <c r="E29" s="4">
        <v>60</v>
      </c>
      <c r="F29" s="4">
        <f t="shared" si="0"/>
        <v>105</v>
      </c>
      <c r="G29" s="4">
        <f t="array" ref="G29">SUM(B29:E29)</f>
        <v>120</v>
      </c>
      <c r="H29" s="4">
        <f t="shared" si="1"/>
        <v>0.125</v>
      </c>
      <c r="I29" s="4">
        <f t="shared" si="2"/>
        <v>0.10870508310842798</v>
      </c>
      <c r="J29" s="4">
        <f t="shared" si="3"/>
        <v>9.3520555917059656E-2</v>
      </c>
      <c r="K29" s="4">
        <f t="shared" si="4"/>
        <v>-1.0290929202487631</v>
      </c>
      <c r="L29" s="8"/>
    </row>
    <row r="30" spans="1:12" ht="15.75" x14ac:dyDescent="0.25">
      <c r="A30" s="5">
        <v>27</v>
      </c>
      <c r="B30" s="4">
        <v>29</v>
      </c>
      <c r="C30" s="4">
        <v>21</v>
      </c>
      <c r="D30" s="4">
        <v>48</v>
      </c>
      <c r="E30" s="4">
        <v>57</v>
      </c>
      <c r="F30" s="4">
        <f t="shared" si="0"/>
        <v>134</v>
      </c>
      <c r="G30" s="4">
        <f t="array" ref="G30">SUM(B30:E30)</f>
        <v>155</v>
      </c>
      <c r="H30" s="4">
        <f t="shared" si="1"/>
        <v>0.13548387096774195</v>
      </c>
      <c r="I30" s="4">
        <f t="shared" si="2"/>
        <v>0.12795915486091139</v>
      </c>
      <c r="J30" s="4">
        <f t="shared" si="3"/>
        <v>8.9712409632236673E-2</v>
      </c>
      <c r="K30" s="4">
        <f t="shared" si="4"/>
        <v>-1.0471474782264323</v>
      </c>
      <c r="L30" s="8"/>
    </row>
    <row r="31" spans="1:12" ht="15.75" x14ac:dyDescent="0.25">
      <c r="A31" s="5">
        <v>28</v>
      </c>
      <c r="B31" s="4">
        <v>23</v>
      </c>
      <c r="C31" s="4">
        <v>31</v>
      </c>
      <c r="D31" s="4">
        <v>69</v>
      </c>
      <c r="E31" s="4">
        <v>57</v>
      </c>
      <c r="F31" s="4">
        <f t="shared" si="0"/>
        <v>149</v>
      </c>
      <c r="G31" s="4">
        <f t="array" ref="G31">SUM(B31:E31)</f>
        <v>180</v>
      </c>
      <c r="H31" s="4">
        <f t="shared" si="1"/>
        <v>0.17222222222222222</v>
      </c>
      <c r="I31" s="4">
        <f t="shared" si="2"/>
        <v>0.15004942076598982</v>
      </c>
      <c r="J31" s="4">
        <f t="shared" si="3"/>
        <v>5.624306510424152E-2</v>
      </c>
      <c r="K31" s="4">
        <f t="shared" si="4"/>
        <v>-1.2499310193967401</v>
      </c>
      <c r="L31" s="8"/>
    </row>
    <row r="32" spans="1:12" ht="15.75" x14ac:dyDescent="0.25">
      <c r="A32" s="5">
        <v>29</v>
      </c>
      <c r="B32" s="4">
        <v>31</v>
      </c>
      <c r="C32" s="4">
        <v>31</v>
      </c>
      <c r="D32" s="4">
        <v>80</v>
      </c>
      <c r="E32" s="4">
        <v>78</v>
      </c>
      <c r="F32" s="4">
        <f t="shared" si="0"/>
        <v>189</v>
      </c>
      <c r="G32" s="4">
        <f t="array" ref="G32">SUM(B32:E32)</f>
        <v>220</v>
      </c>
      <c r="H32" s="4">
        <f t="shared" si="1"/>
        <v>0.1409090909090909</v>
      </c>
      <c r="I32" s="4">
        <f t="shared" si="2"/>
        <v>0.17518712775504741</v>
      </c>
      <c r="J32" s="4">
        <f t="shared" si="3"/>
        <v>2.9940274617807964E-2</v>
      </c>
      <c r="K32" s="4">
        <f t="shared" si="4"/>
        <v>-1.523744220544347</v>
      </c>
      <c r="L32" s="8"/>
    </row>
    <row r="33" spans="1:12" ht="15.75" x14ac:dyDescent="0.25">
      <c r="A33" s="3">
        <v>30</v>
      </c>
      <c r="B33" s="4">
        <v>55</v>
      </c>
      <c r="C33" s="4">
        <v>72</v>
      </c>
      <c r="D33" s="4">
        <v>88</v>
      </c>
      <c r="E33" s="4">
        <v>83</v>
      </c>
      <c r="F33" s="4">
        <f t="shared" si="0"/>
        <v>226</v>
      </c>
      <c r="G33" s="4">
        <f t="array" ref="G33">SUM(B33:E33)</f>
        <v>298</v>
      </c>
      <c r="H33" s="4">
        <f t="shared" si="1"/>
        <v>0.24161073825503357</v>
      </c>
      <c r="I33" s="4">
        <f t="shared" si="2"/>
        <v>0.20352771007481027</v>
      </c>
      <c r="J33" s="4">
        <f t="shared" si="3"/>
        <v>1.5039141257703639E-2</v>
      </c>
      <c r="K33" s="4">
        <f t="shared" si="4"/>
        <v>-1.8227769614630078</v>
      </c>
      <c r="L33" s="8"/>
    </row>
    <row r="34" spans="1:12" ht="15.75" x14ac:dyDescent="0.25">
      <c r="A34" s="5">
        <v>31</v>
      </c>
      <c r="B34" s="4">
        <v>65</v>
      </c>
      <c r="C34" s="4">
        <v>85</v>
      </c>
      <c r="D34" s="4">
        <v>93</v>
      </c>
      <c r="E34" s="4">
        <v>80</v>
      </c>
      <c r="F34" s="4">
        <f t="shared" si="0"/>
        <v>238</v>
      </c>
      <c r="G34" s="4">
        <f t="array" ref="G34">SUM(B34:E34)</f>
        <v>323</v>
      </c>
      <c r="H34" s="4">
        <f t="shared" si="1"/>
        <v>0.26315789473684209</v>
      </c>
      <c r="I34" s="4">
        <f t="shared" si="2"/>
        <v>0.23514597326185294</v>
      </c>
      <c r="J34" s="4">
        <f t="shared" si="3"/>
        <v>2.5346963266938582E-2</v>
      </c>
      <c r="K34" s="4">
        <f t="shared" si="4"/>
        <v>-1.5960740645519893</v>
      </c>
      <c r="L34" s="8"/>
    </row>
    <row r="35" spans="1:12" ht="15.75" x14ac:dyDescent="0.25">
      <c r="A35" s="5">
        <v>32</v>
      </c>
      <c r="B35" s="4">
        <v>66</v>
      </c>
      <c r="C35" s="4">
        <v>68</v>
      </c>
      <c r="D35" s="4">
        <v>89</v>
      </c>
      <c r="E35" s="4">
        <v>76</v>
      </c>
      <c r="F35" s="4">
        <f t="shared" si="0"/>
        <v>231</v>
      </c>
      <c r="G35" s="4">
        <f t="array" ref="G35">SUM(B35:E35)</f>
        <v>299</v>
      </c>
      <c r="H35" s="4">
        <f t="shared" si="1"/>
        <v>0.22742474916387959</v>
      </c>
      <c r="I35" s="4">
        <f t="shared" si="2"/>
        <v>0.27001098205520374</v>
      </c>
      <c r="J35" s="4">
        <f t="shared" si="3"/>
        <v>1.3208023281762482E-2</v>
      </c>
      <c r="K35" s="4">
        <f t="shared" si="4"/>
        <v>-1.8791621742143676</v>
      </c>
      <c r="L35" s="8"/>
    </row>
    <row r="36" spans="1:12" ht="15.75" x14ac:dyDescent="0.25">
      <c r="A36" s="5">
        <v>33</v>
      </c>
      <c r="B36" s="4">
        <v>69</v>
      </c>
      <c r="C36" s="4">
        <v>81</v>
      </c>
      <c r="D36" s="4">
        <v>75</v>
      </c>
      <c r="E36" s="4">
        <v>60</v>
      </c>
      <c r="F36" s="4">
        <f t="shared" si="0"/>
        <v>204</v>
      </c>
      <c r="G36" s="4">
        <f t="array" ref="G36">SUM(B36:E36)</f>
        <v>285</v>
      </c>
      <c r="H36" s="4">
        <f t="shared" si="1"/>
        <v>0.28421052631578947</v>
      </c>
      <c r="I36" s="4">
        <f t="shared" si="2"/>
        <v>0.3079639756620639</v>
      </c>
      <c r="J36" s="4">
        <f t="shared" si="3"/>
        <v>3.5683769525231689E-2</v>
      </c>
      <c r="K36" s="4">
        <f t="shared" si="4"/>
        <v>-1.4475292743201249</v>
      </c>
      <c r="L36" s="8"/>
    </row>
    <row r="37" spans="1:12" ht="15.75" x14ac:dyDescent="0.25">
      <c r="A37" s="5">
        <v>34</v>
      </c>
      <c r="B37" s="4">
        <v>59</v>
      </c>
      <c r="C37" s="4">
        <v>87</v>
      </c>
      <c r="D37" s="4">
        <v>73</v>
      </c>
      <c r="E37" s="4">
        <v>53</v>
      </c>
      <c r="F37" s="4">
        <f t="shared" si="0"/>
        <v>185</v>
      </c>
      <c r="G37" s="4">
        <f t="array" ref="G37">SUM(B37:E37)</f>
        <v>272</v>
      </c>
      <c r="H37" s="4">
        <f t="shared" si="1"/>
        <v>0.31985294117647056</v>
      </c>
      <c r="I37" s="4">
        <f t="shared" si="2"/>
        <v>0.3487033776586097</v>
      </c>
      <c r="J37" s="4">
        <f t="shared" si="3"/>
        <v>3.1256175162775027E-2</v>
      </c>
      <c r="K37" s="4">
        <f t="shared" si="4"/>
        <v>-1.5050641679461376</v>
      </c>
      <c r="L37" s="8"/>
    </row>
    <row r="38" spans="1:12" ht="15.75" x14ac:dyDescent="0.25">
      <c r="A38" s="5">
        <v>35</v>
      </c>
      <c r="B38" s="4">
        <v>61</v>
      </c>
      <c r="C38" s="4">
        <v>130</v>
      </c>
      <c r="D38" s="4">
        <v>51</v>
      </c>
      <c r="E38" s="4">
        <v>38</v>
      </c>
      <c r="F38" s="4">
        <f t="shared" si="0"/>
        <v>150</v>
      </c>
      <c r="G38" s="4">
        <f t="array" ref="G38">SUM(B38:E38)</f>
        <v>280</v>
      </c>
      <c r="H38" s="4">
        <f t="shared" si="1"/>
        <v>0.4642857142857143</v>
      </c>
      <c r="I38" s="4">
        <f t="shared" si="2"/>
        <v>0.39178102953295807</v>
      </c>
      <c r="J38" s="4">
        <f t="shared" si="3"/>
        <v>2.2995462669294468E-3</v>
      </c>
      <c r="K38" s="4">
        <f t="shared" si="4"/>
        <v>-2.6383578479860028</v>
      </c>
      <c r="L38" s="8"/>
    </row>
    <row r="39" spans="1:12" ht="15.75" x14ac:dyDescent="0.25">
      <c r="A39" s="5">
        <v>36</v>
      </c>
      <c r="B39" s="4">
        <v>40</v>
      </c>
      <c r="C39" s="4">
        <v>79</v>
      </c>
      <c r="D39" s="4">
        <v>35</v>
      </c>
      <c r="E39" s="4">
        <v>28</v>
      </c>
      <c r="F39" s="4">
        <f t="shared" si="0"/>
        <v>103</v>
      </c>
      <c r="G39" s="4">
        <f t="array" ref="G39">SUM(B39:E39)</f>
        <v>182</v>
      </c>
      <c r="H39" s="4">
        <f t="shared" si="1"/>
        <v>0.43406593406593408</v>
      </c>
      <c r="I39" s="4">
        <f t="shared" si="2"/>
        <v>0.43661283778638726</v>
      </c>
      <c r="J39" s="4">
        <f t="shared" si="3"/>
        <v>5.9437470481376903E-2</v>
      </c>
      <c r="K39" s="4">
        <f t="shared" si="4"/>
        <v>-1.2259396814035297</v>
      </c>
      <c r="L39" s="8"/>
    </row>
    <row r="40" spans="1:12" ht="15.75" x14ac:dyDescent="0.25">
      <c r="A40" s="5">
        <v>37</v>
      </c>
      <c r="B40" s="4">
        <v>44</v>
      </c>
      <c r="C40" s="4">
        <v>91</v>
      </c>
      <c r="D40" s="4">
        <v>24</v>
      </c>
      <c r="E40" s="4">
        <v>25</v>
      </c>
      <c r="F40" s="4">
        <f t="shared" si="0"/>
        <v>93</v>
      </c>
      <c r="G40" s="4">
        <f t="array" ref="G40">SUM(B40:E40)</f>
        <v>184</v>
      </c>
      <c r="H40" s="4">
        <f t="shared" si="1"/>
        <v>0.49456521739130432</v>
      </c>
      <c r="I40" s="4">
        <f t="shared" si="2"/>
        <v>0.48250500442513938</v>
      </c>
      <c r="J40" s="4">
        <f t="shared" si="3"/>
        <v>5.5680525074945093E-2</v>
      </c>
      <c r="K40" s="4">
        <f t="shared" si="4"/>
        <v>-1.2542966779219911</v>
      </c>
      <c r="L40" s="8"/>
    </row>
    <row r="41" spans="1:12" ht="15.75" x14ac:dyDescent="0.25">
      <c r="A41" s="5">
        <v>38</v>
      </c>
      <c r="B41" s="4">
        <v>38</v>
      </c>
      <c r="C41" s="4">
        <v>84</v>
      </c>
      <c r="D41" s="4">
        <v>21</v>
      </c>
      <c r="E41" s="4">
        <v>17</v>
      </c>
      <c r="F41" s="4">
        <f t="shared" si="0"/>
        <v>76</v>
      </c>
      <c r="G41" s="4">
        <f t="array" ref="G41">SUM(B41:E41)</f>
        <v>160</v>
      </c>
      <c r="H41" s="4">
        <f t="shared" si="1"/>
        <v>0.52500000000000002</v>
      </c>
      <c r="I41" s="4">
        <f t="shared" si="2"/>
        <v>0.52869421105329384</v>
      </c>
      <c r="J41" s="4">
        <f t="shared" si="3"/>
        <v>6.2782761799509368E-2</v>
      </c>
      <c r="K41" s="4">
        <f t="shared" si="4"/>
        <v>-1.2021595836996075</v>
      </c>
      <c r="L41" s="8"/>
    </row>
    <row r="42" spans="1:12" ht="15.75" x14ac:dyDescent="0.25">
      <c r="A42" s="5">
        <v>39</v>
      </c>
      <c r="B42" s="4">
        <v>25</v>
      </c>
      <c r="C42" s="4">
        <v>58</v>
      </c>
      <c r="D42" s="4">
        <v>23</v>
      </c>
      <c r="E42" s="4">
        <v>9</v>
      </c>
      <c r="F42" s="4">
        <f t="shared" si="0"/>
        <v>57</v>
      </c>
      <c r="G42" s="4">
        <f t="array" ref="G42">SUM(B42:E42)</f>
        <v>115</v>
      </c>
      <c r="H42" s="4">
        <f t="shared" si="1"/>
        <v>0.5043478260869565</v>
      </c>
      <c r="I42" s="4">
        <f t="shared" si="2"/>
        <v>0.57439723177774049</v>
      </c>
      <c r="J42" s="4">
        <f t="shared" si="3"/>
        <v>2.3702465772670805E-2</v>
      </c>
      <c r="K42" s="4">
        <f t="shared" si="4"/>
        <v>-1.6252064718902703</v>
      </c>
      <c r="L42" s="8"/>
    </row>
    <row r="43" spans="1:12" ht="15.75" x14ac:dyDescent="0.25">
      <c r="A43" s="3">
        <v>40</v>
      </c>
      <c r="B43" s="4">
        <v>26</v>
      </c>
      <c r="C43" s="4">
        <v>73</v>
      </c>
      <c r="D43" s="4">
        <v>10</v>
      </c>
      <c r="E43" s="4">
        <v>6</v>
      </c>
      <c r="F43" s="4">
        <f t="shared" si="0"/>
        <v>42</v>
      </c>
      <c r="G43" s="4">
        <f t="array" ref="G43">SUM(B43:E43)</f>
        <v>115</v>
      </c>
      <c r="H43" s="4">
        <f t="shared" si="1"/>
        <v>0.63478260869565217</v>
      </c>
      <c r="I43" s="4">
        <f t="shared" si="2"/>
        <v>0.61886332604313543</v>
      </c>
      <c r="J43" s="4">
        <f t="shared" si="3"/>
        <v>7.2435327933815574E-2</v>
      </c>
      <c r="K43" s="4">
        <f t="shared" si="4"/>
        <v>-1.1400495693739696</v>
      </c>
      <c r="L43" s="8"/>
    </row>
    <row r="44" spans="1:12" ht="15.75" x14ac:dyDescent="0.25">
      <c r="A44" s="5">
        <v>41</v>
      </c>
      <c r="B44" s="4">
        <v>9</v>
      </c>
      <c r="C44" s="4">
        <v>58</v>
      </c>
      <c r="D44" s="4">
        <v>7</v>
      </c>
      <c r="E44" s="4">
        <v>4</v>
      </c>
      <c r="F44" s="4">
        <f t="shared" si="0"/>
        <v>20</v>
      </c>
      <c r="G44" s="4">
        <f t="array" ref="G44">SUM(B44:E44)</f>
        <v>78</v>
      </c>
      <c r="H44" s="4">
        <f t="shared" si="1"/>
        <v>0.74358974358974361</v>
      </c>
      <c r="I44" s="4">
        <f t="shared" si="2"/>
        <v>0.66142211325354894</v>
      </c>
      <c r="J44" s="4">
        <f t="shared" si="3"/>
        <v>3.003664703270598E-2</v>
      </c>
      <c r="K44" s="4">
        <f t="shared" si="4"/>
        <v>-1.522348548913762</v>
      </c>
      <c r="L44" s="8"/>
    </row>
    <row r="45" spans="1:12" ht="15.75" x14ac:dyDescent="0.25">
      <c r="A45" s="5">
        <v>42</v>
      </c>
      <c r="B45" s="4">
        <v>10</v>
      </c>
      <c r="C45" s="4">
        <v>43</v>
      </c>
      <c r="D45" s="4">
        <v>5</v>
      </c>
      <c r="E45" s="4">
        <v>4</v>
      </c>
      <c r="F45" s="4">
        <f t="shared" si="0"/>
        <v>19</v>
      </c>
      <c r="G45" s="4">
        <f t="array" ref="G45">SUM(B45:E45)</f>
        <v>62</v>
      </c>
      <c r="H45" s="4">
        <f t="shared" si="1"/>
        <v>0.69354838709677424</v>
      </c>
      <c r="I45" s="4">
        <f t="shared" si="2"/>
        <v>0.70152068111902788</v>
      </c>
      <c r="J45" s="4">
        <f t="shared" si="3"/>
        <v>0.10833438498539531</v>
      </c>
      <c r="K45" s="4">
        <f t="shared" si="4"/>
        <v>-0.96523367782259828</v>
      </c>
      <c r="L45" s="8"/>
    </row>
    <row r="46" spans="1:12" ht="15.75" x14ac:dyDescent="0.25">
      <c r="A46" s="5">
        <v>43</v>
      </c>
      <c r="B46" s="4">
        <v>9</v>
      </c>
      <c r="C46" s="4">
        <v>39</v>
      </c>
      <c r="D46" s="4">
        <v>6</v>
      </c>
      <c r="E46" s="4">
        <v>2</v>
      </c>
      <c r="F46" s="4">
        <f t="shared" si="0"/>
        <v>17</v>
      </c>
      <c r="G46" s="4">
        <f t="array" ref="G46">SUM(B46:E46)</f>
        <v>56</v>
      </c>
      <c r="H46" s="4">
        <f t="shared" si="1"/>
        <v>0.6964285714285714</v>
      </c>
      <c r="I46" s="4">
        <f t="shared" si="2"/>
        <v>0.7387460680444069</v>
      </c>
      <c r="J46" s="4">
        <f t="shared" si="3"/>
        <v>8.9659324233858473E-2</v>
      </c>
      <c r="K46" s="4">
        <f t="shared" si="4"/>
        <v>-1.0474045387538797</v>
      </c>
      <c r="L46" s="8"/>
    </row>
    <row r="47" spans="1:12" ht="15.75" x14ac:dyDescent="0.25">
      <c r="A47" s="5">
        <v>44</v>
      </c>
      <c r="B47" s="4">
        <v>3</v>
      </c>
      <c r="C47" s="4">
        <v>32</v>
      </c>
      <c r="D47" s="4">
        <v>2</v>
      </c>
      <c r="E47" s="4">
        <v>0</v>
      </c>
      <c r="F47" s="4">
        <f t="shared" si="0"/>
        <v>5</v>
      </c>
      <c r="G47" s="4">
        <f t="array" ref="G47">SUM(B47:E47)</f>
        <v>37</v>
      </c>
      <c r="H47" s="4">
        <f t="shared" si="1"/>
        <v>0.86486486486486491</v>
      </c>
      <c r="I47" s="4">
        <f t="shared" si="2"/>
        <v>0.77283220955290699</v>
      </c>
      <c r="J47" s="4">
        <f t="shared" si="3"/>
        <v>6.9158329983419656E-2</v>
      </c>
      <c r="K47" s="4">
        <f t="shared" si="4"/>
        <v>-1.1601555024967614</v>
      </c>
      <c r="L47" s="8"/>
    </row>
    <row r="48" spans="1:12" ht="15.75" x14ac:dyDescent="0.25">
      <c r="A48" s="5">
        <v>45</v>
      </c>
      <c r="B48" s="4">
        <v>3</v>
      </c>
      <c r="C48" s="4">
        <v>27</v>
      </c>
      <c r="D48" s="4">
        <v>4</v>
      </c>
      <c r="E48" s="4">
        <v>1</v>
      </c>
      <c r="F48" s="4">
        <f t="shared" si="0"/>
        <v>8</v>
      </c>
      <c r="G48" s="4">
        <f t="array" ref="G48">SUM(B48:E48)</f>
        <v>35</v>
      </c>
      <c r="H48" s="4">
        <f t="shared" si="1"/>
        <v>0.77142857142857146</v>
      </c>
      <c r="I48" s="4">
        <f t="shared" si="2"/>
        <v>0.80365309923113093</v>
      </c>
      <c r="J48" s="4">
        <f t="shared" si="3"/>
        <v>0.14215907302660524</v>
      </c>
      <c r="K48" s="4">
        <f t="shared" si="4"/>
        <v>-0.84722541708755195</v>
      </c>
      <c r="L48" s="8"/>
    </row>
    <row r="49" spans="1:12" ht="15.75" x14ac:dyDescent="0.25">
      <c r="A49" s="5">
        <v>46</v>
      </c>
      <c r="B49" s="4">
        <v>3</v>
      </c>
      <c r="C49" s="4">
        <v>15</v>
      </c>
      <c r="D49" s="4">
        <v>3</v>
      </c>
      <c r="E49" s="4">
        <v>0</v>
      </c>
      <c r="F49" s="4">
        <f t="shared" si="0"/>
        <v>6</v>
      </c>
      <c r="G49" s="4">
        <f t="array" ref="G49">SUM(B49:E49)</f>
        <v>21</v>
      </c>
      <c r="H49" s="4">
        <f t="shared" si="1"/>
        <v>0.7142857142857143</v>
      </c>
      <c r="I49" s="4">
        <f t="shared" si="2"/>
        <v>0.83120568405918405</v>
      </c>
      <c r="J49" s="4">
        <f t="shared" si="3"/>
        <v>7.8394623297666041E-2</v>
      </c>
      <c r="K49" s="4">
        <f t="shared" si="4"/>
        <v>-1.1057137224205131</v>
      </c>
      <c r="L49" s="8"/>
    </row>
    <row r="50" spans="1:12" ht="15.75" x14ac:dyDescent="0.25">
      <c r="A50" s="5">
        <v>47</v>
      </c>
      <c r="B50" s="4">
        <v>4</v>
      </c>
      <c r="C50" s="4">
        <v>16</v>
      </c>
      <c r="D50" s="4">
        <v>1</v>
      </c>
      <c r="E50" s="4">
        <v>1</v>
      </c>
      <c r="F50" s="4">
        <f t="shared" si="0"/>
        <v>6</v>
      </c>
      <c r="G50" s="4">
        <f t="array" ref="G50">SUM(B50:E50)</f>
        <v>22</v>
      </c>
      <c r="H50" s="4">
        <f t="shared" si="1"/>
        <v>0.72727272727272729</v>
      </c>
      <c r="I50" s="4">
        <f t="shared" si="2"/>
        <v>0.85558669061342452</v>
      </c>
      <c r="J50" s="4">
        <f t="shared" si="3"/>
        <v>5.5806160889684979E-2</v>
      </c>
      <c r="K50" s="4">
        <f t="shared" si="4"/>
        <v>-1.2533178531646494</v>
      </c>
      <c r="L50" s="8"/>
    </row>
    <row r="51" spans="1:12" ht="15.75" x14ac:dyDescent="0.25">
      <c r="A51" s="5">
        <v>48</v>
      </c>
      <c r="B51" s="4">
        <v>1</v>
      </c>
      <c r="C51" s="4">
        <v>23</v>
      </c>
      <c r="D51" s="4">
        <v>0</v>
      </c>
      <c r="E51" s="4">
        <v>0</v>
      </c>
      <c r="F51" s="4">
        <f t="shared" si="0"/>
        <v>1</v>
      </c>
      <c r="G51" s="4">
        <f t="array" ref="G51">SUM(B51:E51)</f>
        <v>24</v>
      </c>
      <c r="H51" s="4">
        <f t="shared" si="1"/>
        <v>0.95833333333333337</v>
      </c>
      <c r="I51" s="4">
        <f t="shared" si="2"/>
        <v>0.87696731686686391</v>
      </c>
      <c r="J51" s="4">
        <f t="shared" si="3"/>
        <v>0.14416177674993089</v>
      </c>
      <c r="K51" s="4">
        <f t="shared" si="4"/>
        <v>-0.84114987378499273</v>
      </c>
      <c r="L51" s="8"/>
    </row>
    <row r="52" spans="1:12" ht="15.75" x14ac:dyDescent="0.25">
      <c r="A52" s="5">
        <v>49</v>
      </c>
      <c r="B52" s="4">
        <v>2</v>
      </c>
      <c r="C52" s="4">
        <v>8</v>
      </c>
      <c r="D52" s="4">
        <v>1</v>
      </c>
      <c r="E52" s="4">
        <v>0</v>
      </c>
      <c r="F52" s="4">
        <f t="shared" si="0"/>
        <v>3</v>
      </c>
      <c r="G52" s="4">
        <f t="array" ref="G52">SUM(B52:E52)</f>
        <v>11</v>
      </c>
      <c r="H52" s="4">
        <f t="shared" si="1"/>
        <v>0.72727272727272729</v>
      </c>
      <c r="I52" s="4">
        <f t="shared" si="2"/>
        <v>0.89556887308549193</v>
      </c>
      <c r="J52" s="4">
        <f t="shared" si="3"/>
        <v>7.7761702844754838E-2</v>
      </c>
      <c r="K52" s="4">
        <f t="shared" si="4"/>
        <v>-1.1092342376910509</v>
      </c>
      <c r="L52" s="8"/>
    </row>
    <row r="53" spans="1:12" ht="15.75" x14ac:dyDescent="0.25">
      <c r="A53" s="3">
        <v>50</v>
      </c>
      <c r="B53" s="4"/>
      <c r="C53" s="4">
        <v>9</v>
      </c>
      <c r="D53" s="4">
        <v>0</v>
      </c>
      <c r="E53" s="4">
        <v>0</v>
      </c>
      <c r="F53" s="4">
        <f t="shared" si="0"/>
        <v>0</v>
      </c>
      <c r="G53" s="4">
        <f t="array" ref="G53">SUM(B53:E53)</f>
        <v>9</v>
      </c>
      <c r="H53" s="4">
        <f t="shared" si="1"/>
        <v>1</v>
      </c>
      <c r="I53" s="4">
        <f t="shared" si="2"/>
        <v>0.91164138626438107</v>
      </c>
      <c r="J53" s="4">
        <f t="shared" si="3"/>
        <v>0.43492692631879232</v>
      </c>
      <c r="K53" s="4">
        <f t="shared" si="4"/>
        <v>-0.36158370433816872</v>
      </c>
      <c r="L53" s="8"/>
    </row>
    <row r="54" spans="1:12" ht="15.75" x14ac:dyDescent="0.25">
      <c r="A54" s="5">
        <v>51</v>
      </c>
      <c r="B54" s="4"/>
      <c r="C54" s="4">
        <v>7</v>
      </c>
      <c r="D54" s="4">
        <v>0</v>
      </c>
      <c r="E54" s="4">
        <v>1</v>
      </c>
      <c r="F54" s="4">
        <f t="shared" si="0"/>
        <v>1</v>
      </c>
      <c r="G54" s="4">
        <f t="array" ref="G54">SUM(B54:E54)</f>
        <v>8</v>
      </c>
      <c r="H54" s="4">
        <f t="shared" si="1"/>
        <v>0.875</v>
      </c>
      <c r="I54" s="4">
        <f t="shared" si="2"/>
        <v>0.92544617780159089</v>
      </c>
      <c r="J54" s="4">
        <f t="shared" si="3"/>
        <v>0.34675127221171043</v>
      </c>
      <c r="K54" s="4">
        <f t="shared" si="4"/>
        <v>-0.45998193684873068</v>
      </c>
      <c r="L54" s="8"/>
    </row>
    <row r="55" spans="1:12" ht="15.75" x14ac:dyDescent="0.25">
      <c r="A55" s="5">
        <v>52</v>
      </c>
      <c r="B55" s="4"/>
      <c r="C55" s="4">
        <v>3</v>
      </c>
      <c r="D55" s="4">
        <v>1</v>
      </c>
      <c r="E55" s="4"/>
      <c r="F55" s="4">
        <f t="shared" si="0"/>
        <v>1</v>
      </c>
      <c r="G55" s="4">
        <f t="array" ref="G55">SUM(B55:E55)</f>
        <v>4</v>
      </c>
      <c r="H55" s="4">
        <f t="shared" si="1"/>
        <v>0.75</v>
      </c>
      <c r="I55" s="4">
        <f t="shared" si="2"/>
        <v>0.93724263904067595</v>
      </c>
      <c r="J55" s="4">
        <f t="shared" si="3"/>
        <v>0.20667158900074084</v>
      </c>
      <c r="K55" s="4">
        <f t="shared" si="4"/>
        <v>-0.68471922142914021</v>
      </c>
      <c r="L55" s="8"/>
    </row>
    <row r="56" spans="1:12" ht="15.75" x14ac:dyDescent="0.25">
      <c r="A56" s="5">
        <v>53</v>
      </c>
      <c r="B56" s="4"/>
      <c r="C56" s="4">
        <v>4</v>
      </c>
      <c r="D56" s="4">
        <v>0</v>
      </c>
      <c r="E56" s="4"/>
      <c r="F56" s="4">
        <f t="shared" si="0"/>
        <v>0</v>
      </c>
      <c r="G56" s="4">
        <f t="array" ref="G56">SUM(B56:E56)</f>
        <v>4</v>
      </c>
      <c r="H56" s="4">
        <f t="shared" si="1"/>
        <v>1</v>
      </c>
      <c r="I56" s="4">
        <f t="shared" si="2"/>
        <v>0.94727890897828249</v>
      </c>
      <c r="J56" s="4">
        <f t="shared" si="3"/>
        <v>0.80521428631525294</v>
      </c>
      <c r="K56" s="4">
        <f t="shared" si="4"/>
        <v>-9.4088528352632803E-2</v>
      </c>
      <c r="L56" s="8"/>
    </row>
    <row r="57" spans="1:12" ht="15.75" x14ac:dyDescent="0.25">
      <c r="A57" s="5">
        <v>54</v>
      </c>
      <c r="B57" s="4"/>
      <c r="C57" s="4">
        <v>2</v>
      </c>
      <c r="D57" s="4">
        <v>0</v>
      </c>
      <c r="E57" s="4"/>
      <c r="F57" s="4">
        <f t="shared" si="0"/>
        <v>0</v>
      </c>
      <c r="G57" s="4">
        <f t="array" ref="G57">SUM(B57:E57)</f>
        <v>2</v>
      </c>
      <c r="H57" s="4">
        <f t="shared" si="1"/>
        <v>1</v>
      </c>
      <c r="I57" s="4">
        <f t="shared" si="2"/>
        <v>0.95578587682114224</v>
      </c>
      <c r="J57" s="4">
        <f t="shared" si="3"/>
        <v>0.91352664233075964</v>
      </c>
      <c r="K57" s="4">
        <f t="shared" si="4"/>
        <v>-3.9278782248489866E-2</v>
      </c>
      <c r="L57" s="8"/>
    </row>
    <row r="58" spans="1:12" ht="15.75" x14ac:dyDescent="0.25">
      <c r="A58" s="5">
        <v>55</v>
      </c>
      <c r="B58" s="4"/>
      <c r="C58" s="4">
        <v>3</v>
      </c>
      <c r="D58" s="4">
        <v>0</v>
      </c>
      <c r="E58" s="4"/>
      <c r="F58" s="4">
        <f t="shared" si="0"/>
        <v>0</v>
      </c>
      <c r="G58" s="4">
        <f t="array" ref="G58">SUM(B58:E58)</f>
        <v>3</v>
      </c>
      <c r="H58" s="4">
        <f t="shared" si="1"/>
        <v>1</v>
      </c>
      <c r="I58" s="4">
        <f t="shared" si="2"/>
        <v>0.96297383092222488</v>
      </c>
      <c r="J58" s="4">
        <f t="shared" si="3"/>
        <v>0.89298354380396716</v>
      </c>
      <c r="K58" s="4">
        <f t="shared" si="4"/>
        <v>-4.9156544360033527E-2</v>
      </c>
      <c r="L58" s="8"/>
    </row>
    <row r="59" spans="1:12" ht="15.75" x14ac:dyDescent="0.25">
      <c r="A59" s="5">
        <v>56</v>
      </c>
      <c r="B59" s="4"/>
      <c r="C59" s="4">
        <v>4</v>
      </c>
      <c r="D59" s="4">
        <v>0</v>
      </c>
      <c r="E59" s="4"/>
      <c r="F59" s="4">
        <f t="shared" si="0"/>
        <v>0</v>
      </c>
      <c r="G59" s="4">
        <f t="array" ref="G59">SUM(B59:E59)</f>
        <v>4</v>
      </c>
      <c r="H59" s="4">
        <f t="shared" si="1"/>
        <v>1</v>
      </c>
      <c r="I59" s="4">
        <f t="shared" si="2"/>
        <v>0.96903109189069891</v>
      </c>
      <c r="J59" s="4">
        <f t="shared" si="3"/>
        <v>0.88176092119341509</v>
      </c>
      <c r="K59" s="4">
        <f t="shared" si="4"/>
        <v>-5.4649152602164658E-2</v>
      </c>
      <c r="L59" s="8"/>
    </row>
    <row r="60" spans="1:12" ht="15.75" x14ac:dyDescent="0.25">
      <c r="A60" s="5">
        <v>57</v>
      </c>
      <c r="B60" s="4"/>
      <c r="C60" s="4">
        <v>0</v>
      </c>
      <c r="D60" s="4">
        <v>0</v>
      </c>
      <c r="E60" s="4"/>
      <c r="F60" s="4">
        <f t="shared" si="0"/>
        <v>0</v>
      </c>
      <c r="G60" s="4">
        <f t="array" ref="G60">SUM(B60:E60)</f>
        <v>0</v>
      </c>
      <c r="H60" s="4">
        <f t="shared" si="1"/>
        <v>0</v>
      </c>
      <c r="I60" s="4">
        <f t="shared" si="2"/>
        <v>0.97412404821174758</v>
      </c>
      <c r="J60" s="4">
        <f t="shared" si="3"/>
        <v>1</v>
      </c>
      <c r="K60" s="4">
        <f t="shared" si="4"/>
        <v>0</v>
      </c>
      <c r="L60" s="8"/>
    </row>
    <row r="61" spans="1:12" ht="15.75" x14ac:dyDescent="0.25">
      <c r="A61" s="5">
        <v>58</v>
      </c>
      <c r="B61" s="4"/>
      <c r="C61" s="4">
        <v>2</v>
      </c>
      <c r="D61" s="4">
        <v>1</v>
      </c>
      <c r="E61" s="4"/>
      <c r="F61" s="4">
        <f t="shared" si="0"/>
        <v>1</v>
      </c>
      <c r="G61" s="4">
        <f t="array" ref="G61">SUM(B61:E61)</f>
        <v>3</v>
      </c>
      <c r="H61" s="4">
        <f t="shared" si="1"/>
        <v>0.66666666666666663</v>
      </c>
      <c r="I61" s="4">
        <f t="shared" si="2"/>
        <v>0.97839811924506848</v>
      </c>
      <c r="J61" s="4">
        <f t="shared" si="3"/>
        <v>6.2036035737945736E-2</v>
      </c>
      <c r="K61" s="4">
        <f t="shared" si="4"/>
        <v>-1.2073559625048378</v>
      </c>
      <c r="L61" s="8"/>
    </row>
    <row r="62" spans="1:12" ht="15.75" x14ac:dyDescent="0.25">
      <c r="A62" s="5">
        <v>59</v>
      </c>
      <c r="B62" s="4"/>
      <c r="C62" s="4">
        <v>2</v>
      </c>
      <c r="D62" s="4"/>
      <c r="E62" s="4"/>
      <c r="F62" s="4">
        <f t="shared" si="0"/>
        <v>0</v>
      </c>
      <c r="G62" s="4">
        <f t="array" ref="G62">SUM(B62:E62)</f>
        <v>2</v>
      </c>
      <c r="H62" s="4">
        <f t="shared" si="1"/>
        <v>1</v>
      </c>
      <c r="I62" s="4">
        <f t="shared" si="2"/>
        <v>0.98197927888461989</v>
      </c>
      <c r="J62" s="4">
        <f t="shared" si="3"/>
        <v>0.96428330415875807</v>
      </c>
      <c r="K62" s="4">
        <f t="shared" si="4"/>
        <v>-1.5795352656272035E-2</v>
      </c>
      <c r="L62" s="8"/>
    </row>
    <row r="63" spans="1:12" ht="15.75" x14ac:dyDescent="0.25">
      <c r="A63" s="3">
        <v>60</v>
      </c>
      <c r="B63" s="4"/>
      <c r="C63" s="4">
        <v>2</v>
      </c>
      <c r="D63" s="4"/>
      <c r="E63" s="4"/>
      <c r="F63" s="4">
        <f t="shared" si="0"/>
        <v>0</v>
      </c>
      <c r="G63" s="4">
        <f t="array" ref="G63">SUM(B63:E63)</f>
        <v>2</v>
      </c>
      <c r="H63" s="4">
        <f t="shared" si="1"/>
        <v>1</v>
      </c>
      <c r="I63" s="4">
        <f t="shared" si="2"/>
        <v>0.98497587043314405</v>
      </c>
      <c r="J63" s="4">
        <f t="shared" si="3"/>
        <v>0.97017746533552973</v>
      </c>
      <c r="K63" s="4">
        <f t="shared" si="4"/>
        <v>-1.3148817108522007E-2</v>
      </c>
      <c r="L63" s="8"/>
    </row>
    <row r="64" spans="1:12" ht="15.75" x14ac:dyDescent="0.25">
      <c r="A64" s="5">
        <v>61</v>
      </c>
      <c r="B64" s="4"/>
      <c r="C64" s="4">
        <v>2</v>
      </c>
      <c r="D64" s="4"/>
      <c r="E64" s="4"/>
      <c r="F64" s="4">
        <f t="shared" si="0"/>
        <v>0</v>
      </c>
      <c r="G64" s="4">
        <f t="array" ref="G64">SUM(B64:E64)</f>
        <v>2</v>
      </c>
      <c r="H64" s="4">
        <f t="shared" si="1"/>
        <v>1</v>
      </c>
      <c r="I64" s="4">
        <f t="shared" si="2"/>
        <v>0.98748052392893337</v>
      </c>
      <c r="J64" s="4">
        <f t="shared" si="3"/>
        <v>0.97511778513896075</v>
      </c>
      <c r="K64" s="4">
        <f t="shared" si="4"/>
        <v>-1.09429224077736E-2</v>
      </c>
      <c r="L64" s="8"/>
    </row>
    <row r="65" spans="1:12" ht="15.75" x14ac:dyDescent="0.25">
      <c r="A65" s="5">
        <v>62</v>
      </c>
      <c r="B65" s="4"/>
      <c r="C65" s="4">
        <v>1</v>
      </c>
      <c r="D65" s="4"/>
      <c r="E65" s="4"/>
      <c r="F65" s="4">
        <f t="shared" si="0"/>
        <v>0</v>
      </c>
      <c r="G65" s="4">
        <f t="array" ref="G65">SUM(B65:E65)</f>
        <v>1</v>
      </c>
      <c r="H65" s="4">
        <f t="shared" si="1"/>
        <v>1</v>
      </c>
      <c r="I65" s="4">
        <f t="shared" si="2"/>
        <v>0.98957205041258522</v>
      </c>
      <c r="J65" s="4">
        <f t="shared" si="3"/>
        <v>0.98957205041258522</v>
      </c>
      <c r="K65" s="4">
        <f t="shared" si="4"/>
        <v>-4.5525794692779179E-3</v>
      </c>
      <c r="L65" s="8"/>
    </row>
    <row r="66" spans="1:12" ht="15.75" x14ac:dyDescent="0.25">
      <c r="A66" s="5">
        <v>63</v>
      </c>
      <c r="B66" s="4"/>
      <c r="C66" s="4">
        <v>2</v>
      </c>
      <c r="D66" s="4"/>
      <c r="E66" s="4"/>
      <c r="F66" s="4">
        <f t="shared" si="0"/>
        <v>0</v>
      </c>
      <c r="G66" s="4">
        <f t="array" ref="G66">SUM(B66:E66)</f>
        <v>2</v>
      </c>
      <c r="H66" s="4">
        <f t="shared" si="1"/>
        <v>1</v>
      </c>
      <c r="I66" s="4">
        <f t="shared" si="2"/>
        <v>0.9913172350167534</v>
      </c>
      <c r="J66" s="4">
        <f t="shared" si="3"/>
        <v>0.98270986044126107</v>
      </c>
      <c r="K66" s="4">
        <f t="shared" si="4"/>
        <v>-7.5746862459869996E-3</v>
      </c>
      <c r="L66" s="8"/>
    </row>
  </sheetData>
  <mergeCells count="7">
    <mergeCell ref="F7:G7"/>
    <mergeCell ref="F8:G8"/>
    <mergeCell ref="F9:G9"/>
    <mergeCell ref="A1:W2"/>
    <mergeCell ref="F4:G4"/>
    <mergeCell ref="F5:G5"/>
    <mergeCell ref="F6:G6"/>
  </mergeCells>
  <pageMargins left="0.7" right="0.7" top="0.75" bottom="0.75" header="0.3" footer="0.3"/>
  <ignoredErrors>
    <ignoredError sqref="G13:G66" formulaRange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69"/>
  <sheetViews>
    <sheetView workbookViewId="0">
      <selection sqref="A1:O2"/>
    </sheetView>
  </sheetViews>
  <sheetFormatPr baseColWidth="10" defaultRowHeight="15" x14ac:dyDescent="0.25"/>
  <cols>
    <col min="5" max="5" width="13.140625" customWidth="1"/>
    <col min="8" max="8" width="12.85546875" customWidth="1"/>
  </cols>
  <sheetData>
    <row r="1" spans="1:15" x14ac:dyDescent="0.25">
      <c r="A1" s="84" t="s">
        <v>54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</row>
    <row r="2" spans="1:15" x14ac:dyDescent="0.25">
      <c r="A2" s="84"/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</row>
    <row r="4" spans="1:15" x14ac:dyDescent="0.25">
      <c r="D4" s="2" t="s">
        <v>5</v>
      </c>
      <c r="E4" s="2" t="s">
        <v>21</v>
      </c>
    </row>
    <row r="5" spans="1:15" x14ac:dyDescent="0.25">
      <c r="D5" s="2" t="s">
        <v>39</v>
      </c>
      <c r="E5" s="42">
        <v>-0.30421863253516129</v>
      </c>
    </row>
    <row r="6" spans="1:15" x14ac:dyDescent="0.25">
      <c r="D6" s="2" t="s">
        <v>6</v>
      </c>
      <c r="E6" s="42">
        <v>29.867034320623361</v>
      </c>
    </row>
    <row r="7" spans="1:15" x14ac:dyDescent="0.25">
      <c r="D7" s="2" t="s">
        <v>8</v>
      </c>
      <c r="E7" s="42">
        <f>-LN(1/0.25-1)/E5+E6</f>
        <v>33.478293366504232</v>
      </c>
    </row>
    <row r="8" spans="1:15" x14ac:dyDescent="0.25">
      <c r="D8" s="2" t="s">
        <v>7</v>
      </c>
      <c r="E8" s="42">
        <f>-LN(1/0.75-1)/E5+E6</f>
        <v>26.25577527474249</v>
      </c>
      <c r="H8" s="2" t="s">
        <v>27</v>
      </c>
    </row>
    <row r="9" spans="1:15" x14ac:dyDescent="0.25">
      <c r="D9" s="2" t="s">
        <v>9</v>
      </c>
      <c r="E9" s="42">
        <f>E7-E8</f>
        <v>7.2225180917617422</v>
      </c>
      <c r="H9" s="42">
        <f>SUM(H16:H69)</f>
        <v>-21.598271847749569</v>
      </c>
    </row>
    <row r="13" spans="1:15" ht="15.75" thickBot="1" x14ac:dyDescent="0.3">
      <c r="D13" s="88" t="s">
        <v>59</v>
      </c>
      <c r="E13" s="85" t="s">
        <v>60</v>
      </c>
      <c r="F13" s="91" t="s">
        <v>4</v>
      </c>
      <c r="G13" s="91" t="s">
        <v>61</v>
      </c>
      <c r="H13" s="91" t="s">
        <v>62</v>
      </c>
    </row>
    <row r="14" spans="1:15" ht="15" customHeight="1" x14ac:dyDescent="0.25">
      <c r="A14" s="32" t="s">
        <v>63</v>
      </c>
      <c r="B14" s="33" t="s">
        <v>58</v>
      </c>
      <c r="C14" s="38" t="s">
        <v>55</v>
      </c>
      <c r="D14" s="89"/>
      <c r="E14" s="86"/>
      <c r="F14" s="92"/>
      <c r="G14" s="92"/>
      <c r="H14" s="92"/>
    </row>
    <row r="15" spans="1:15" ht="15.75" thickBot="1" x14ac:dyDescent="0.3">
      <c r="A15" s="34" t="s">
        <v>56</v>
      </c>
      <c r="B15" s="43"/>
      <c r="C15" s="39" t="s">
        <v>57</v>
      </c>
      <c r="D15" s="90"/>
      <c r="E15" s="87"/>
      <c r="F15" s="93"/>
      <c r="G15" s="93"/>
      <c r="H15" s="93"/>
    </row>
    <row r="16" spans="1:15" ht="15.75" thickBot="1" x14ac:dyDescent="0.3">
      <c r="A16" s="34">
        <v>15</v>
      </c>
      <c r="B16" s="35">
        <v>1</v>
      </c>
      <c r="C16" s="40">
        <v>0</v>
      </c>
      <c r="D16" s="15">
        <f>C16+B16</f>
        <v>1</v>
      </c>
      <c r="E16" s="2">
        <f>IFERROR(B16/D16,0)</f>
        <v>1</v>
      </c>
      <c r="F16" s="2">
        <f>1/(1+EXP(-$E$5*(A16-$E$6)))</f>
        <v>0.98925837166131603</v>
      </c>
      <c r="G16" s="2">
        <f>IF(ISERROR(COMBIN(D16,B16)*(F16^B16)*((1-F16)^C16)),"0",COMBIN(D16,B16) *(F16^B16)*((1-F16)^C16))</f>
        <v>0.98925837166131603</v>
      </c>
      <c r="H16" s="2">
        <f>IF(ISERROR(LOG(G16)),"0",LOG(G16))</f>
        <v>-4.6902658019600096E-3</v>
      </c>
    </row>
    <row r="17" spans="1:8" ht="15.75" thickBot="1" x14ac:dyDescent="0.3">
      <c r="A17" s="34">
        <v>16</v>
      </c>
      <c r="B17" s="35">
        <v>0</v>
      </c>
      <c r="C17" s="40">
        <v>0</v>
      </c>
      <c r="D17" s="15">
        <f t="shared" ref="D17:D69" si="0">C17+B17</f>
        <v>0</v>
      </c>
      <c r="E17" s="2">
        <f t="shared" ref="E17:E69" si="1">IFERROR(B17/D17,0)</f>
        <v>0</v>
      </c>
      <c r="F17" s="2">
        <f t="shared" ref="F17:F69" si="2">1/(1+EXP(-$E$5*(A17-$E$6)))</f>
        <v>0.98549442224216122</v>
      </c>
      <c r="G17" s="2">
        <f t="shared" ref="G17:G69" si="3">IF(ISERROR(COMBIN(D17,B17)*(F17^B17)*((1-F17)^C17)),"0",COMBIN(D17,B17) *(F17^B17)*((1-F17)^C17))</f>
        <v>1</v>
      </c>
      <c r="H17" s="2">
        <f t="shared" ref="H17:H69" si="4">IF(ISERROR(LOG(G17)),"0",LOG(G17))</f>
        <v>0</v>
      </c>
    </row>
    <row r="18" spans="1:8" ht="15.75" thickBot="1" x14ac:dyDescent="0.3">
      <c r="A18" s="34">
        <v>17</v>
      </c>
      <c r="B18" s="35">
        <v>1</v>
      </c>
      <c r="C18" s="40">
        <v>0</v>
      </c>
      <c r="D18" s="15">
        <f t="shared" si="0"/>
        <v>1</v>
      </c>
      <c r="E18" s="2">
        <f t="shared" si="1"/>
        <v>1</v>
      </c>
      <c r="F18" s="2">
        <f t="shared" si="2"/>
        <v>0.9804376372020388</v>
      </c>
      <c r="G18" s="2">
        <f t="shared" si="3"/>
        <v>0.9804376372020388</v>
      </c>
      <c r="H18" s="2">
        <f t="shared" si="4"/>
        <v>-8.5800253316117049E-3</v>
      </c>
    </row>
    <row r="19" spans="1:8" ht="15.75" thickBot="1" x14ac:dyDescent="0.3">
      <c r="A19" s="34">
        <v>18</v>
      </c>
      <c r="B19" s="35">
        <v>0</v>
      </c>
      <c r="C19" s="40">
        <v>0</v>
      </c>
      <c r="D19" s="15">
        <f t="shared" si="0"/>
        <v>0</v>
      </c>
      <c r="E19" s="2">
        <f t="shared" si="1"/>
        <v>0</v>
      </c>
      <c r="F19" s="2">
        <f t="shared" si="2"/>
        <v>0.97366511549476065</v>
      </c>
      <c r="G19" s="2">
        <f t="shared" si="3"/>
        <v>1</v>
      </c>
      <c r="H19" s="2">
        <f t="shared" si="4"/>
        <v>0</v>
      </c>
    </row>
    <row r="20" spans="1:8" ht="15.75" thickBot="1" x14ac:dyDescent="0.3">
      <c r="A20" s="34">
        <v>19</v>
      </c>
      <c r="B20" s="35">
        <v>2</v>
      </c>
      <c r="C20" s="40">
        <v>1</v>
      </c>
      <c r="D20" s="15">
        <f t="shared" si="0"/>
        <v>3</v>
      </c>
      <c r="E20" s="2">
        <f t="shared" si="1"/>
        <v>0.66666666666666663</v>
      </c>
      <c r="F20" s="2">
        <f t="shared" si="2"/>
        <v>0.96463251502134884</v>
      </c>
      <c r="G20" s="2">
        <f t="shared" si="3"/>
        <v>9.8730020183674702E-2</v>
      </c>
      <c r="H20" s="2">
        <f t="shared" si="4"/>
        <v>-1.005550774201829</v>
      </c>
    </row>
    <row r="21" spans="1:8" ht="15.75" thickBot="1" x14ac:dyDescent="0.3">
      <c r="A21" s="34">
        <v>20</v>
      </c>
      <c r="B21" s="35">
        <v>1</v>
      </c>
      <c r="C21" s="40">
        <v>0</v>
      </c>
      <c r="D21" s="15">
        <f t="shared" si="0"/>
        <v>1</v>
      </c>
      <c r="E21" s="2">
        <f t="shared" si="1"/>
        <v>1</v>
      </c>
      <c r="F21" s="2">
        <f t="shared" si="2"/>
        <v>0.9526524778509694</v>
      </c>
      <c r="G21" s="2">
        <f t="shared" si="3"/>
        <v>0.9526524778509694</v>
      </c>
      <c r="H21" s="2">
        <f t="shared" si="4"/>
        <v>-2.1065498602973302E-2</v>
      </c>
    </row>
    <row r="22" spans="1:8" ht="15.75" thickBot="1" x14ac:dyDescent="0.3">
      <c r="A22" s="34">
        <v>21</v>
      </c>
      <c r="B22" s="35">
        <v>2</v>
      </c>
      <c r="C22" s="40">
        <v>2</v>
      </c>
      <c r="D22" s="15">
        <f t="shared" si="0"/>
        <v>4</v>
      </c>
      <c r="E22" s="2">
        <f t="shared" si="1"/>
        <v>0.5</v>
      </c>
      <c r="F22" s="2">
        <f t="shared" si="2"/>
        <v>0.93687997199715822</v>
      </c>
      <c r="G22" s="2">
        <f t="shared" si="3"/>
        <v>2.098232096463877E-2</v>
      </c>
      <c r="H22" s="2">
        <f t="shared" si="4"/>
        <v>-1.6781464738934544</v>
      </c>
    </row>
    <row r="23" spans="1:8" ht="15.75" thickBot="1" x14ac:dyDescent="0.3">
      <c r="A23" s="34">
        <v>22</v>
      </c>
      <c r="B23" s="35">
        <v>1</v>
      </c>
      <c r="C23" s="40">
        <v>0</v>
      </c>
      <c r="D23" s="15">
        <f t="shared" si="0"/>
        <v>1</v>
      </c>
      <c r="E23" s="2">
        <f t="shared" si="1"/>
        <v>1</v>
      </c>
      <c r="F23" s="2">
        <f t="shared" si="2"/>
        <v>0.91631484518473405</v>
      </c>
      <c r="G23" s="2">
        <f t="shared" si="3"/>
        <v>0.91631484518473405</v>
      </c>
      <c r="H23" s="2">
        <f t="shared" si="4"/>
        <v>-3.7955277388291672E-2</v>
      </c>
    </row>
    <row r="24" spans="1:8" ht="15.75" thickBot="1" x14ac:dyDescent="0.3">
      <c r="A24" s="34">
        <v>23</v>
      </c>
      <c r="B24" s="35">
        <v>1</v>
      </c>
      <c r="C24" s="40">
        <v>0</v>
      </c>
      <c r="D24" s="15">
        <f t="shared" si="0"/>
        <v>1</v>
      </c>
      <c r="E24" s="2">
        <f t="shared" si="1"/>
        <v>1</v>
      </c>
      <c r="F24" s="2">
        <f t="shared" si="2"/>
        <v>0.88983725270106095</v>
      </c>
      <c r="G24" s="2">
        <f t="shared" si="3"/>
        <v>0.88983725270106095</v>
      </c>
      <c r="H24" s="2">
        <f t="shared" si="4"/>
        <v>-5.0689416632652189E-2</v>
      </c>
    </row>
    <row r="25" spans="1:8" ht="15.75" thickBot="1" x14ac:dyDescent="0.3">
      <c r="A25" s="34">
        <v>24</v>
      </c>
      <c r="B25" s="35">
        <v>0</v>
      </c>
      <c r="C25" s="40">
        <v>2</v>
      </c>
      <c r="D25" s="15">
        <f t="shared" si="0"/>
        <v>2</v>
      </c>
      <c r="E25" s="2">
        <f t="shared" si="1"/>
        <v>0</v>
      </c>
      <c r="F25" s="2">
        <f t="shared" si="2"/>
        <v>0.85629608315466277</v>
      </c>
      <c r="G25" s="2">
        <f t="shared" si="3"/>
        <v>2.0650815716691598E-2</v>
      </c>
      <c r="H25" s="2">
        <f t="shared" si="4"/>
        <v>-1.68506278883755</v>
      </c>
    </row>
    <row r="26" spans="1:8" ht="15.75" thickBot="1" x14ac:dyDescent="0.3">
      <c r="A26" s="34">
        <v>25</v>
      </c>
      <c r="B26" s="35">
        <v>3</v>
      </c>
      <c r="C26" s="40">
        <v>1</v>
      </c>
      <c r="D26" s="15">
        <f t="shared" si="0"/>
        <v>4</v>
      </c>
      <c r="E26" s="2">
        <f t="shared" si="1"/>
        <v>0.75</v>
      </c>
      <c r="F26" s="2">
        <f t="shared" si="2"/>
        <v>0.814669610775549</v>
      </c>
      <c r="G26" s="2">
        <f t="shared" si="3"/>
        <v>0.40082165615970511</v>
      </c>
      <c r="H26" s="2">
        <f t="shared" si="4"/>
        <v>-0.39704882182998941</v>
      </c>
    </row>
    <row r="27" spans="1:8" ht="15.75" thickBot="1" x14ac:dyDescent="0.3">
      <c r="A27" s="34">
        <v>26</v>
      </c>
      <c r="B27" s="35">
        <v>3</v>
      </c>
      <c r="C27" s="40">
        <v>0</v>
      </c>
      <c r="D27" s="15">
        <f t="shared" si="0"/>
        <v>3</v>
      </c>
      <c r="E27" s="2">
        <f t="shared" si="1"/>
        <v>1</v>
      </c>
      <c r="F27" s="2">
        <f t="shared" si="2"/>
        <v>0.76430420108986596</v>
      </c>
      <c r="G27" s="2">
        <f t="shared" si="3"/>
        <v>0.44647663900399215</v>
      </c>
      <c r="H27" s="2">
        <f t="shared" si="4"/>
        <v>-0.35020125977000627</v>
      </c>
    </row>
    <row r="28" spans="1:8" ht="15.75" thickBot="1" x14ac:dyDescent="0.3">
      <c r="A28" s="34">
        <v>27</v>
      </c>
      <c r="B28" s="35">
        <v>5</v>
      </c>
      <c r="C28" s="40">
        <v>1</v>
      </c>
      <c r="D28" s="15">
        <f t="shared" si="0"/>
        <v>6</v>
      </c>
      <c r="E28" s="2">
        <f t="shared" si="1"/>
        <v>0.83333333333333337</v>
      </c>
      <c r="F28" s="2">
        <f t="shared" si="2"/>
        <v>0.70520435954710459</v>
      </c>
      <c r="G28" s="2">
        <f t="shared" si="3"/>
        <v>0.30849437472474178</v>
      </c>
      <c r="H28" s="2">
        <f t="shared" si="4"/>
        <v>-0.51075275074995352</v>
      </c>
    </row>
    <row r="29" spans="1:8" ht="15.75" thickBot="1" x14ac:dyDescent="0.3">
      <c r="A29" s="34">
        <v>28</v>
      </c>
      <c r="B29" s="35">
        <v>2</v>
      </c>
      <c r="C29" s="40">
        <v>1</v>
      </c>
      <c r="D29" s="15">
        <f t="shared" si="0"/>
        <v>3</v>
      </c>
      <c r="E29" s="2">
        <f t="shared" si="1"/>
        <v>0.66666666666666663</v>
      </c>
      <c r="F29" s="2">
        <f t="shared" si="2"/>
        <v>0.63829847037473364</v>
      </c>
      <c r="G29" s="2">
        <f t="shared" si="3"/>
        <v>0.44209866906791923</v>
      </c>
      <c r="H29" s="2">
        <f t="shared" si="4"/>
        <v>-0.35448079252983855</v>
      </c>
    </row>
    <row r="30" spans="1:8" ht="15.75" thickBot="1" x14ac:dyDescent="0.3">
      <c r="A30" s="34">
        <v>29</v>
      </c>
      <c r="B30" s="35">
        <v>5</v>
      </c>
      <c r="C30" s="40">
        <v>2</v>
      </c>
      <c r="D30" s="15">
        <f t="shared" si="0"/>
        <v>7</v>
      </c>
      <c r="E30" s="2">
        <f t="shared" si="1"/>
        <v>0.7142857142857143</v>
      </c>
      <c r="F30" s="2">
        <f t="shared" si="2"/>
        <v>0.56556232189841193</v>
      </c>
      <c r="G30" s="2">
        <f t="shared" si="3"/>
        <v>0.22933830928048116</v>
      </c>
      <c r="H30" s="2">
        <f t="shared" si="4"/>
        <v>-0.63952339350619547</v>
      </c>
    </row>
    <row r="31" spans="1:8" ht="15.75" thickBot="1" x14ac:dyDescent="0.3">
      <c r="A31" s="34">
        <v>30</v>
      </c>
      <c r="B31" s="35">
        <v>1</v>
      </c>
      <c r="C31" s="40">
        <v>9</v>
      </c>
      <c r="D31" s="15">
        <f t="shared" si="0"/>
        <v>10</v>
      </c>
      <c r="E31" s="2">
        <f t="shared" si="1"/>
        <v>0.1</v>
      </c>
      <c r="F31" s="2">
        <f t="shared" si="2"/>
        <v>0.48988871939253553</v>
      </c>
      <c r="G31" s="2">
        <f t="shared" si="3"/>
        <v>1.1457286886330218E-2</v>
      </c>
      <c r="H31" s="2">
        <f t="shared" si="4"/>
        <v>-1.9409182121937221</v>
      </c>
    </row>
    <row r="32" spans="1:8" ht="15.75" thickBot="1" x14ac:dyDescent="0.3">
      <c r="A32" s="34">
        <v>31</v>
      </c>
      <c r="B32" s="35">
        <v>6</v>
      </c>
      <c r="C32" s="40">
        <v>4</v>
      </c>
      <c r="D32" s="15">
        <f t="shared" si="0"/>
        <v>10</v>
      </c>
      <c r="E32" s="2">
        <f t="shared" si="1"/>
        <v>0.6</v>
      </c>
      <c r="F32" s="2">
        <f t="shared" si="2"/>
        <v>0.41467570338767873</v>
      </c>
      <c r="G32" s="2">
        <f t="shared" si="3"/>
        <v>0.12533057793592425</v>
      </c>
      <c r="H32" s="2">
        <f t="shared" si="4"/>
        <v>-0.90194295766735533</v>
      </c>
    </row>
    <row r="33" spans="1:8" ht="15.75" thickBot="1" x14ac:dyDescent="0.3">
      <c r="A33" s="34">
        <v>32</v>
      </c>
      <c r="B33" s="35">
        <v>17</v>
      </c>
      <c r="C33" s="40">
        <v>7</v>
      </c>
      <c r="D33" s="15">
        <f t="shared" si="0"/>
        <v>24</v>
      </c>
      <c r="E33" s="2">
        <f t="shared" si="1"/>
        <v>0.70833333333333337</v>
      </c>
      <c r="F33" s="2">
        <f t="shared" si="2"/>
        <v>0.34324018975949389</v>
      </c>
      <c r="G33" s="2">
        <f t="shared" si="3"/>
        <v>2.3239183611142665E-4</v>
      </c>
      <c r="H33" s="2">
        <f t="shared" si="4"/>
        <v>-3.6337791327104267</v>
      </c>
    </row>
    <row r="34" spans="1:8" ht="15.75" thickBot="1" x14ac:dyDescent="0.3">
      <c r="A34" s="34">
        <v>33</v>
      </c>
      <c r="B34" s="35">
        <v>5</v>
      </c>
      <c r="C34" s="40">
        <v>9</v>
      </c>
      <c r="D34" s="15">
        <f t="shared" si="0"/>
        <v>14</v>
      </c>
      <c r="E34" s="2">
        <f t="shared" si="1"/>
        <v>0.35714285714285715</v>
      </c>
      <c r="F34" s="2">
        <f t="shared" si="2"/>
        <v>0.27826050209091024</v>
      </c>
      <c r="G34" s="2">
        <f t="shared" si="3"/>
        <v>0.1774786651300134</v>
      </c>
      <c r="H34" s="2">
        <f t="shared" si="4"/>
        <v>-0.75085384640155772</v>
      </c>
    </row>
    <row r="35" spans="1:8" ht="15.75" thickBot="1" x14ac:dyDescent="0.3">
      <c r="A35" s="34">
        <v>34</v>
      </c>
      <c r="B35" s="35">
        <v>5</v>
      </c>
      <c r="C35" s="40">
        <v>15</v>
      </c>
      <c r="D35" s="15">
        <f t="shared" si="0"/>
        <v>20</v>
      </c>
      <c r="E35" s="2">
        <f t="shared" si="1"/>
        <v>0.25</v>
      </c>
      <c r="F35" s="2">
        <f t="shared" si="2"/>
        <v>0.2214346934181167</v>
      </c>
      <c r="G35" s="2">
        <f t="shared" si="3"/>
        <v>0.19324034138091539</v>
      </c>
      <c r="H35" s="2">
        <f t="shared" si="4"/>
        <v>-0.71390220395452619</v>
      </c>
    </row>
    <row r="36" spans="1:8" ht="15.75" thickBot="1" x14ac:dyDescent="0.3">
      <c r="A36" s="34">
        <v>35</v>
      </c>
      <c r="B36" s="35">
        <v>5</v>
      </c>
      <c r="C36" s="40">
        <v>28</v>
      </c>
      <c r="D36" s="15">
        <f t="shared" si="0"/>
        <v>33</v>
      </c>
      <c r="E36" s="2">
        <f t="shared" si="1"/>
        <v>0.15151515151515152</v>
      </c>
      <c r="F36" s="2">
        <f t="shared" si="2"/>
        <v>0.17342523339263083</v>
      </c>
      <c r="G36" s="2">
        <f t="shared" si="3"/>
        <v>0.17981464713935505</v>
      </c>
      <c r="H36" s="2">
        <f t="shared" si="4"/>
        <v>-0.74517493489027642</v>
      </c>
    </row>
    <row r="37" spans="1:8" ht="15.75" thickBot="1" x14ac:dyDescent="0.3">
      <c r="A37" s="34">
        <v>36</v>
      </c>
      <c r="B37" s="35">
        <v>2</v>
      </c>
      <c r="C37" s="40">
        <v>29</v>
      </c>
      <c r="D37" s="15">
        <f t="shared" si="0"/>
        <v>31</v>
      </c>
      <c r="E37" s="2">
        <f t="shared" si="1"/>
        <v>6.4516129032258063E-2</v>
      </c>
      <c r="F37" s="2">
        <f t="shared" si="2"/>
        <v>0.13403280627624994</v>
      </c>
      <c r="G37" s="2">
        <f t="shared" si="3"/>
        <v>0.12865211209498748</v>
      </c>
      <c r="H37" s="2">
        <f t="shared" si="4"/>
        <v>-0.89058307953782578</v>
      </c>
    </row>
    <row r="38" spans="1:8" ht="15.75" thickBot="1" x14ac:dyDescent="0.3">
      <c r="A38" s="34">
        <v>37</v>
      </c>
      <c r="B38" s="35">
        <v>4</v>
      </c>
      <c r="C38" s="40">
        <v>43</v>
      </c>
      <c r="D38" s="15">
        <f t="shared" si="0"/>
        <v>47</v>
      </c>
      <c r="E38" s="2">
        <f t="shared" si="1"/>
        <v>8.5106382978723402E-2</v>
      </c>
      <c r="F38" s="2">
        <f t="shared" si="2"/>
        <v>0.10247877502230889</v>
      </c>
      <c r="G38" s="2">
        <f t="shared" si="3"/>
        <v>0.18826458598346982</v>
      </c>
      <c r="H38" s="2">
        <f t="shared" si="4"/>
        <v>-0.72523136643277264</v>
      </c>
    </row>
    <row r="39" spans="1:8" ht="15.75" thickBot="1" x14ac:dyDescent="0.3">
      <c r="A39" s="34">
        <v>38</v>
      </c>
      <c r="B39" s="35">
        <v>2</v>
      </c>
      <c r="C39" s="40">
        <v>35</v>
      </c>
      <c r="D39" s="15">
        <f t="shared" si="0"/>
        <v>37</v>
      </c>
      <c r="E39" s="2">
        <f t="shared" si="1"/>
        <v>5.4054054054054057E-2</v>
      </c>
      <c r="F39" s="2">
        <f t="shared" si="2"/>
        <v>7.7686786098029204E-2</v>
      </c>
      <c r="G39" s="2">
        <f t="shared" si="3"/>
        <v>0.23709020744908824</v>
      </c>
      <c r="H39" s="2">
        <f t="shared" si="4"/>
        <v>-0.62508638334214672</v>
      </c>
    </row>
    <row r="40" spans="1:8" ht="15.75" thickBot="1" x14ac:dyDescent="0.3">
      <c r="A40" s="34">
        <v>39</v>
      </c>
      <c r="B40" s="35">
        <v>2</v>
      </c>
      <c r="C40" s="40">
        <v>46</v>
      </c>
      <c r="D40" s="15">
        <f t="shared" si="0"/>
        <v>48</v>
      </c>
      <c r="E40" s="2">
        <f t="shared" si="1"/>
        <v>4.1666666666666664E-2</v>
      </c>
      <c r="F40" s="2">
        <f t="shared" si="2"/>
        <v>5.850161180997996E-2</v>
      </c>
      <c r="G40" s="2">
        <f t="shared" si="3"/>
        <v>0.2411823278359834</v>
      </c>
      <c r="H40" s="2">
        <f t="shared" si="4"/>
        <v>-0.61765451744602951</v>
      </c>
    </row>
    <row r="41" spans="1:8" ht="15.75" thickBot="1" x14ac:dyDescent="0.3">
      <c r="A41" s="34">
        <v>40</v>
      </c>
      <c r="B41" s="35">
        <v>4</v>
      </c>
      <c r="C41" s="40">
        <v>75</v>
      </c>
      <c r="D41" s="15">
        <f t="shared" si="0"/>
        <v>79</v>
      </c>
      <c r="E41" s="2">
        <f t="shared" si="1"/>
        <v>5.0632911392405063E-2</v>
      </c>
      <c r="F41" s="2">
        <f t="shared" si="2"/>
        <v>4.3829172078670771E-2</v>
      </c>
      <c r="G41" s="2">
        <f t="shared" si="3"/>
        <v>0.19232226019398649</v>
      </c>
      <c r="H41" s="2">
        <f t="shared" si="4"/>
        <v>-0.71597044576716073</v>
      </c>
    </row>
    <row r="42" spans="1:8" ht="15.75" thickBot="1" x14ac:dyDescent="0.3">
      <c r="A42" s="34">
        <v>41</v>
      </c>
      <c r="B42" s="35">
        <v>0</v>
      </c>
      <c r="C42" s="40">
        <v>51</v>
      </c>
      <c r="D42" s="15">
        <f t="shared" si="0"/>
        <v>51</v>
      </c>
      <c r="E42" s="2">
        <f t="shared" si="1"/>
        <v>0</v>
      </c>
      <c r="F42" s="2">
        <f t="shared" si="2"/>
        <v>3.2708794867210234E-2</v>
      </c>
      <c r="G42" s="2">
        <f t="shared" si="3"/>
        <v>0.18340838749880348</v>
      </c>
      <c r="H42" s="2">
        <f t="shared" si="4"/>
        <v>-0.736580807372897</v>
      </c>
    </row>
    <row r="43" spans="1:8" ht="15.75" thickBot="1" x14ac:dyDescent="0.3">
      <c r="A43" s="34">
        <v>42</v>
      </c>
      <c r="B43" s="35">
        <v>2</v>
      </c>
      <c r="C43" s="40">
        <v>57</v>
      </c>
      <c r="D43" s="15">
        <f t="shared" si="0"/>
        <v>59</v>
      </c>
      <c r="E43" s="2">
        <f t="shared" si="1"/>
        <v>3.3898305084745763E-2</v>
      </c>
      <c r="F43" s="2">
        <f t="shared" si="2"/>
        <v>2.433807295787831E-2</v>
      </c>
      <c r="G43" s="2">
        <f t="shared" si="3"/>
        <v>0.24882028985586316</v>
      </c>
      <c r="H43" s="2">
        <f t="shared" si="4"/>
        <v>-0.60411420833348706</v>
      </c>
    </row>
    <row r="44" spans="1:8" ht="15.75" thickBot="1" x14ac:dyDescent="0.3">
      <c r="A44" s="34">
        <v>43</v>
      </c>
      <c r="B44" s="35">
        <v>0</v>
      </c>
      <c r="C44" s="40">
        <v>36</v>
      </c>
      <c r="D44" s="15">
        <f t="shared" si="0"/>
        <v>36</v>
      </c>
      <c r="E44" s="2">
        <f t="shared" si="1"/>
        <v>0</v>
      </c>
      <c r="F44" s="2">
        <f t="shared" si="2"/>
        <v>1.8069539704571223E-2</v>
      </c>
      <c r="G44" s="2">
        <f t="shared" si="3"/>
        <v>0.51868819851021231</v>
      </c>
      <c r="H44" s="2">
        <f t="shared" si="4"/>
        <v>-0.28509363320980757</v>
      </c>
    </row>
    <row r="45" spans="1:8" ht="15.75" thickBot="1" x14ac:dyDescent="0.3">
      <c r="A45" s="34">
        <v>44</v>
      </c>
      <c r="B45" s="35">
        <v>1</v>
      </c>
      <c r="C45" s="40">
        <v>22</v>
      </c>
      <c r="D45" s="15">
        <f t="shared" si="0"/>
        <v>23</v>
      </c>
      <c r="E45" s="2">
        <f t="shared" si="1"/>
        <v>4.3478260869565216E-2</v>
      </c>
      <c r="F45" s="2">
        <f t="shared" si="2"/>
        <v>1.3393371424256692E-2</v>
      </c>
      <c r="G45" s="2">
        <f t="shared" si="3"/>
        <v>0.22897411345070057</v>
      </c>
      <c r="H45" s="2">
        <f t="shared" si="4"/>
        <v>-0.64021361382165498</v>
      </c>
    </row>
    <row r="46" spans="1:8" ht="15.75" thickBot="1" x14ac:dyDescent="0.3">
      <c r="A46" s="34">
        <v>45</v>
      </c>
      <c r="B46" s="35">
        <v>0</v>
      </c>
      <c r="C46" s="40">
        <v>44</v>
      </c>
      <c r="D46" s="15">
        <f t="shared" si="0"/>
        <v>44</v>
      </c>
      <c r="E46" s="2">
        <f t="shared" si="1"/>
        <v>0</v>
      </c>
      <c r="F46" s="2">
        <f t="shared" si="2"/>
        <v>9.9151169260890681E-3</v>
      </c>
      <c r="G46" s="2">
        <f t="shared" si="3"/>
        <v>0.64504038082644355</v>
      </c>
      <c r="H46" s="2">
        <f t="shared" si="4"/>
        <v>-0.19041309680479954</v>
      </c>
    </row>
    <row r="47" spans="1:8" ht="15.75" thickBot="1" x14ac:dyDescent="0.3">
      <c r="A47" s="34">
        <v>46</v>
      </c>
      <c r="B47" s="35">
        <v>0</v>
      </c>
      <c r="C47" s="40">
        <v>16</v>
      </c>
      <c r="D47" s="15">
        <f t="shared" si="0"/>
        <v>16</v>
      </c>
      <c r="E47" s="2">
        <f t="shared" si="1"/>
        <v>0</v>
      </c>
      <c r="F47" s="2">
        <f t="shared" si="2"/>
        <v>7.3334498229298611E-3</v>
      </c>
      <c r="G47" s="2">
        <f t="shared" si="3"/>
        <v>0.8889026557092421</v>
      </c>
      <c r="H47" s="2">
        <f t="shared" si="4"/>
        <v>-5.1145796288590582E-2</v>
      </c>
    </row>
    <row r="48" spans="1:8" ht="15.75" thickBot="1" x14ac:dyDescent="0.3">
      <c r="A48" s="34">
        <v>47</v>
      </c>
      <c r="B48" s="35">
        <v>0</v>
      </c>
      <c r="C48" s="40">
        <v>22</v>
      </c>
      <c r="D48" s="15">
        <f t="shared" si="0"/>
        <v>22</v>
      </c>
      <c r="E48" s="2">
        <f t="shared" si="1"/>
        <v>0</v>
      </c>
      <c r="F48" s="2">
        <f t="shared" si="2"/>
        <v>5.4203090628567692E-3</v>
      </c>
      <c r="G48" s="2">
        <f t="shared" si="3"/>
        <v>0.88730087480941811</v>
      </c>
      <c r="H48" s="2">
        <f t="shared" si="4"/>
        <v>-5.1929090300380738E-2</v>
      </c>
    </row>
    <row r="49" spans="1:8" ht="15.75" thickBot="1" x14ac:dyDescent="0.3">
      <c r="A49" s="34">
        <v>48</v>
      </c>
      <c r="B49" s="35">
        <v>0</v>
      </c>
      <c r="C49" s="40">
        <v>9</v>
      </c>
      <c r="D49" s="15">
        <f t="shared" si="0"/>
        <v>9</v>
      </c>
      <c r="E49" s="2">
        <f t="shared" si="1"/>
        <v>0</v>
      </c>
      <c r="F49" s="2">
        <f t="shared" si="2"/>
        <v>4.0042526747138115E-3</v>
      </c>
      <c r="G49" s="2">
        <f t="shared" si="3"/>
        <v>0.96453359044796838</v>
      </c>
      <c r="H49" s="2">
        <f t="shared" si="4"/>
        <v>-1.5682643196691808E-2</v>
      </c>
    </row>
    <row r="50" spans="1:8" ht="15.75" thickBot="1" x14ac:dyDescent="0.3">
      <c r="A50" s="34">
        <v>49</v>
      </c>
      <c r="B50" s="35">
        <v>0</v>
      </c>
      <c r="C50" s="40">
        <v>5</v>
      </c>
      <c r="D50" s="15">
        <f t="shared" si="0"/>
        <v>5</v>
      </c>
      <c r="E50" s="2">
        <f t="shared" si="1"/>
        <v>0</v>
      </c>
      <c r="F50" s="2">
        <f t="shared" si="2"/>
        <v>2.9570412824406166E-3</v>
      </c>
      <c r="G50" s="2">
        <f t="shared" si="3"/>
        <v>0.98530197633488348</v>
      </c>
      <c r="H50" s="2">
        <f t="shared" si="4"/>
        <v>-6.4306460943956605E-3</v>
      </c>
    </row>
    <row r="51" spans="1:8" ht="15.75" thickBot="1" x14ac:dyDescent="0.3">
      <c r="A51" s="34">
        <v>50</v>
      </c>
      <c r="B51" s="35">
        <v>0</v>
      </c>
      <c r="C51" s="40">
        <v>12</v>
      </c>
      <c r="D51" s="15">
        <f t="shared" si="0"/>
        <v>12</v>
      </c>
      <c r="E51" s="2">
        <f t="shared" si="1"/>
        <v>0</v>
      </c>
      <c r="F51" s="2">
        <f t="shared" si="2"/>
        <v>2.1831013498033189E-3</v>
      </c>
      <c r="G51" s="2">
        <f t="shared" si="3"/>
        <v>0.9741150574933698</v>
      </c>
      <c r="H51" s="2">
        <f t="shared" si="4"/>
        <v>-1.1389743446513608E-2</v>
      </c>
    </row>
    <row r="52" spans="1:8" ht="15.75" thickBot="1" x14ac:dyDescent="0.3">
      <c r="A52" s="34">
        <v>51</v>
      </c>
      <c r="B52" s="35">
        <v>0</v>
      </c>
      <c r="C52" s="40">
        <v>0</v>
      </c>
      <c r="D52" s="15">
        <f t="shared" si="0"/>
        <v>0</v>
      </c>
      <c r="E52" s="2">
        <f t="shared" si="1"/>
        <v>0</v>
      </c>
      <c r="F52" s="2">
        <f t="shared" si="2"/>
        <v>1.6113956442146643E-3</v>
      </c>
      <c r="G52" s="2">
        <f t="shared" si="3"/>
        <v>1</v>
      </c>
      <c r="H52" s="2">
        <f t="shared" si="4"/>
        <v>0</v>
      </c>
    </row>
    <row r="53" spans="1:8" ht="15.75" thickBot="1" x14ac:dyDescent="0.3">
      <c r="A53" s="34">
        <v>52</v>
      </c>
      <c r="B53" s="35">
        <v>0</v>
      </c>
      <c r="C53" s="40">
        <v>0</v>
      </c>
      <c r="D53" s="15">
        <f t="shared" si="0"/>
        <v>0</v>
      </c>
      <c r="E53" s="2">
        <f t="shared" si="1"/>
        <v>0</v>
      </c>
      <c r="F53" s="2">
        <f t="shared" si="2"/>
        <v>1.1892285146283175E-3</v>
      </c>
      <c r="G53" s="2">
        <f t="shared" si="3"/>
        <v>1</v>
      </c>
      <c r="H53" s="2">
        <f t="shared" si="4"/>
        <v>0</v>
      </c>
    </row>
    <row r="54" spans="1:8" ht="15.75" thickBot="1" x14ac:dyDescent="0.3">
      <c r="A54" s="34">
        <v>53</v>
      </c>
      <c r="B54" s="35">
        <v>0</v>
      </c>
      <c r="C54" s="40">
        <v>1</v>
      </c>
      <c r="D54" s="15">
        <f t="shared" si="0"/>
        <v>1</v>
      </c>
      <c r="E54" s="2">
        <f t="shared" si="1"/>
        <v>0</v>
      </c>
      <c r="F54" s="2">
        <f t="shared" si="2"/>
        <v>8.7756710040424026E-4</v>
      </c>
      <c r="G54" s="2">
        <f t="shared" si="3"/>
        <v>0.99912243289959579</v>
      </c>
      <c r="H54" s="2">
        <f t="shared" si="4"/>
        <v>-3.8128987741223574E-4</v>
      </c>
    </row>
    <row r="55" spans="1:8" ht="15.75" thickBot="1" x14ac:dyDescent="0.3">
      <c r="A55" s="34">
        <v>54</v>
      </c>
      <c r="B55" s="35">
        <v>0</v>
      </c>
      <c r="C55" s="40">
        <v>0</v>
      </c>
      <c r="D55" s="15">
        <f t="shared" si="0"/>
        <v>0</v>
      </c>
      <c r="E55" s="2">
        <f t="shared" si="1"/>
        <v>0</v>
      </c>
      <c r="F55" s="2">
        <f t="shared" si="2"/>
        <v>6.4752991955217831E-4</v>
      </c>
      <c r="G55" s="2">
        <f t="shared" si="3"/>
        <v>1</v>
      </c>
      <c r="H55" s="2">
        <f t="shared" si="4"/>
        <v>0</v>
      </c>
    </row>
    <row r="56" spans="1:8" ht="15.75" thickBot="1" x14ac:dyDescent="0.3">
      <c r="A56" s="34">
        <v>55</v>
      </c>
      <c r="B56" s="35">
        <v>0</v>
      </c>
      <c r="C56" s="40">
        <v>0</v>
      </c>
      <c r="D56" s="15">
        <f t="shared" si="0"/>
        <v>0</v>
      </c>
      <c r="E56" s="2">
        <f t="shared" si="1"/>
        <v>0</v>
      </c>
      <c r="F56" s="2">
        <f t="shared" si="2"/>
        <v>4.7776368604196447E-4</v>
      </c>
      <c r="G56" s="2">
        <f t="shared" si="3"/>
        <v>1</v>
      </c>
      <c r="H56" s="2">
        <f t="shared" si="4"/>
        <v>0</v>
      </c>
    </row>
    <row r="57" spans="1:8" ht="15.75" thickBot="1" x14ac:dyDescent="0.3">
      <c r="A57" s="34">
        <v>56</v>
      </c>
      <c r="B57" s="35">
        <v>0</v>
      </c>
      <c r="C57" s="40">
        <v>0</v>
      </c>
      <c r="D57" s="15">
        <f t="shared" si="0"/>
        <v>0</v>
      </c>
      <c r="E57" s="2">
        <f t="shared" si="1"/>
        <v>0</v>
      </c>
      <c r="F57" s="2">
        <f t="shared" si="2"/>
        <v>3.5249023597984944E-4</v>
      </c>
      <c r="G57" s="2">
        <f t="shared" si="3"/>
        <v>1</v>
      </c>
      <c r="H57" s="2">
        <f t="shared" si="4"/>
        <v>0</v>
      </c>
    </row>
    <row r="58" spans="1:8" ht="15.75" thickBot="1" x14ac:dyDescent="0.3">
      <c r="A58" s="34">
        <v>57</v>
      </c>
      <c r="B58" s="35">
        <v>0</v>
      </c>
      <c r="C58" s="40">
        <v>0</v>
      </c>
      <c r="D58" s="15">
        <f t="shared" si="0"/>
        <v>0</v>
      </c>
      <c r="E58" s="2">
        <f t="shared" si="1"/>
        <v>0</v>
      </c>
      <c r="F58" s="2">
        <f t="shared" si="2"/>
        <v>2.6005593762917361E-4</v>
      </c>
      <c r="G58" s="2">
        <f t="shared" si="3"/>
        <v>1</v>
      </c>
      <c r="H58" s="2">
        <f t="shared" si="4"/>
        <v>0</v>
      </c>
    </row>
    <row r="59" spans="1:8" ht="15.75" thickBot="1" x14ac:dyDescent="0.3">
      <c r="A59" s="34">
        <v>58</v>
      </c>
      <c r="B59" s="35">
        <v>0</v>
      </c>
      <c r="C59" s="40">
        <v>0</v>
      </c>
      <c r="D59" s="15">
        <f t="shared" si="0"/>
        <v>0</v>
      </c>
      <c r="E59" s="2">
        <f t="shared" si="1"/>
        <v>0</v>
      </c>
      <c r="F59" s="2">
        <f t="shared" si="2"/>
        <v>1.9185623877320473E-4</v>
      </c>
      <c r="G59" s="2">
        <f t="shared" si="3"/>
        <v>1</v>
      </c>
      <c r="H59" s="2">
        <f t="shared" si="4"/>
        <v>0</v>
      </c>
    </row>
    <row r="60" spans="1:8" ht="15.75" thickBot="1" x14ac:dyDescent="0.3">
      <c r="A60" s="34">
        <v>59</v>
      </c>
      <c r="B60" s="35">
        <v>0</v>
      </c>
      <c r="C60" s="40">
        <v>0</v>
      </c>
      <c r="D60" s="15">
        <f t="shared" si="0"/>
        <v>0</v>
      </c>
      <c r="E60" s="2">
        <f t="shared" si="1"/>
        <v>0</v>
      </c>
      <c r="F60" s="2">
        <f t="shared" si="2"/>
        <v>1.415393864592274E-4</v>
      </c>
      <c r="G60" s="2">
        <f t="shared" si="3"/>
        <v>1</v>
      </c>
      <c r="H60" s="2">
        <f t="shared" si="4"/>
        <v>0</v>
      </c>
    </row>
    <row r="61" spans="1:8" ht="15.75" thickBot="1" x14ac:dyDescent="0.3">
      <c r="A61" s="34">
        <v>60</v>
      </c>
      <c r="B61" s="35">
        <v>0</v>
      </c>
      <c r="C61" s="40">
        <v>1</v>
      </c>
      <c r="D61" s="15">
        <f t="shared" si="0"/>
        <v>1</v>
      </c>
      <c r="E61" s="2">
        <f t="shared" si="1"/>
        <v>0</v>
      </c>
      <c r="F61" s="2">
        <f t="shared" si="2"/>
        <v>1.0441742022099614E-4</v>
      </c>
      <c r="G61" s="2">
        <f t="shared" si="3"/>
        <v>0.99989558257977895</v>
      </c>
      <c r="H61" s="2">
        <f t="shared" si="4"/>
        <v>-4.5350277137253289E-5</v>
      </c>
    </row>
    <row r="62" spans="1:8" ht="15.75" thickBot="1" x14ac:dyDescent="0.3">
      <c r="A62" s="36">
        <v>61</v>
      </c>
      <c r="B62" s="37">
        <v>0</v>
      </c>
      <c r="C62" s="41">
        <v>0</v>
      </c>
      <c r="D62" s="15">
        <f t="shared" si="0"/>
        <v>0</v>
      </c>
      <c r="E62" s="2">
        <f t="shared" si="1"/>
        <v>0</v>
      </c>
      <c r="F62" s="2">
        <f t="shared" si="2"/>
        <v>7.7030795114942067E-5</v>
      </c>
      <c r="G62" s="2">
        <f t="shared" si="3"/>
        <v>1</v>
      </c>
      <c r="H62" s="2">
        <f t="shared" si="4"/>
        <v>0</v>
      </c>
    </row>
    <row r="63" spans="1:8" ht="15.75" thickBot="1" x14ac:dyDescent="0.3">
      <c r="A63" s="34">
        <v>62</v>
      </c>
      <c r="B63" s="35">
        <v>0</v>
      </c>
      <c r="C63" s="40">
        <v>0</v>
      </c>
      <c r="D63" s="15">
        <f t="shared" si="0"/>
        <v>0</v>
      </c>
      <c r="E63" s="2">
        <f t="shared" si="1"/>
        <v>0</v>
      </c>
      <c r="F63" s="2">
        <f t="shared" si="2"/>
        <v>5.6826732143295969E-5</v>
      </c>
      <c r="G63" s="2">
        <f t="shared" si="3"/>
        <v>1</v>
      </c>
      <c r="H63" s="2">
        <f t="shared" si="4"/>
        <v>0</v>
      </c>
    </row>
    <row r="64" spans="1:8" ht="15.75" thickBot="1" x14ac:dyDescent="0.3">
      <c r="A64" s="34">
        <v>63</v>
      </c>
      <c r="B64" s="35">
        <v>0</v>
      </c>
      <c r="C64" s="40">
        <v>0</v>
      </c>
      <c r="D64" s="15">
        <f t="shared" si="0"/>
        <v>0</v>
      </c>
      <c r="E64" s="2">
        <f t="shared" si="1"/>
        <v>0</v>
      </c>
      <c r="F64" s="2">
        <f t="shared" si="2"/>
        <v>4.1921680379187256E-5</v>
      </c>
      <c r="G64" s="2">
        <f t="shared" si="3"/>
        <v>1</v>
      </c>
      <c r="H64" s="2">
        <f t="shared" si="4"/>
        <v>0</v>
      </c>
    </row>
    <row r="65" spans="1:8" ht="15.75" thickBot="1" x14ac:dyDescent="0.3">
      <c r="A65" s="34">
        <v>64</v>
      </c>
      <c r="B65" s="35">
        <v>0</v>
      </c>
      <c r="C65" s="40">
        <v>0</v>
      </c>
      <c r="D65" s="15">
        <f t="shared" si="0"/>
        <v>0</v>
      </c>
      <c r="E65" s="2">
        <f t="shared" si="1"/>
        <v>0</v>
      </c>
      <c r="F65" s="2">
        <f t="shared" si="2"/>
        <v>3.0925945388996138E-5</v>
      </c>
      <c r="G65" s="2">
        <f t="shared" si="3"/>
        <v>1</v>
      </c>
      <c r="H65" s="2">
        <f t="shared" si="4"/>
        <v>0</v>
      </c>
    </row>
    <row r="66" spans="1:8" ht="15.75" thickBot="1" x14ac:dyDescent="0.3">
      <c r="A66" s="34">
        <v>65</v>
      </c>
      <c r="B66" s="35">
        <v>0</v>
      </c>
      <c r="C66" s="40">
        <v>0</v>
      </c>
      <c r="D66" s="15">
        <f t="shared" si="0"/>
        <v>0</v>
      </c>
      <c r="E66" s="2">
        <f t="shared" si="1"/>
        <v>0</v>
      </c>
      <c r="F66" s="2">
        <f t="shared" si="2"/>
        <v>2.2814241486831944E-5</v>
      </c>
      <c r="G66" s="2">
        <f t="shared" si="3"/>
        <v>1</v>
      </c>
      <c r="H66" s="2">
        <f t="shared" si="4"/>
        <v>0</v>
      </c>
    </row>
    <row r="67" spans="1:8" ht="15.75" thickBot="1" x14ac:dyDescent="0.3">
      <c r="A67" s="34">
        <v>66</v>
      </c>
      <c r="B67" s="35">
        <v>0</v>
      </c>
      <c r="C67" s="40">
        <v>1</v>
      </c>
      <c r="D67" s="15">
        <f t="shared" si="0"/>
        <v>1</v>
      </c>
      <c r="E67" s="2">
        <f t="shared" si="1"/>
        <v>0</v>
      </c>
      <c r="F67" s="2">
        <f t="shared" si="2"/>
        <v>1.6830156705589111E-5</v>
      </c>
      <c r="G67" s="2">
        <f t="shared" si="3"/>
        <v>0.99998316984329438</v>
      </c>
      <c r="H67" s="2">
        <f t="shared" si="4"/>
        <v>-7.3093056953687758E-6</v>
      </c>
    </row>
    <row r="68" spans="1:8" ht="15.75" thickBot="1" x14ac:dyDescent="0.3">
      <c r="A68" s="34">
        <v>67</v>
      </c>
      <c r="B68" s="35">
        <v>0</v>
      </c>
      <c r="C68" s="40">
        <v>0</v>
      </c>
      <c r="D68" s="15">
        <f t="shared" si="0"/>
        <v>0</v>
      </c>
      <c r="E68" s="2">
        <f t="shared" si="1"/>
        <v>0</v>
      </c>
      <c r="F68" s="2">
        <f t="shared" si="2"/>
        <v>1.2415654068206289E-5</v>
      </c>
      <c r="G68" s="2">
        <f t="shared" si="3"/>
        <v>1</v>
      </c>
      <c r="H68" s="2">
        <f t="shared" si="4"/>
        <v>0</v>
      </c>
    </row>
    <row r="69" spans="1:8" ht="15.75" thickBot="1" x14ac:dyDescent="0.3">
      <c r="A69" s="34">
        <v>68</v>
      </c>
      <c r="B69" s="35">
        <v>0</v>
      </c>
      <c r="C69" s="40">
        <v>0</v>
      </c>
      <c r="D69" s="15">
        <f t="shared" si="0"/>
        <v>0</v>
      </c>
      <c r="E69" s="2">
        <f t="shared" si="1"/>
        <v>0</v>
      </c>
      <c r="F69" s="2">
        <f t="shared" si="2"/>
        <v>9.1590524167302155E-6</v>
      </c>
      <c r="G69" s="2">
        <f t="shared" si="3"/>
        <v>1</v>
      </c>
      <c r="H69" s="2">
        <f t="shared" si="4"/>
        <v>0</v>
      </c>
    </row>
  </sheetData>
  <mergeCells count="6">
    <mergeCell ref="A1:O2"/>
    <mergeCell ref="E13:E15"/>
    <mergeCell ref="D13:D15"/>
    <mergeCell ref="F13:F15"/>
    <mergeCell ref="G13:G15"/>
    <mergeCell ref="H13:H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Sobrecopo</vt:lpstr>
      <vt:lpstr>Dejupa</vt:lpstr>
      <vt:lpstr>FLEXIGIRD</vt:lpstr>
      <vt:lpstr>Tangonera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</dc:creator>
  <cp:lastModifiedBy>Ariel Lujan Giamportone</cp:lastModifiedBy>
  <dcterms:created xsi:type="dcterms:W3CDTF">2015-08-17T17:52:56Z</dcterms:created>
  <dcterms:modified xsi:type="dcterms:W3CDTF">2024-02-28T17:36:17Z</dcterms:modified>
</cp:coreProperties>
</file>