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29.xml" ContentType="application/vnd.openxmlformats-officedocument.drawingml.char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30" windowWidth="11790" windowHeight="5085" tabRatio="734" firstSheet="7" activeTab="12"/>
  </bookViews>
  <sheets>
    <sheet name="Especie Blanco" sheetId="19" r:id="rId1"/>
    <sheet name="Tipo de buques" sheetId="15" r:id="rId2"/>
    <sheet name="Potenc disponible para arrastre" sheetId="6" r:id="rId3"/>
    <sheet name="Potencia Disponible Arrastre OK" sheetId="7" r:id="rId4"/>
    <sheet name="Paños de red y cortes" sheetId="16" r:id="rId5"/>
    <sheet name="Cables Y Cabulleria" sheetId="21" r:id="rId6"/>
    <sheet name="Mecánica de la Red" sheetId="17" r:id="rId7"/>
    <sheet name="Dimensiones de la Red" sheetId="10" r:id="rId8"/>
    <sheet name="Resistencia de la RED" sheetId="13" r:id="rId9"/>
    <sheet name="Portones y aparejamiento" sheetId="18" r:id="rId10"/>
    <sheet name="Flotación y Lastre" sheetId="20" r:id="rId11"/>
    <sheet name="Cables de Remolque" sheetId="22" r:id="rId12"/>
    <sheet name="Tablas de Referencias" sheetId="11" r:id="rId13"/>
  </sheets>
  <definedNames>
    <definedName name="alfaremolque">'Cables de Remolque'!$A$90:$A$94</definedName>
    <definedName name="angulopatentes">'Tablas de Referencias'!$A$176:$A$197</definedName>
    <definedName name="anguloremolque">'Cables de Remolque'!$E$103</definedName>
    <definedName name="Burlon">'Dimensiones de la Red'!$F$46</definedName>
    <definedName name="cabl">'Tablas de Referencias'!$B$293:$B$296</definedName>
    <definedName name="cables">'Tablas de Referencias'!$B$293:$D$296</definedName>
    <definedName name="cincuenta">'Flotación y Lastre'!$F$72:$F$82</definedName>
    <definedName name="cincuentayocho">'Flotación y Lastre'!$G$72:$G$82</definedName>
    <definedName name="consremolque">'Tablas de Referencias'!$C$338:$D$343</definedName>
    <definedName name="construccioncable">'Tablas de Referencias'!$D$293:$D$294</definedName>
    <definedName name="diaca">'Tablas de Referencias'!$C$316:$C$322</definedName>
    <definedName name="diamcab">'Tablas de Referencias'!$C$293:$C$296</definedName>
    <definedName name="diametrocable">'Tablas de Referencias'!$C$293:$C$294</definedName>
    <definedName name="diamremolque">'Tablas de Referencias'!$B$338:$B$343</definedName>
    <definedName name="Kgf">'Flotación y Lastre'!$F$72:$G$82</definedName>
    <definedName name="klastre">'Flotación y Lastre'!$E$168:$E$172</definedName>
    <definedName name="Largototal">'Dimensiones de la Red'!$F$48</definedName>
    <definedName name="Lima">'Dimensiones de la Red'!$F$45</definedName>
    <definedName name="listadelistas">'Portones y aparejamiento'!$B$117:$F$118</definedName>
    <definedName name="Longitudespatentes">'Tablas de Referencias'!$C$177:$C$187</definedName>
    <definedName name="longp">'Tablas de Referencias'!$C$177:$C$187</definedName>
    <definedName name="LP">'Tablas de Referencias'!$C$177:$C$187</definedName>
    <definedName name="Lpatent">'Tablas de Referencias'!$C$177:$C$187</definedName>
    <definedName name="matcab">'Tablas de Referencias'!$B$293:$B$296</definedName>
    <definedName name="materialcable">'Tablas de Referencias'!$B$293:$B$294</definedName>
    <definedName name="Morgere_Polivalente_Oval">'Tablas de Referencias'!$K$250</definedName>
    <definedName name="nhp">'Tablas de Referencias'!$H$177:$H$216</definedName>
    <definedName name="NIM">#REF!</definedName>
    <definedName name="Nombre">#REF!</definedName>
    <definedName name="NUM">#REF!</definedName>
    <definedName name="numero">#REF!</definedName>
    <definedName name="pesoremolque">'Tablas de Referencias'!$E$338:$E$343</definedName>
    <definedName name="porcentajesutiles">'Tablas de Referencias'!$F$177:$F$196</definedName>
    <definedName name="porton_del_orto">'Tablas de Referencias'!$K$250</definedName>
    <definedName name="Porton_plano_de_madera_con_bastidor_de_hierro_FAO_para_A3_B3_C3">'Tablas de Referencias'!$B$245</definedName>
    <definedName name="portones">'Tablas de Referencias'!$A$245:$H$264</definedName>
    <definedName name="Profundidades">'Tablas de Referencias'!$A$202:$A$221</definedName>
    <definedName name="prueba">'Tablas de Referencias'!$B$245</definedName>
    <definedName name="prueba2">'Tablas de Referencias'!$C$267,'Tablas de Referencias'!$B$245</definedName>
    <definedName name="prueba3">'Tablas de Referencias'!$C$267</definedName>
    <definedName name="prueba4">'Tablas de Referencias'!$K$249:$K$250</definedName>
    <definedName name="Relacion_Dremiere_patentes">'Tablas de Referencias'!$B$177:$B$182</definedName>
    <definedName name="relaciondremiere">'Tablas de Referencias'!$B$177:$B$182</definedName>
    <definedName name="resisremolque">'Tablas de Referencias'!$F$338:$F$343</definedName>
    <definedName name="resulmat">'Cables Y Cabulleria'!$D$3</definedName>
    <definedName name="triangulo">'Tablas de Referencias'!$B$202:$B$240</definedName>
    <definedName name="δ_Patentes">'Tablas de Referencias'!$A$176:$A$197</definedName>
  </definedNames>
  <calcPr calcId="124519" iterate="1"/>
</workbook>
</file>

<file path=xl/calcChain.xml><?xml version="1.0" encoding="utf-8"?>
<calcChain xmlns="http://schemas.openxmlformats.org/spreadsheetml/2006/main">
  <c r="H63" i="16"/>
  <c r="W191" i="17" a="1"/>
  <c r="W191" s="1"/>
  <c r="W192" a="1"/>
  <c r="W193" a="1"/>
  <c r="W194" a="1"/>
  <c r="W195" a="1"/>
  <c r="W196" a="1"/>
  <c r="W197" a="1"/>
  <c r="W198" a="1"/>
  <c r="W199" a="1"/>
  <c r="W200" a="1"/>
  <c r="W190" a="1"/>
  <c r="W190" s="1"/>
  <c r="V191"/>
  <c r="V192"/>
  <c r="V193"/>
  <c r="V194"/>
  <c r="V195"/>
  <c r="V196"/>
  <c r="V197"/>
  <c r="V198"/>
  <c r="V199"/>
  <c r="V200"/>
  <c r="V190"/>
  <c r="AB178"/>
  <c r="AB174"/>
  <c r="AB170"/>
  <c r="I414" i="13"/>
  <c r="J414"/>
  <c r="S414"/>
  <c r="I415"/>
  <c r="J415"/>
  <c r="S415"/>
  <c r="I416"/>
  <c r="J416"/>
  <c r="S416"/>
  <c r="I417"/>
  <c r="J417"/>
  <c r="S417"/>
  <c r="I418"/>
  <c r="J418"/>
  <c r="S418"/>
  <c r="I419"/>
  <c r="J419"/>
  <c r="S419"/>
  <c r="I420"/>
  <c r="J420"/>
  <c r="S420"/>
  <c r="I421"/>
  <c r="J421"/>
  <c r="S421"/>
  <c r="I422"/>
  <c r="J422"/>
  <c r="S422"/>
  <c r="I413"/>
  <c r="J413"/>
  <c r="S413"/>
  <c r="I398"/>
  <c r="J398"/>
  <c r="S398"/>
  <c r="I399"/>
  <c r="J399"/>
  <c r="S399"/>
  <c r="I400"/>
  <c r="J400"/>
  <c r="S400"/>
  <c r="I401"/>
  <c r="J401"/>
  <c r="S401"/>
  <c r="I402"/>
  <c r="J402"/>
  <c r="S402"/>
  <c r="I403"/>
  <c r="J403"/>
  <c r="S403"/>
  <c r="I404"/>
  <c r="J404"/>
  <c r="S404"/>
  <c r="I405"/>
  <c r="J405"/>
  <c r="S405"/>
  <c r="I406"/>
  <c r="J406"/>
  <c r="S406"/>
  <c r="I326"/>
  <c r="J326"/>
  <c r="S326"/>
  <c r="S318"/>
  <c r="S317"/>
  <c r="S303"/>
  <c r="S302"/>
  <c r="O36" i="17"/>
  <c r="O34"/>
  <c r="C240" i="20"/>
  <c r="N62" i="16"/>
  <c r="A64"/>
  <c r="A61"/>
  <c r="C24" i="6"/>
  <c r="F279" i="18"/>
  <c r="F280"/>
  <c r="E279"/>
  <c r="D279"/>
  <c r="C279"/>
  <c r="C280"/>
  <c r="C281"/>
  <c r="C282"/>
  <c r="C283"/>
  <c r="C284"/>
  <c r="C285"/>
  <c r="C286"/>
  <c r="C287"/>
  <c r="C288"/>
  <c r="C289"/>
  <c r="B288"/>
  <c r="B289"/>
  <c r="B280"/>
  <c r="B281"/>
  <c r="B282"/>
  <c r="B283"/>
  <c r="B284"/>
  <c r="B285"/>
  <c r="B286"/>
  <c r="B287"/>
  <c r="B279"/>
  <c r="C251"/>
  <c r="C252"/>
  <c r="C253"/>
  <c r="C254"/>
  <c r="C255"/>
  <c r="C256"/>
  <c r="C257"/>
  <c r="C258"/>
  <c r="C259"/>
  <c r="C260"/>
  <c r="B251"/>
  <c r="B252"/>
  <c r="B253"/>
  <c r="B254"/>
  <c r="B255"/>
  <c r="B256"/>
  <c r="B257"/>
  <c r="B258"/>
  <c r="B259"/>
  <c r="B260"/>
  <c r="B250"/>
  <c r="B246"/>
  <c r="B245"/>
  <c r="B239" a="1"/>
  <c r="B237" a="1"/>
  <c r="B238" a="1"/>
  <c r="B27"/>
  <c r="F19"/>
  <c r="C19"/>
  <c r="B26" s="1"/>
  <c r="F18"/>
  <c r="C18"/>
  <c r="F17"/>
  <c r="B17"/>
  <c r="C155" i="10" a="1"/>
  <c r="C155" s="1"/>
  <c r="J5" i="21" s="1"/>
  <c r="G339" i="11"/>
  <c r="G340"/>
  <c r="G341"/>
  <c r="G342"/>
  <c r="G343"/>
  <c r="G338"/>
  <c r="B266" i="22"/>
  <c r="F265"/>
  <c r="B265"/>
  <c r="C254" a="1"/>
  <c r="C254" s="1"/>
  <c r="G250"/>
  <c r="G252" s="1"/>
  <c r="F266" s="1"/>
  <c r="D204"/>
  <c r="F208"/>
  <c r="E208"/>
  <c r="D208"/>
  <c r="H192"/>
  <c r="H196"/>
  <c r="F192"/>
  <c r="F196"/>
  <c r="E192"/>
  <c r="E196"/>
  <c r="C188"/>
  <c r="D189"/>
  <c r="F189" s="1"/>
  <c r="H189" s="1"/>
  <c r="D191"/>
  <c r="H191" s="1"/>
  <c r="D192"/>
  <c r="D193"/>
  <c r="H193" s="1"/>
  <c r="D194"/>
  <c r="H194" s="1"/>
  <c r="D195"/>
  <c r="H195" s="1"/>
  <c r="D196"/>
  <c r="D197"/>
  <c r="H197" s="1"/>
  <c r="D198"/>
  <c r="H198" s="1"/>
  <c r="D199"/>
  <c r="H199" s="1"/>
  <c r="C192"/>
  <c r="G192" s="1"/>
  <c r="C193"/>
  <c r="E193" s="1"/>
  <c r="C194"/>
  <c r="G194" s="1"/>
  <c r="C195"/>
  <c r="E195" s="1"/>
  <c r="C196"/>
  <c r="G196" s="1"/>
  <c r="C197"/>
  <c r="E197" s="1"/>
  <c r="C198"/>
  <c r="G198" s="1"/>
  <c r="C199"/>
  <c r="E199" s="1"/>
  <c r="C189"/>
  <c r="E189" s="1"/>
  <c r="G189" s="1"/>
  <c r="C191"/>
  <c r="G191" s="1"/>
  <c r="B161" a="1"/>
  <c r="B161" s="1"/>
  <c r="F153"/>
  <c r="G246" s="1"/>
  <c r="F264" s="1"/>
  <c r="F154" a="1"/>
  <c r="F154" s="1"/>
  <c r="F155" a="1"/>
  <c r="F155" s="1"/>
  <c r="G159"/>
  <c r="G160"/>
  <c r="B160" a="1"/>
  <c r="B160" s="1"/>
  <c r="B159" a="1"/>
  <c r="B159" s="1"/>
  <c r="F116"/>
  <c r="F207" s="1"/>
  <c r="D78"/>
  <c r="E71"/>
  <c r="F74" s="1"/>
  <c r="E70"/>
  <c r="F73" s="1"/>
  <c r="D71" a="1"/>
  <c r="D71" s="1"/>
  <c r="B74" s="1"/>
  <c r="B110" s="1"/>
  <c r="D70" a="1"/>
  <c r="D70" s="1"/>
  <c r="E77" s="1"/>
  <c r="E80" s="1"/>
  <c r="A131" i="11"/>
  <c r="A11" i="22" a="1"/>
  <c r="A11" s="1"/>
  <c r="A10" a="1"/>
  <c r="A10" s="1"/>
  <c r="D193" i="17"/>
  <c r="E176" s="1"/>
  <c r="J178" s="1"/>
  <c r="C355" i="11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54"/>
  <c r="A9" i="22" a="1"/>
  <c r="A9" s="1"/>
  <c r="B112" s="1" a="1"/>
  <c r="B112" s="1"/>
  <c r="B155" s="1" a="1"/>
  <c r="B155" s="1"/>
  <c r="A8" a="1"/>
  <c r="A8" s="1"/>
  <c r="A7" a="1"/>
  <c r="A7" s="1"/>
  <c r="E105" a="1"/>
  <c r="E105" s="1"/>
  <c r="F254" s="1"/>
  <c r="F227" i="20"/>
  <c r="F245"/>
  <c r="F238"/>
  <c r="M207"/>
  <c r="L207"/>
  <c r="E206"/>
  <c r="F196"/>
  <c r="G196"/>
  <c r="H196"/>
  <c r="I196"/>
  <c r="J196"/>
  <c r="K196"/>
  <c r="K195"/>
  <c r="J195"/>
  <c r="I195"/>
  <c r="H195"/>
  <c r="G195"/>
  <c r="F195"/>
  <c r="E193"/>
  <c r="D196"/>
  <c r="C196"/>
  <c r="D186"/>
  <c r="I4" i="21"/>
  <c r="G185" i="20" s="1"/>
  <c r="I3" i="21"/>
  <c r="F32" i="20" s="1"/>
  <c r="H4" i="21"/>
  <c r="H3"/>
  <c r="G4"/>
  <c r="G187" i="20" s="1"/>
  <c r="G3" i="21"/>
  <c r="E293" i="11"/>
  <c r="E296"/>
  <c r="I180" i="20"/>
  <c r="I173"/>
  <c r="F67" i="10"/>
  <c r="B203" i="18" a="1"/>
  <c r="B203" s="1"/>
  <c r="B237" s="1"/>
  <c r="E203" a="1"/>
  <c r="E203" s="1"/>
  <c r="E237" s="1"/>
  <c r="B204" a="1"/>
  <c r="B204" s="1"/>
  <c r="B238" s="1"/>
  <c r="E204" a="1"/>
  <c r="E204" s="1"/>
  <c r="E238" s="1"/>
  <c r="B205" a="1"/>
  <c r="B205" s="1"/>
  <c r="B239" s="1"/>
  <c r="E205" a="1"/>
  <c r="E205" s="1"/>
  <c r="E239" s="1"/>
  <c r="E222"/>
  <c r="F224"/>
  <c r="F228"/>
  <c r="B184"/>
  <c r="I143" i="20"/>
  <c r="I144"/>
  <c r="I145"/>
  <c r="I146"/>
  <c r="I142"/>
  <c r="H131"/>
  <c r="F160" i="22" s="1"/>
  <c r="H130" i="20"/>
  <c r="H132" s="1"/>
  <c r="F161" i="22" s="1" a="1"/>
  <c r="F161" s="1"/>
  <c r="H129" i="20"/>
  <c r="I140" s="1"/>
  <c r="D128"/>
  <c r="D127" a="1"/>
  <c r="D127" s="1"/>
  <c r="I123"/>
  <c r="D123"/>
  <c r="F104"/>
  <c r="F91"/>
  <c r="E99" s="1"/>
  <c r="C90"/>
  <c r="C89" a="1"/>
  <c r="C89" s="1"/>
  <c r="C88"/>
  <c r="C87"/>
  <c r="A294" i="11"/>
  <c r="A295" s="1"/>
  <c r="A296" s="1"/>
  <c r="A297" s="1"/>
  <c r="E286"/>
  <c r="E285"/>
  <c r="E284"/>
  <c r="E283"/>
  <c r="E282"/>
  <c r="E281"/>
  <c r="C276"/>
  <c r="C270"/>
  <c r="B267"/>
  <c r="E264"/>
  <c r="E263"/>
  <c r="E262"/>
  <c r="E261"/>
  <c r="E260"/>
  <c r="E259"/>
  <c r="C254"/>
  <c r="C251"/>
  <c r="C250"/>
  <c r="K249"/>
  <c r="C249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0"/>
  <c r="A129"/>
  <c r="A128"/>
  <c r="A127"/>
  <c r="A126"/>
  <c r="A125"/>
  <c r="A124"/>
  <c r="A123"/>
  <c r="A122"/>
  <c r="A121"/>
  <c r="A120"/>
  <c r="A119"/>
  <c r="D72"/>
  <c r="D71"/>
  <c r="A71"/>
  <c r="A68"/>
  <c r="A67"/>
  <c r="A66"/>
  <c r="A65"/>
  <c r="A64"/>
  <c r="A63"/>
  <c r="A62"/>
  <c r="A61"/>
  <c r="A60"/>
  <c r="A59"/>
  <c r="A58"/>
  <c r="A57"/>
  <c r="A56"/>
  <c r="A55"/>
  <c r="A54"/>
  <c r="D53"/>
  <c r="A53"/>
  <c r="D52"/>
  <c r="A52"/>
  <c r="D51"/>
  <c r="A51"/>
  <c r="D50"/>
  <c r="D49"/>
  <c r="M54" i="20"/>
  <c r="M209" s="1"/>
  <c r="L54"/>
  <c r="L209" s="1"/>
  <c r="K54"/>
  <c r="K209" s="1"/>
  <c r="J54"/>
  <c r="J209" s="1"/>
  <c r="I54"/>
  <c r="I209" s="1"/>
  <c r="H54"/>
  <c r="H209" s="1"/>
  <c r="G54"/>
  <c r="G209" s="1"/>
  <c r="F54"/>
  <c r="F209" s="1"/>
  <c r="E54"/>
  <c r="E209" s="1"/>
  <c r="M53"/>
  <c r="L53"/>
  <c r="K53"/>
  <c r="K208" s="1"/>
  <c r="J53"/>
  <c r="J208" s="1"/>
  <c r="I53"/>
  <c r="I208" s="1"/>
  <c r="H53"/>
  <c r="H208" s="1"/>
  <c r="G53"/>
  <c r="G208" s="1"/>
  <c r="F53"/>
  <c r="F208" s="1"/>
  <c r="E53"/>
  <c r="E208" s="1"/>
  <c r="E52" a="1"/>
  <c r="E198" i="22" l="1"/>
  <c r="E194"/>
  <c r="F198"/>
  <c r="F194"/>
  <c r="C255" a="1"/>
  <c r="C255" s="1"/>
  <c r="F159"/>
  <c r="E177" i="17"/>
  <c r="D9" i="18" s="1"/>
  <c r="E191" i="22"/>
  <c r="F191"/>
  <c r="G199"/>
  <c r="G197"/>
  <c r="G195"/>
  <c r="G193"/>
  <c r="F199"/>
  <c r="F197"/>
  <c r="F195"/>
  <c r="F193"/>
  <c r="B153" a="1"/>
  <c r="B153" s="1"/>
  <c r="C246" s="1" a="1"/>
  <c r="C246" s="1"/>
  <c r="B264" s="1" a="1"/>
  <c r="B264" s="1"/>
  <c r="B111"/>
  <c r="B154" s="1" a="1"/>
  <c r="B154" s="1"/>
  <c r="C80"/>
  <c r="B73"/>
  <c r="E78"/>
  <c r="F223" i="20" a="1"/>
  <c r="C223" a="1"/>
  <c r="H123"/>
  <c r="I141"/>
  <c r="I139"/>
  <c r="I138"/>
  <c r="G103"/>
  <c r="E41"/>
  <c r="E196" s="1"/>
  <c r="E40"/>
  <c r="E195" s="1"/>
  <c r="E39" a="1"/>
  <c r="B35"/>
  <c r="B34"/>
  <c r="F33"/>
  <c r="F34" s="1"/>
  <c r="B33"/>
  <c r="B27"/>
  <c r="B26" a="1"/>
  <c r="B26" s="1"/>
  <c r="B25" a="1"/>
  <c r="B24" a="1"/>
  <c r="B24" s="1"/>
  <c r="F22"/>
  <c r="B22"/>
  <c r="E13" a="1"/>
  <c r="E13" s="1"/>
  <c r="E12" a="1"/>
  <c r="E12" s="1"/>
  <c r="H159" i="18"/>
  <c r="G159"/>
  <c r="F159"/>
  <c r="E159"/>
  <c r="D159"/>
  <c r="C159"/>
  <c r="B159"/>
  <c r="H158"/>
  <c r="G158"/>
  <c r="F158"/>
  <c r="E158"/>
  <c r="D144"/>
  <c r="F137"/>
  <c r="E137"/>
  <c r="D137"/>
  <c r="C137"/>
  <c r="F136"/>
  <c r="E136"/>
  <c r="D136"/>
  <c r="C136"/>
  <c r="F135"/>
  <c r="E135"/>
  <c r="D135"/>
  <c r="C135"/>
  <c r="F134"/>
  <c r="E134"/>
  <c r="D134"/>
  <c r="C134"/>
  <c r="E240" s="1"/>
  <c r="F133"/>
  <c r="E133"/>
  <c r="D133"/>
  <c r="C133"/>
  <c r="F132"/>
  <c r="E132"/>
  <c r="D132"/>
  <c r="C132"/>
  <c r="D131"/>
  <c r="C131"/>
  <c r="F130"/>
  <c r="E130"/>
  <c r="B206" s="1"/>
  <c r="D130"/>
  <c r="B186" s="1"/>
  <c r="B242" s="1"/>
  <c r="C130"/>
  <c r="D127"/>
  <c r="B127"/>
  <c r="D126"/>
  <c r="B126"/>
  <c r="D125"/>
  <c r="B125"/>
  <c r="D124"/>
  <c r="B124"/>
  <c r="D123"/>
  <c r="B123"/>
  <c r="D122"/>
  <c r="E244" s="1"/>
  <c r="B122"/>
  <c r="B244" s="1"/>
  <c r="D121"/>
  <c r="B121"/>
  <c r="D120"/>
  <c r="E243" s="1"/>
  <c r="B120"/>
  <c r="B243" s="1"/>
  <c r="B119"/>
  <c r="B107"/>
  <c r="B106"/>
  <c r="B103"/>
  <c r="E19" l="1"/>
  <c r="E13"/>
  <c r="C266"/>
  <c r="C270"/>
  <c r="C269"/>
  <c r="D26"/>
  <c r="D184"/>
  <c r="E166" i="17"/>
  <c r="E168"/>
  <c r="E170"/>
  <c r="E172"/>
  <c r="E165"/>
  <c r="E167"/>
  <c r="E169"/>
  <c r="E171"/>
  <c r="E164"/>
  <c r="D186" i="18"/>
  <c r="E242" s="1"/>
  <c r="G166" i="17"/>
  <c r="G168"/>
  <c r="G170"/>
  <c r="G172"/>
  <c r="G165"/>
  <c r="G167"/>
  <c r="G169"/>
  <c r="G171"/>
  <c r="G164"/>
  <c r="F9" i="22"/>
  <c r="D165" i="17"/>
  <c r="D167"/>
  <c r="D169"/>
  <c r="D171"/>
  <c r="D164"/>
  <c r="D166"/>
  <c r="D168"/>
  <c r="D170"/>
  <c r="D172"/>
  <c r="E206" i="18"/>
  <c r="F165" i="17"/>
  <c r="F167"/>
  <c r="F169"/>
  <c r="F171"/>
  <c r="F164"/>
  <c r="F166"/>
  <c r="F168"/>
  <c r="F170"/>
  <c r="F172"/>
  <c r="C81" i="22"/>
  <c r="E81"/>
  <c r="E110" s="1"/>
  <c r="G16" i="20"/>
  <c r="G17" s="1"/>
  <c r="D165"/>
  <c r="G180" s="1"/>
  <c r="F16"/>
  <c r="F17" s="1"/>
  <c r="D164"/>
  <c r="G173" s="1"/>
  <c r="D208" i="18"/>
  <c r="D221"/>
  <c r="D222"/>
  <c r="D209"/>
  <c r="D124" i="20" a="1"/>
  <c r="D124" s="1"/>
  <c r="D125" a="1"/>
  <c r="D125" s="1"/>
  <c r="D126" a="1"/>
  <c r="D126" s="1"/>
  <c r="H126" a="1"/>
  <c r="H126" s="1"/>
  <c r="E109" i="22" s="1"/>
  <c r="E158" s="1"/>
  <c r="B185" i="18"/>
  <c r="B241" s="1"/>
  <c r="D185"/>
  <c r="E241" s="1"/>
  <c r="G104" i="20"/>
  <c r="I112" s="1"/>
  <c r="H103"/>
  <c r="D158" i="18"/>
  <c r="E39" i="20"/>
  <c r="E194" s="1"/>
  <c r="H125" a="1"/>
  <c r="H125" s="1"/>
  <c r="E108" i="22" s="1"/>
  <c r="E157" s="1"/>
  <c r="D254" i="18" l="1"/>
  <c r="F283" s="1"/>
  <c r="G283" s="1"/>
  <c r="D256"/>
  <c r="F285" s="1"/>
  <c r="G285" s="1"/>
  <c r="D258"/>
  <c r="F287" s="1"/>
  <c r="G287" s="1"/>
  <c r="D260"/>
  <c r="F289" s="1"/>
  <c r="G289" s="1"/>
  <c r="D253"/>
  <c r="F282" s="1"/>
  <c r="G282" s="1"/>
  <c r="D255"/>
  <c r="F284" s="1"/>
  <c r="G284" s="1"/>
  <c r="D257"/>
  <c r="F286" s="1"/>
  <c r="G286" s="1"/>
  <c r="D259"/>
  <c r="F288" s="1"/>
  <c r="G288" s="1"/>
  <c r="D252"/>
  <c r="F281" s="1"/>
  <c r="G281" s="1"/>
  <c r="B109" i="22" a="1"/>
  <c r="B109" s="1"/>
  <c r="B158" s="1"/>
  <c r="B107" a="1"/>
  <c r="B107" s="1"/>
  <c r="B156" s="1" a="1"/>
  <c r="B156" s="1"/>
  <c r="B108" a="1"/>
  <c r="B108" s="1"/>
  <c r="B157" s="1" a="1"/>
  <c r="B157" s="1"/>
  <c r="F111" i="20"/>
  <c r="E33" i="22"/>
  <c r="E112"/>
  <c r="E155" s="1" a="1"/>
  <c r="E155" s="1"/>
  <c r="F255" s="1"/>
  <c r="E153"/>
  <c r="F246" s="1"/>
  <c r="E111"/>
  <c r="C226" i="20"/>
  <c r="C225"/>
  <c r="M195"/>
  <c r="L195"/>
  <c r="H124" a="1"/>
  <c r="H124" s="1"/>
  <c r="E107" i="22" s="1"/>
  <c r="E156" s="1"/>
  <c r="G107" i="20"/>
  <c r="F81" i="18"/>
  <c r="B81"/>
  <c r="F80"/>
  <c r="B80"/>
  <c r="F79"/>
  <c r="E264" i="22" l="1"/>
  <c r="F250"/>
  <c r="E248"/>
  <c r="F71" i="10"/>
  <c r="D12" i="21"/>
  <c r="F256" i="22"/>
  <c r="E154" a="1"/>
  <c r="E154" s="1"/>
  <c r="C232" i="20"/>
  <c r="F110"/>
  <c r="B79" i="18"/>
  <c r="F78"/>
  <c r="B78" a="1"/>
  <c r="F77"/>
  <c r="B77" a="1"/>
  <c r="F56"/>
  <c r="E265" i="22" l="1"/>
  <c r="F252"/>
  <c r="I11" i="21"/>
  <c r="G11"/>
  <c r="F70" i="10" s="1"/>
  <c r="H11" i="21"/>
  <c r="D11"/>
  <c r="A45" i="18" a="1"/>
  <c r="E266" i="22" l="1"/>
  <c r="F257"/>
  <c r="A44" i="18"/>
  <c r="B38" a="1"/>
  <c r="B37" a="1"/>
  <c r="D8"/>
  <c r="D6"/>
  <c r="E18" s="1"/>
  <c r="C301" i="13" a="1"/>
  <c r="B301" s="1"/>
  <c r="B301" a="1"/>
  <c r="A301" a="1"/>
  <c r="K300"/>
  <c r="K315" s="1"/>
  <c r="J300"/>
  <c r="J315" s="1"/>
  <c r="I300"/>
  <c r="I315" s="1"/>
  <c r="C300" a="1"/>
  <c r="A300" a="1"/>
  <c r="I298" s="1"/>
  <c r="I313" s="1"/>
  <c r="I298" a="1"/>
  <c r="B254"/>
  <c r="B253"/>
  <c r="B252"/>
  <c r="B251"/>
  <c r="B250"/>
  <c r="E210" i="17" l="1"/>
  <c r="F11" i="22"/>
  <c r="C117" a="1"/>
  <c r="C117" s="1"/>
  <c r="C166" s="1" a="1"/>
  <c r="C166" s="1"/>
  <c r="C208" s="1"/>
  <c r="C226" s="1"/>
  <c r="E137" i="20" a="1"/>
  <c r="E137" s="1"/>
  <c r="B196" s="1"/>
  <c r="B209" s="1"/>
  <c r="A300" i="13"/>
  <c r="B316"/>
  <c r="C300"/>
  <c r="C315" s="1"/>
  <c r="A301"/>
  <c r="E17" i="18" l="1"/>
  <c r="D21" s="1"/>
  <c r="E245" s="1"/>
  <c r="E103"/>
  <c r="E221" i="17"/>
  <c r="F7" i="22"/>
  <c r="E25" s="1"/>
  <c r="E103" s="1"/>
  <c r="E106" s="1" a="1"/>
  <c r="E106" s="1"/>
  <c r="B116" a="1"/>
  <c r="B116" s="1"/>
  <c r="B165" s="1" a="1"/>
  <c r="B165" s="1"/>
  <c r="B189" s="1"/>
  <c r="B207" s="1"/>
  <c r="B225" s="1"/>
  <c r="D136" i="20" a="1"/>
  <c r="D136" s="1"/>
  <c r="A195" s="1"/>
  <c r="A208" s="1"/>
  <c r="A144" i="18"/>
  <c r="A315" i="13"/>
  <c r="D137" i="20" a="1"/>
  <c r="D137" s="1"/>
  <c r="A196" s="1"/>
  <c r="A209" s="1"/>
  <c r="B117" i="22" a="1"/>
  <c r="B117" s="1"/>
  <c r="B166" s="1" a="1"/>
  <c r="B166" s="1"/>
  <c r="B190" s="1"/>
  <c r="B208" s="1"/>
  <c r="B226" s="1"/>
  <c r="A145" i="18"/>
  <c r="A159" s="1"/>
  <c r="B209" s="1"/>
  <c r="A316" i="13"/>
  <c r="D27" i="18" l="1"/>
  <c r="F30" s="1"/>
  <c r="B222"/>
  <c r="B189"/>
  <c r="D173" i="13"/>
  <c r="C173"/>
  <c r="D172"/>
  <c r="C172"/>
  <c r="B170"/>
  <c r="B169"/>
  <c r="C116"/>
  <c r="D115"/>
  <c r="D90"/>
  <c r="C90"/>
  <c r="D116" s="1"/>
  <c r="B90"/>
  <c r="D89"/>
  <c r="C89"/>
  <c r="B89"/>
  <c r="B68"/>
  <c r="C19"/>
  <c r="B19"/>
  <c r="C18"/>
  <c r="B18"/>
  <c r="C17"/>
  <c r="B17"/>
  <c r="C16"/>
  <c r="B16"/>
  <c r="C15"/>
  <c r="B15"/>
  <c r="B14"/>
  <c r="C13"/>
  <c r="B13"/>
  <c r="B12"/>
  <c r="C11"/>
  <c r="B11"/>
  <c r="F148" i="10" a="1"/>
  <c r="C148" a="1"/>
  <c r="F140" a="1"/>
  <c r="F140" s="1"/>
  <c r="C140" a="1"/>
  <c r="C140" s="1"/>
  <c r="F27" i="20" s="1"/>
  <c r="E132" i="10"/>
  <c r="E131"/>
  <c r="E130"/>
  <c r="E129"/>
  <c r="E128"/>
  <c r="E127"/>
  <c r="E126"/>
  <c r="E125"/>
  <c r="E124"/>
  <c r="D103"/>
  <c r="D97"/>
  <c r="F85"/>
  <c r="F82"/>
  <c r="D109" l="1"/>
  <c r="C148"/>
  <c r="B304" i="13" a="1"/>
  <c r="B304" s="1"/>
  <c r="B116"/>
  <c r="E115" s="1"/>
  <c r="C257"/>
  <c r="C131"/>
  <c r="B131" s="1"/>
  <c r="B306"/>
  <c r="B306" a="1"/>
  <c r="B307"/>
  <c r="B307" a="1"/>
  <c r="B308"/>
  <c r="B308" a="1"/>
  <c r="B309"/>
  <c r="B309" a="1"/>
  <c r="B310"/>
  <c r="B310" a="1"/>
  <c r="B115"/>
  <c r="A303" a="1"/>
  <c r="A303" s="1"/>
  <c r="A306" a="1"/>
  <c r="A306" s="1"/>
  <c r="A307" a="1"/>
  <c r="A307" s="1"/>
  <c r="A308" a="1"/>
  <c r="A308" s="1"/>
  <c r="A309" a="1"/>
  <c r="A309" s="1"/>
  <c r="A310" a="1"/>
  <c r="A310" s="1"/>
  <c r="E6"/>
  <c r="B30"/>
  <c r="J30" s="1"/>
  <c r="B31"/>
  <c r="J31" s="1"/>
  <c r="B32"/>
  <c r="B76" s="1"/>
  <c r="C34"/>
  <c r="C35"/>
  <c r="B36"/>
  <c r="B80" s="1"/>
  <c r="B37"/>
  <c r="J37" s="1"/>
  <c r="C38"/>
  <c r="F99" i="10"/>
  <c r="F25" i="20"/>
  <c r="B25" s="1"/>
  <c r="A302" i="13" a="1"/>
  <c r="C301" s="1"/>
  <c r="C316" s="1"/>
  <c r="A304" a="1"/>
  <c r="A304" s="1"/>
  <c r="A305" a="1"/>
  <c r="A305" s="1"/>
  <c r="G143" i="10"/>
  <c r="C30" i="13"/>
  <c r="C32"/>
  <c r="B33"/>
  <c r="J33" s="1"/>
  <c r="B34"/>
  <c r="B35"/>
  <c r="J35" s="1"/>
  <c r="C36"/>
  <c r="C37"/>
  <c r="B38"/>
  <c r="J38" s="1"/>
  <c r="G65" i="10"/>
  <c r="F62"/>
  <c r="C143" l="1"/>
  <c r="F87" i="20" s="1"/>
  <c r="F88" s="1"/>
  <c r="F89"/>
  <c r="B120" i="22" a="1"/>
  <c r="B120" s="1"/>
  <c r="B169" s="1" a="1"/>
  <c r="B169" s="1"/>
  <c r="B193" s="1"/>
  <c r="B211" s="1"/>
  <c r="B229" s="1"/>
  <c r="D140" i="20" a="1"/>
  <c r="D140" s="1"/>
  <c r="A199" s="1"/>
  <c r="A212" s="1"/>
  <c r="A148" i="18"/>
  <c r="D145" i="20" a="1"/>
  <c r="D145" s="1"/>
  <c r="A204" s="1"/>
  <c r="A217" s="1"/>
  <c r="B125" i="22" a="1"/>
  <c r="B125" s="1"/>
  <c r="B174" s="1" a="1"/>
  <c r="B174" s="1"/>
  <c r="B198" s="1"/>
  <c r="B216" s="1"/>
  <c r="B234" s="1"/>
  <c r="A153" i="18"/>
  <c r="D143" i="20" a="1"/>
  <c r="D143" s="1"/>
  <c r="A202" s="1"/>
  <c r="A215" s="1"/>
  <c r="B123" i="22" a="1"/>
  <c r="B123" s="1"/>
  <c r="B172" s="1" a="1"/>
  <c r="B172" s="1"/>
  <c r="B196" s="1"/>
  <c r="B214" s="1"/>
  <c r="B232" s="1"/>
  <c r="A151" i="18"/>
  <c r="D139" i="20" a="1"/>
  <c r="D139" s="1"/>
  <c r="A198" s="1"/>
  <c r="A211" s="1"/>
  <c r="B119" i="22" a="1"/>
  <c r="B119" s="1"/>
  <c r="B168" s="1" a="1"/>
  <c r="B168" s="1"/>
  <c r="B192" s="1"/>
  <c r="B210" s="1"/>
  <c r="B228" s="1"/>
  <c r="A147" i="18"/>
  <c r="D141" i="20" a="1"/>
  <c r="D141" s="1"/>
  <c r="A200" s="1"/>
  <c r="A213" s="1"/>
  <c r="B121" i="22" a="1"/>
  <c r="B121" s="1"/>
  <c r="B170" s="1" a="1"/>
  <c r="B170" s="1"/>
  <c r="B194" s="1"/>
  <c r="B212" s="1"/>
  <c r="B230" s="1"/>
  <c r="A149" i="18"/>
  <c r="B126" i="22" a="1"/>
  <c r="B126" s="1"/>
  <c r="B175" s="1" a="1"/>
  <c r="B175" s="1"/>
  <c r="B199" s="1"/>
  <c r="B217" s="1"/>
  <c r="B235" s="1"/>
  <c r="D146" i="20" a="1"/>
  <c r="D146" s="1"/>
  <c r="A205" s="1"/>
  <c r="A218" s="1"/>
  <c r="A154" i="18"/>
  <c r="B124" i="22" a="1"/>
  <c r="B124" s="1"/>
  <c r="B173" s="1" a="1"/>
  <c r="B173" s="1"/>
  <c r="B197" s="1"/>
  <c r="B215" s="1"/>
  <c r="B233" s="1"/>
  <c r="D144" i="20" a="1"/>
  <c r="D144" s="1"/>
  <c r="A203" s="1"/>
  <c r="A216" s="1"/>
  <c r="A152" i="18"/>
  <c r="B122" i="22" a="1"/>
  <c r="B122" s="1"/>
  <c r="B171" s="1" a="1"/>
  <c r="B171" s="1"/>
  <c r="B195" s="1"/>
  <c r="B213" s="1"/>
  <c r="B231" s="1"/>
  <c r="D142" i="20" a="1"/>
  <c r="D142" s="1"/>
  <c r="A201" s="1"/>
  <c r="A214" s="1"/>
  <c r="A150" i="18"/>
  <c r="C120" i="22" a="1"/>
  <c r="C120" s="1"/>
  <c r="E140" i="20" a="1"/>
  <c r="E140" s="1"/>
  <c r="B199" s="1"/>
  <c r="B212" s="1"/>
  <c r="B130" i="13"/>
  <c r="C126" i="22" a="1"/>
  <c r="C126" s="1"/>
  <c r="E146" i="20" a="1"/>
  <c r="E146" s="1"/>
  <c r="B205" s="1"/>
  <c r="B218" s="1"/>
  <c r="C125" i="22" a="1"/>
  <c r="C125" s="1"/>
  <c r="E145" i="20" a="1"/>
  <c r="E145" s="1"/>
  <c r="B204" s="1"/>
  <c r="B217" s="1"/>
  <c r="C124" i="22" a="1"/>
  <c r="C124" s="1"/>
  <c r="E144" i="20" a="1"/>
  <c r="E144" s="1"/>
  <c r="B203" s="1"/>
  <c r="B216" s="1"/>
  <c r="C123" i="22" a="1"/>
  <c r="C123" s="1"/>
  <c r="E143" i="20" a="1"/>
  <c r="E143" s="1"/>
  <c r="B202" s="1"/>
  <c r="B215" s="1"/>
  <c r="C122" i="22" a="1"/>
  <c r="C122" s="1"/>
  <c r="E142" i="20" a="1"/>
  <c r="E142" s="1"/>
  <c r="B201" s="1"/>
  <c r="B214" s="1"/>
  <c r="C209" i="18"/>
  <c r="A302" i="13"/>
  <c r="F92" i="10"/>
  <c r="C123"/>
  <c r="F105"/>
  <c r="K35" i="13"/>
  <c r="C79"/>
  <c r="C81"/>
  <c r="K37"/>
  <c r="C74"/>
  <c r="B74" s="1"/>
  <c r="K30"/>
  <c r="K36"/>
  <c r="J36" s="1"/>
  <c r="C80"/>
  <c r="C123" s="1"/>
  <c r="C138" s="1"/>
  <c r="B78"/>
  <c r="C76"/>
  <c r="C119" s="1"/>
  <c r="C134" s="1"/>
  <c r="K32"/>
  <c r="J32" s="1"/>
  <c r="K38"/>
  <c r="C82"/>
  <c r="C78"/>
  <c r="C121" s="1"/>
  <c r="C136" s="1"/>
  <c r="K34"/>
  <c r="J34" s="1"/>
  <c r="E68"/>
  <c r="F52" i="10"/>
  <c r="F51"/>
  <c r="F50"/>
  <c r="G48"/>
  <c r="D87" i="13" s="1"/>
  <c r="F48" i="10"/>
  <c r="F10" i="22" s="1"/>
  <c r="G47" i="10"/>
  <c r="F47"/>
  <c r="E69" i="13" s="1"/>
  <c r="B46" i="10"/>
  <c r="B45"/>
  <c r="C111" i="20" l="1"/>
  <c r="H111" s="1"/>
  <c r="E112" s="1"/>
  <c r="K260" i="17" a="1"/>
  <c r="K260" s="1"/>
  <c r="D155" i="20" a="1"/>
  <c r="D155" s="1"/>
  <c r="E4" a="1"/>
  <c r="F45" i="10"/>
  <c r="A6" i="22" a="1"/>
  <c r="A6" s="1"/>
  <c r="D185" i="20" a="1"/>
  <c r="D185" s="1"/>
  <c r="D184" a="1"/>
  <c r="D184" s="1"/>
  <c r="C223" s="1"/>
  <c r="K112"/>
  <c r="H110"/>
  <c r="C222" i="18"/>
  <c r="C189"/>
  <c r="C169" i="22" a="1"/>
  <c r="C169" s="1"/>
  <c r="G120"/>
  <c r="B118" a="1"/>
  <c r="B118" s="1"/>
  <c r="B167" s="1" a="1"/>
  <c r="B167" s="1"/>
  <c r="B191" s="1"/>
  <c r="B209" s="1"/>
  <c r="B227" s="1"/>
  <c r="D138" i="20" a="1"/>
  <c r="D138" s="1"/>
  <c r="A197" s="1"/>
  <c r="A210" s="1"/>
  <c r="A146" i="18"/>
  <c r="C171" i="22" a="1"/>
  <c r="C171" s="1"/>
  <c r="G122"/>
  <c r="C172" a="1"/>
  <c r="C172" s="1"/>
  <c r="G123"/>
  <c r="C173" a="1"/>
  <c r="C173" s="1"/>
  <c r="G124"/>
  <c r="C174" a="1"/>
  <c r="C174" s="1"/>
  <c r="G125"/>
  <c r="C175" a="1"/>
  <c r="C175" s="1"/>
  <c r="G126"/>
  <c r="H4" i="20"/>
  <c r="F6" s="1"/>
  <c r="C125" i="10"/>
  <c r="I25" i="13"/>
  <c r="F83" i="10"/>
  <c r="F26" i="20" a="1"/>
  <c r="F26" s="1"/>
  <c r="E80" i="18"/>
  <c r="D86" i="13"/>
  <c r="F49" i="10"/>
  <c r="C127" s="1"/>
  <c r="C128"/>
  <c r="B82" i="13"/>
  <c r="C125"/>
  <c r="D138"/>
  <c r="E138"/>
  <c r="B79"/>
  <c r="C122"/>
  <c r="C137" s="1"/>
  <c r="C130" i="10"/>
  <c r="C132"/>
  <c r="C129"/>
  <c r="D136" i="13"/>
  <c r="E136"/>
  <c r="E134"/>
  <c r="D134" s="1"/>
  <c r="B81"/>
  <c r="C124"/>
  <c r="C139" s="1"/>
  <c r="E70"/>
  <c r="E270" i="17"/>
  <c r="E269" a="1"/>
  <c r="K264" a="1"/>
  <c r="K263" a="1"/>
  <c r="O262"/>
  <c r="K262" a="1"/>
  <c r="O260"/>
  <c r="O267" s="1"/>
  <c r="A243" a="1"/>
  <c r="J3" i="21" l="1"/>
  <c r="G155" i="20"/>
  <c r="G159" s="1"/>
  <c r="E269" i="17"/>
  <c r="C211" i="22"/>
  <c r="C229" s="1"/>
  <c r="D229" s="1"/>
  <c r="F169"/>
  <c r="G169" s="1"/>
  <c r="D169"/>
  <c r="C217"/>
  <c r="C235" s="1"/>
  <c r="D235" s="1"/>
  <c r="D175"/>
  <c r="F175"/>
  <c r="G175" s="1"/>
  <c r="C216"/>
  <c r="C234" s="1"/>
  <c r="D234" s="1"/>
  <c r="D174"/>
  <c r="F174"/>
  <c r="G174" s="1"/>
  <c r="C215"/>
  <c r="C233" s="1"/>
  <c r="D233" s="1"/>
  <c r="D173"/>
  <c r="F173"/>
  <c r="G173" s="1"/>
  <c r="C214"/>
  <c r="C232" s="1"/>
  <c r="D232" s="1"/>
  <c r="D172"/>
  <c r="F172"/>
  <c r="G172" s="1"/>
  <c r="C213"/>
  <c r="C231" s="1"/>
  <c r="D231" s="1"/>
  <c r="D171"/>
  <c r="F171"/>
  <c r="G171" s="1"/>
  <c r="K262" i="17"/>
  <c r="E139" i="13"/>
  <c r="D139"/>
  <c r="E137"/>
  <c r="D137"/>
  <c r="E4" i="20"/>
  <c r="B31" s="1"/>
  <c r="C86" s="1"/>
  <c r="F31"/>
  <c r="F86" s="1"/>
  <c r="F94" s="1"/>
  <c r="F95" s="1"/>
  <c r="F96" s="1"/>
  <c r="C140" i="13"/>
  <c r="I233" i="17"/>
  <c r="B104" i="18" s="1"/>
  <c r="F233" i="17"/>
  <c r="E233"/>
  <c r="A233" a="1"/>
  <c r="B225"/>
  <c r="E224"/>
  <c r="B224"/>
  <c r="A234" s="1"/>
  <c r="E223"/>
  <c r="B223"/>
  <c r="E222"/>
  <c r="B222"/>
  <c r="B221"/>
  <c r="B214"/>
  <c r="E213"/>
  <c r="B213"/>
  <c r="E212"/>
  <c r="E227" s="1"/>
  <c r="B212"/>
  <c r="B211"/>
  <c r="B105" i="18" s="1"/>
  <c r="B209" i="17"/>
  <c r="D201"/>
  <c r="D200"/>
  <c r="D199"/>
  <c r="D198"/>
  <c r="D197"/>
  <c r="D196"/>
  <c r="D195"/>
  <c r="D194"/>
  <c r="H191"/>
  <c r="G191"/>
  <c r="F191"/>
  <c r="E234" l="1"/>
  <c r="F234"/>
  <c r="B227"/>
  <c r="J99" i="20"/>
  <c r="A233" i="17"/>
  <c r="D140" i="13"/>
  <c r="E140"/>
  <c r="M108" i="17" l="1"/>
  <c r="L108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K97"/>
  <c r="J97"/>
  <c r="I97"/>
  <c r="H97"/>
  <c r="G97"/>
  <c r="E97"/>
  <c r="D97"/>
  <c r="B97"/>
  <c r="K96"/>
  <c r="J96"/>
  <c r="I96"/>
  <c r="H96"/>
  <c r="G96"/>
  <c r="D96"/>
  <c r="K95"/>
  <c r="J95"/>
  <c r="I95"/>
  <c r="K66"/>
  <c r="L66" s="1"/>
  <c r="B66"/>
  <c r="A66"/>
  <c r="K64"/>
  <c r="L64" s="1"/>
  <c r="B64"/>
  <c r="A64"/>
  <c r="K63"/>
  <c r="A63"/>
  <c r="K62"/>
  <c r="L62" s="1"/>
  <c r="B62"/>
  <c r="A62"/>
  <c r="K61"/>
  <c r="B61"/>
  <c r="A61"/>
  <c r="K60"/>
  <c r="A60"/>
  <c r="K59"/>
  <c r="B59"/>
  <c r="A59"/>
  <c r="K58"/>
  <c r="B58"/>
  <c r="A58"/>
  <c r="K57"/>
  <c r="B57"/>
  <c r="A57"/>
  <c r="K56"/>
  <c r="L56" s="1"/>
  <c r="B56"/>
  <c r="A56"/>
  <c r="L39"/>
  <c r="K39"/>
  <c r="J39"/>
  <c r="I39" a="1"/>
  <c r="F39"/>
  <c r="L37"/>
  <c r="J64" s="1"/>
  <c r="I37" a="1"/>
  <c r="F37"/>
  <c r="L36"/>
  <c r="J63" s="1"/>
  <c r="K36"/>
  <c r="I63" s="1"/>
  <c r="J36"/>
  <c r="I36" a="1"/>
  <c r="H36" a="1"/>
  <c r="G36"/>
  <c r="G37" s="1"/>
  <c r="F36"/>
  <c r="H13" s="1"/>
  <c r="D36"/>
  <c r="L35"/>
  <c r="J62" s="1"/>
  <c r="K35"/>
  <c r="I62" s="1"/>
  <c r="J35"/>
  <c r="I35" a="1"/>
  <c r="G35"/>
  <c r="E62" s="1"/>
  <c r="D62" s="1"/>
  <c r="F35"/>
  <c r="L34"/>
  <c r="J61" s="1"/>
  <c r="K34"/>
  <c r="I61" s="1"/>
  <c r="J34"/>
  <c r="I34" a="1"/>
  <c r="H34" a="1"/>
  <c r="G34"/>
  <c r="E61" s="1"/>
  <c r="F34"/>
  <c r="H11" s="1"/>
  <c r="L33"/>
  <c r="J60" s="1"/>
  <c r="K33"/>
  <c r="I60" s="1"/>
  <c r="J33"/>
  <c r="I33" a="1"/>
  <c r="H33" a="1"/>
  <c r="G33"/>
  <c r="E60" s="1"/>
  <c r="F33"/>
  <c r="D60" s="1"/>
  <c r="D33"/>
  <c r="L32"/>
  <c r="J59" s="1"/>
  <c r="K32"/>
  <c r="I59" s="1"/>
  <c r="J32"/>
  <c r="I32" a="1"/>
  <c r="H32" s="1"/>
  <c r="H32" a="1"/>
  <c r="G32"/>
  <c r="E59" s="1"/>
  <c r="F32"/>
  <c r="L31"/>
  <c r="J58" s="1"/>
  <c r="K31"/>
  <c r="I58" s="1"/>
  <c r="J31"/>
  <c r="I31" a="1"/>
  <c r="H31" a="1"/>
  <c r="G31"/>
  <c r="F31"/>
  <c r="H8" s="1"/>
  <c r="L30"/>
  <c r="J57" s="1"/>
  <c r="K30"/>
  <c r="I57" s="1"/>
  <c r="J30"/>
  <c r="H57" s="1"/>
  <c r="I30" a="1"/>
  <c r="H30" s="1"/>
  <c r="H30" a="1"/>
  <c r="G30"/>
  <c r="E57" s="1"/>
  <c r="F30"/>
  <c r="L29"/>
  <c r="J56" s="1"/>
  <c r="K29"/>
  <c r="I56" s="1"/>
  <c r="J29"/>
  <c r="I29" a="1"/>
  <c r="H29" a="1"/>
  <c r="G29"/>
  <c r="E56" s="1"/>
  <c r="F29"/>
  <c r="H6" s="1"/>
  <c r="H16"/>
  <c r="E16"/>
  <c r="D16"/>
  <c r="H14"/>
  <c r="E14"/>
  <c r="D14"/>
  <c r="E13"/>
  <c r="D13"/>
  <c r="H12"/>
  <c r="E12"/>
  <c r="D12"/>
  <c r="E11"/>
  <c r="D11"/>
  <c r="D10"/>
  <c r="I9"/>
  <c r="H9"/>
  <c r="E9"/>
  <c r="D9"/>
  <c r="E8"/>
  <c r="D8"/>
  <c r="I7"/>
  <c r="H7"/>
  <c r="E7"/>
  <c r="D7"/>
  <c r="E6"/>
  <c r="D6"/>
  <c r="A4" i="21" a="1"/>
  <c r="A3" a="1"/>
  <c r="H2"/>
  <c r="G2"/>
  <c r="D187" i="20" s="1"/>
  <c r="F2" i="21"/>
  <c r="V291" i="16"/>
  <c r="U291"/>
  <c r="S291"/>
  <c r="R291"/>
  <c r="N291"/>
  <c r="V290"/>
  <c r="U290"/>
  <c r="S290"/>
  <c r="R290"/>
  <c r="N290"/>
  <c r="V289" s="1"/>
  <c r="U289" s="1"/>
  <c r="S289"/>
  <c r="R289"/>
  <c r="N289"/>
  <c r="V288" s="1"/>
  <c r="U288"/>
  <c r="S288"/>
  <c r="R288"/>
  <c r="N288"/>
  <c r="V287"/>
  <c r="U287" s="1"/>
  <c r="S287"/>
  <c r="R287"/>
  <c r="N287"/>
  <c r="V286"/>
  <c r="U286"/>
  <c r="S286"/>
  <c r="R286"/>
  <c r="N286"/>
  <c r="V285" s="1"/>
  <c r="U285" s="1"/>
  <c r="S285"/>
  <c r="R285" s="1"/>
  <c r="N285"/>
  <c r="V284" s="1"/>
  <c r="U284" s="1"/>
  <c r="S284"/>
  <c r="R284" s="1"/>
  <c r="N284"/>
  <c r="V283" s="1"/>
  <c r="U283" s="1"/>
  <c r="S283"/>
  <c r="R283"/>
  <c r="N283"/>
  <c r="V282" s="1"/>
  <c r="U282"/>
  <c r="S282"/>
  <c r="R282"/>
  <c r="N282"/>
  <c r="V281" s="1"/>
  <c r="U281" s="1"/>
  <c r="S281" s="1"/>
  <c r="R281" s="1"/>
  <c r="Q281" s="1"/>
  <c r="N280"/>
  <c r="V279"/>
  <c r="U279"/>
  <c r="S279"/>
  <c r="R279"/>
  <c r="Q279"/>
  <c r="N279"/>
  <c r="V278"/>
  <c r="U278"/>
  <c r="S278"/>
  <c r="R278"/>
  <c r="Q278"/>
  <c r="N278"/>
  <c r="V277"/>
  <c r="U277"/>
  <c r="S277"/>
  <c r="R277"/>
  <c r="Q277" s="1"/>
  <c r="N277"/>
  <c r="E277"/>
  <c r="C277" s="1"/>
  <c r="B277"/>
  <c r="V276"/>
  <c r="U276"/>
  <c r="S276"/>
  <c r="R276"/>
  <c r="Q276"/>
  <c r="N276"/>
  <c r="E276"/>
  <c r="C276" s="1"/>
  <c r="B276"/>
  <c r="V275"/>
  <c r="U275"/>
  <c r="S275"/>
  <c r="R275"/>
  <c r="Q275" s="1"/>
  <c r="N275"/>
  <c r="E275"/>
  <c r="C275" s="1"/>
  <c r="B275"/>
  <c r="V274" s="1"/>
  <c r="U274" s="1"/>
  <c r="S274"/>
  <c r="R274" s="1"/>
  <c r="Q274"/>
  <c r="N274"/>
  <c r="E274"/>
  <c r="C274" s="1"/>
  <c r="B274"/>
  <c r="V273" s="1"/>
  <c r="U273" s="1"/>
  <c r="S273"/>
  <c r="R273" s="1"/>
  <c r="Q273" s="1"/>
  <c r="N273"/>
  <c r="C273"/>
  <c r="B273"/>
  <c r="V272"/>
  <c r="U272"/>
  <c r="S272"/>
  <c r="R272"/>
  <c r="Q272"/>
  <c r="N272"/>
  <c r="V271"/>
  <c r="U271"/>
  <c r="S271"/>
  <c r="R271"/>
  <c r="Q271"/>
  <c r="N271"/>
  <c r="V270"/>
  <c r="U270"/>
  <c r="S270"/>
  <c r="R270"/>
  <c r="Q270"/>
  <c r="N269"/>
  <c r="M264"/>
  <c r="A264"/>
  <c r="T263" s="1"/>
  <c r="S263"/>
  <c r="R263"/>
  <c r="H263" s="1"/>
  <c r="G263"/>
  <c r="F263"/>
  <c r="T262" s="1"/>
  <c r="S262"/>
  <c r="R262"/>
  <c r="O262"/>
  <c r="H262"/>
  <c r="G262"/>
  <c r="F262"/>
  <c r="M261"/>
  <c r="A261"/>
  <c r="U257"/>
  <c r="I257"/>
  <c r="U256"/>
  <c r="I256"/>
  <c r="X255"/>
  <c r="W255" s="1"/>
  <c r="V255" s="1"/>
  <c r="U255"/>
  <c r="N255" s="1"/>
  <c r="M255" s="1"/>
  <c r="L255" s="1"/>
  <c r="K255"/>
  <c r="J255"/>
  <c r="I255"/>
  <c r="B255"/>
  <c r="A255"/>
  <c r="B243" s="1"/>
  <c r="K240" s="1"/>
  <c r="J240" s="1"/>
  <c r="M231"/>
  <c r="A231"/>
  <c r="T230" s="1"/>
  <c r="S230"/>
  <c r="R230"/>
  <c r="H230" s="1"/>
  <c r="G230"/>
  <c r="F230"/>
  <c r="T229" s="1"/>
  <c r="S229"/>
  <c r="R229"/>
  <c r="N229"/>
  <c r="H229" s="1"/>
  <c r="G229"/>
  <c r="F229"/>
  <c r="B229"/>
  <c r="M228"/>
  <c r="A228"/>
  <c r="U224"/>
  <c r="I224"/>
  <c r="U223"/>
  <c r="I223"/>
  <c r="X222"/>
  <c r="W222" s="1"/>
  <c r="V222" s="1"/>
  <c r="U222"/>
  <c r="N222" s="1"/>
  <c r="M222" s="1"/>
  <c r="L222" s="1"/>
  <c r="K222"/>
  <c r="J222"/>
  <c r="I222"/>
  <c r="B222"/>
  <c r="A222"/>
  <c r="M198"/>
  <c r="A198"/>
  <c r="T196" s="1"/>
  <c r="S196"/>
  <c r="R196"/>
  <c r="N196"/>
  <c r="H196" s="1"/>
  <c r="G196"/>
  <c r="F196"/>
  <c r="M195"/>
  <c r="A195"/>
  <c r="U191"/>
  <c r="I191"/>
  <c r="U190"/>
  <c r="I190"/>
  <c r="X189"/>
  <c r="W189" s="1"/>
  <c r="V189" s="1"/>
  <c r="U189"/>
  <c r="N189"/>
  <c r="M189" s="1"/>
  <c r="L189" s="1"/>
  <c r="K189"/>
  <c r="J189"/>
  <c r="I189"/>
  <c r="B189"/>
  <c r="A189"/>
  <c r="M165"/>
  <c r="A165"/>
  <c r="T163" s="1"/>
  <c r="S163"/>
  <c r="R163"/>
  <c r="N163"/>
  <c r="H163" s="1"/>
  <c r="G163"/>
  <c r="F163"/>
  <c r="M162"/>
  <c r="A162"/>
  <c r="U158"/>
  <c r="I158" s="1"/>
  <c r="U157"/>
  <c r="I157"/>
  <c r="X156"/>
  <c r="W156" s="1"/>
  <c r="V156" s="1"/>
  <c r="U156"/>
  <c r="N156"/>
  <c r="M156" s="1"/>
  <c r="L156" s="1"/>
  <c r="K156"/>
  <c r="J156"/>
  <c r="I156"/>
  <c r="B156"/>
  <c r="A156"/>
  <c r="A129"/>
  <c r="H127" s="1"/>
  <c r="G127"/>
  <c r="F127"/>
  <c r="B127"/>
  <c r="A126"/>
  <c r="T123" s="1"/>
  <c r="S123"/>
  <c r="R123"/>
  <c r="M123"/>
  <c r="U122" s="1"/>
  <c r="T122" a="1"/>
  <c r="S122" s="1"/>
  <c r="R122"/>
  <c r="N122"/>
  <c r="I122"/>
  <c r="I121"/>
  <c r="M120"/>
  <c r="L120" s="1"/>
  <c r="K120"/>
  <c r="J120"/>
  <c r="I120"/>
  <c r="B120"/>
  <c r="A120"/>
  <c r="U116"/>
  <c r="U115"/>
  <c r="X114"/>
  <c r="W114" s="1"/>
  <c r="V114" s="1"/>
  <c r="U114"/>
  <c r="N114"/>
  <c r="M114" s="1"/>
  <c r="A99"/>
  <c r="T98" s="1"/>
  <c r="S98"/>
  <c r="R98"/>
  <c r="M98"/>
  <c r="H98" s="1"/>
  <c r="G98"/>
  <c r="F98"/>
  <c r="T97"/>
  <c r="S97"/>
  <c r="R97"/>
  <c r="N97"/>
  <c r="H97" s="1"/>
  <c r="G97"/>
  <c r="F97"/>
  <c r="B97"/>
  <c r="A96"/>
  <c r="M95"/>
  <c r="I92"/>
  <c r="U91"/>
  <c r="I91"/>
  <c r="U90"/>
  <c r="L90" s="1"/>
  <c r="I90"/>
  <c r="A90"/>
  <c r="X89" s="1"/>
  <c r="W89"/>
  <c r="V89"/>
  <c r="U89"/>
  <c r="N89"/>
  <c r="M89"/>
  <c r="I64" s="1"/>
  <c r="H64"/>
  <c r="G64"/>
  <c r="T63"/>
  <c r="S63"/>
  <c r="R63"/>
  <c r="M63"/>
  <c r="I63"/>
  <c r="G63"/>
  <c r="T62"/>
  <c r="S62" s="1"/>
  <c r="R62"/>
  <c r="M60"/>
  <c r="I57"/>
  <c r="F57"/>
  <c r="U56" s="1"/>
  <c r="R56" s="1"/>
  <c r="I56"/>
  <c r="F56"/>
  <c r="U55"/>
  <c r="R55"/>
  <c r="L55" s="1"/>
  <c r="K55"/>
  <c r="J55"/>
  <c r="I55"/>
  <c r="B55"/>
  <c r="A55"/>
  <c r="X54"/>
  <c r="W54" s="1"/>
  <c r="V54" s="1"/>
  <c r="U54"/>
  <c r="N54"/>
  <c r="M54" s="1"/>
  <c r="I370" i="7" s="1"/>
  <c r="G370" s="1"/>
  <c r="E359"/>
  <c r="D359"/>
  <c r="C359"/>
  <c r="B359" s="1"/>
  <c r="C357"/>
  <c r="I350" s="1"/>
  <c r="G350" s="1"/>
  <c r="E339"/>
  <c r="D339" s="1"/>
  <c r="C339" s="1"/>
  <c r="B339" s="1"/>
  <c r="C337"/>
  <c r="I327" s="1"/>
  <c r="G327" s="1"/>
  <c r="H316"/>
  <c r="G316"/>
  <c r="F316"/>
  <c r="E316"/>
  <c r="D316"/>
  <c r="C316" s="1"/>
  <c r="B316" s="1"/>
  <c r="C314" s="1"/>
  <c r="I308" s="1"/>
  <c r="G308" s="1"/>
  <c r="I297"/>
  <c r="H297"/>
  <c r="G297"/>
  <c r="F297"/>
  <c r="E297"/>
  <c r="D297" s="1"/>
  <c r="C297" s="1"/>
  <c r="B297" s="1"/>
  <c r="C295"/>
  <c r="H280"/>
  <c r="G280"/>
  <c r="F280"/>
  <c r="E280"/>
  <c r="B280"/>
  <c r="H279"/>
  <c r="G279"/>
  <c r="F279"/>
  <c r="E279"/>
  <c r="B279"/>
  <c r="H278"/>
  <c r="G278"/>
  <c r="F278"/>
  <c r="E278"/>
  <c r="B278"/>
  <c r="H277"/>
  <c r="G277"/>
  <c r="F277"/>
  <c r="E277"/>
  <c r="B277"/>
  <c r="H276"/>
  <c r="G276"/>
  <c r="F276"/>
  <c r="E276"/>
  <c r="B276"/>
  <c r="H275"/>
  <c r="G275"/>
  <c r="F275"/>
  <c r="E275"/>
  <c r="B275"/>
  <c r="H274"/>
  <c r="G274"/>
  <c r="F274"/>
  <c r="E274"/>
  <c r="B274"/>
  <c r="H273"/>
  <c r="G273"/>
  <c r="F273"/>
  <c r="E273"/>
  <c r="B273"/>
  <c r="H272"/>
  <c r="G272"/>
  <c r="F272"/>
  <c r="E272"/>
  <c r="K267"/>
  <c r="G267"/>
  <c r="L266"/>
  <c r="K266"/>
  <c r="J266"/>
  <c r="I266"/>
  <c r="H266"/>
  <c r="G266"/>
  <c r="F266"/>
  <c r="F261" s="1"/>
  <c r="K260"/>
  <c r="G260"/>
  <c r="L259"/>
  <c r="K259"/>
  <c r="J259"/>
  <c r="I259"/>
  <c r="H259"/>
  <c r="G259"/>
  <c r="F259"/>
  <c r="F254" s="1"/>
  <c r="F224"/>
  <c r="E224"/>
  <c r="A224"/>
  <c r="F223"/>
  <c r="E223"/>
  <c r="A223"/>
  <c r="F222"/>
  <c r="E222"/>
  <c r="A222"/>
  <c r="F221"/>
  <c r="E221"/>
  <c r="A221"/>
  <c r="F220"/>
  <c r="E220"/>
  <c r="A220"/>
  <c r="F219"/>
  <c r="E219"/>
  <c r="A219"/>
  <c r="F218" s="1"/>
  <c r="E218"/>
  <c r="A218"/>
  <c r="F217"/>
  <c r="E217"/>
  <c r="A217"/>
  <c r="F216"/>
  <c r="E216" s="1"/>
  <c r="B216"/>
  <c r="A216"/>
  <c r="F213"/>
  <c r="E213"/>
  <c r="D213" s="1"/>
  <c r="C213" s="1"/>
  <c r="L212"/>
  <c r="L179"/>
  <c r="K179"/>
  <c r="H179"/>
  <c r="L178"/>
  <c r="K178"/>
  <c r="H178"/>
  <c r="L177"/>
  <c r="K177"/>
  <c r="H177"/>
  <c r="L176"/>
  <c r="K176"/>
  <c r="H176"/>
  <c r="L175"/>
  <c r="K175"/>
  <c r="H175"/>
  <c r="L174"/>
  <c r="K174"/>
  <c r="H174"/>
  <c r="L173"/>
  <c r="K173"/>
  <c r="H173"/>
  <c r="L172"/>
  <c r="K172"/>
  <c r="L171"/>
  <c r="K171"/>
  <c r="H171"/>
  <c r="D171"/>
  <c r="C171"/>
  <c r="L170" s="1"/>
  <c r="K170" s="1"/>
  <c r="D170"/>
  <c r="C170"/>
  <c r="D169"/>
  <c r="C169"/>
  <c r="J168" s="1"/>
  <c r="I168" s="1"/>
  <c r="D168" s="1"/>
  <c r="C168" s="1"/>
  <c r="J122"/>
  <c r="I122"/>
  <c r="J121"/>
  <c r="I121"/>
  <c r="J120"/>
  <c r="I120"/>
  <c r="F119" s="1"/>
  <c r="E119" s="1"/>
  <c r="D119" s="1"/>
  <c r="C119" s="1"/>
  <c r="H101"/>
  <c r="G101"/>
  <c r="F101"/>
  <c r="E101"/>
  <c r="D101"/>
  <c r="C101"/>
  <c r="L86"/>
  <c r="K86"/>
  <c r="J86"/>
  <c r="I86"/>
  <c r="H86"/>
  <c r="G86"/>
  <c r="F86"/>
  <c r="E86"/>
  <c r="D86" s="1"/>
  <c r="C86" s="1"/>
  <c r="G63"/>
  <c r="D62"/>
  <c r="D61"/>
  <c r="K59"/>
  <c r="D58"/>
  <c r="B58"/>
  <c r="G56"/>
  <c r="L51"/>
  <c r="K51"/>
  <c r="F29"/>
  <c r="D29"/>
  <c r="F28"/>
  <c r="D28"/>
  <c r="F27"/>
  <c r="D27"/>
  <c r="F26"/>
  <c r="D26"/>
  <c r="F25"/>
  <c r="D25"/>
  <c r="F24"/>
  <c r="D24"/>
  <c r="F23"/>
  <c r="D23"/>
  <c r="F22"/>
  <c r="D22"/>
  <c r="C22"/>
  <c r="F10"/>
  <c r="D10"/>
  <c r="C10"/>
  <c r="N8"/>
  <c r="L8"/>
  <c r="E43" i="6" s="1"/>
  <c r="C43"/>
  <c r="E42" s="1"/>
  <c r="C42"/>
  <c r="E41" s="1"/>
  <c r="C41"/>
  <c r="E40" s="1"/>
  <c r="C40"/>
  <c r="E39" s="1"/>
  <c r="C39"/>
  <c r="H38"/>
  <c r="E38" s="1"/>
  <c r="C38"/>
  <c r="E37"/>
  <c r="E36"/>
  <c r="C36"/>
  <c r="E31" s="1"/>
  <c r="C31"/>
  <c r="E30" s="1"/>
  <c r="C30"/>
  <c r="E29" s="1"/>
  <c r="C29"/>
  <c r="E28" s="1"/>
  <c r="C28"/>
  <c r="H27" s="1"/>
  <c r="E27" s="1"/>
  <c r="C27"/>
  <c r="E26" s="1"/>
  <c r="C26"/>
  <c r="E25"/>
  <c r="E24"/>
  <c r="C95" i="18" a="1"/>
  <c r="C95" s="1"/>
  <c r="A4" i="21" l="1"/>
  <c r="I29" i="17"/>
  <c r="H98" s="1"/>
  <c r="D57"/>
  <c r="D99" s="1"/>
  <c r="B99" s="1"/>
  <c r="A99" s="1"/>
  <c r="D59"/>
  <c r="D101" s="1"/>
  <c r="B101" s="1"/>
  <c r="A101" s="1"/>
  <c r="I34"/>
  <c r="I36"/>
  <c r="H105" s="1"/>
  <c r="D56"/>
  <c r="H31"/>
  <c r="I8" s="1"/>
  <c r="I33"/>
  <c r="M33" s="1"/>
  <c r="D61"/>
  <c r="D103" s="1"/>
  <c r="B103" s="1"/>
  <c r="A103" s="1"/>
  <c r="K37"/>
  <c r="I64" s="1"/>
  <c r="B62" i="7"/>
  <c r="B60"/>
  <c r="L59" s="1"/>
  <c r="D63"/>
  <c r="E63" s="1"/>
  <c r="G10"/>
  <c r="C12"/>
  <c r="C13"/>
  <c r="C11"/>
  <c r="C14"/>
  <c r="E22"/>
  <c r="C23"/>
  <c r="I59"/>
  <c r="D60"/>
  <c r="C60" s="1"/>
  <c r="C62"/>
  <c r="E62"/>
  <c r="G39" i="17"/>
  <c r="E64"/>
  <c r="D64" s="1"/>
  <c r="E10" i="7"/>
  <c r="B63"/>
  <c r="A3" i="21"/>
  <c r="F35" i="20"/>
  <c r="F36" s="1"/>
  <c r="F37" s="1"/>
  <c r="J169" i="7"/>
  <c r="I169" s="1"/>
  <c r="J170"/>
  <c r="I170" s="1"/>
  <c r="T122" i="16"/>
  <c r="H56" i="17"/>
  <c r="H60"/>
  <c r="H61"/>
  <c r="G61" s="1"/>
  <c r="E63"/>
  <c r="D63" s="1"/>
  <c r="D105" s="1"/>
  <c r="K98"/>
  <c r="J98" s="1"/>
  <c r="K99"/>
  <c r="J99" s="1"/>
  <c r="I99" s="1"/>
  <c r="K100"/>
  <c r="J100" s="1"/>
  <c r="K101"/>
  <c r="J101" s="1"/>
  <c r="K102"/>
  <c r="J102" s="1"/>
  <c r="K103"/>
  <c r="J103" s="1"/>
  <c r="H29"/>
  <c r="I6" s="1"/>
  <c r="I30"/>
  <c r="I31"/>
  <c r="I32"/>
  <c r="H33"/>
  <c r="I10" s="1"/>
  <c r="H10" s="1"/>
  <c r="E10" s="1"/>
  <c r="H34"/>
  <c r="I11" s="1"/>
  <c r="M34"/>
  <c r="I35"/>
  <c r="H36"/>
  <c r="I13" s="1"/>
  <c r="J37"/>
  <c r="I37" s="1"/>
  <c r="I39"/>
  <c r="G56"/>
  <c r="H58"/>
  <c r="H59"/>
  <c r="B60"/>
  <c r="B102" s="1"/>
  <c r="A102" s="1"/>
  <c r="H62"/>
  <c r="B63"/>
  <c r="B105" s="1"/>
  <c r="A105" s="1"/>
  <c r="H63"/>
  <c r="G63" s="1"/>
  <c r="J66"/>
  <c r="I66" s="1"/>
  <c r="H66" s="1"/>
  <c r="K104"/>
  <c r="J104" s="1"/>
  <c r="I104" s="1"/>
  <c r="K105"/>
  <c r="J105" s="1"/>
  <c r="K106"/>
  <c r="M29" l="1"/>
  <c r="H103"/>
  <c r="J11"/>
  <c r="K11" s="1"/>
  <c r="N33"/>
  <c r="V195" i="16" s="1"/>
  <c r="J106" i="17"/>
  <c r="I105"/>
  <c r="G58"/>
  <c r="F58" s="1"/>
  <c r="G100" s="1"/>
  <c r="N34"/>
  <c r="V96" i="16" s="1"/>
  <c r="G60" i="17"/>
  <c r="M36"/>
  <c r="N36" s="1"/>
  <c r="J228" i="16" s="1"/>
  <c r="J13" i="17"/>
  <c r="K13" s="1"/>
  <c r="F63"/>
  <c r="G105" s="1"/>
  <c r="G59"/>
  <c r="F59" s="1"/>
  <c r="G101" s="1"/>
  <c r="F56"/>
  <c r="G98" s="1"/>
  <c r="N29"/>
  <c r="V61" i="16" s="1"/>
  <c r="I102" i="17"/>
  <c r="F61"/>
  <c r="G103" s="1"/>
  <c r="H102"/>
  <c r="J10"/>
  <c r="K10" s="1"/>
  <c r="D215" i="7"/>
  <c r="C215" s="1"/>
  <c r="G64" i="17"/>
  <c r="H106"/>
  <c r="J14"/>
  <c r="J16"/>
  <c r="G66"/>
  <c r="M39"/>
  <c r="H104"/>
  <c r="G62"/>
  <c r="M35"/>
  <c r="J12"/>
  <c r="H101"/>
  <c r="J9"/>
  <c r="K9" s="1"/>
  <c r="M32"/>
  <c r="N32" s="1"/>
  <c r="V162" i="16" s="1"/>
  <c r="H100" i="17"/>
  <c r="J8"/>
  <c r="K8" s="1"/>
  <c r="M31"/>
  <c r="N31" s="1"/>
  <c r="J126" i="16" s="1"/>
  <c r="H99" i="17"/>
  <c r="J7"/>
  <c r="K7" s="1"/>
  <c r="M30"/>
  <c r="N30" s="1"/>
  <c r="J59" i="7"/>
  <c r="G58"/>
  <c r="B61"/>
  <c r="I60"/>
  <c r="E11"/>
  <c r="G11"/>
  <c r="F11" s="1"/>
  <c r="G13"/>
  <c r="F13" s="1"/>
  <c r="E13"/>
  <c r="D13" s="1"/>
  <c r="K108" i="17"/>
  <c r="J108" s="1"/>
  <c r="I108" s="1"/>
  <c r="H108" s="1"/>
  <c r="M56"/>
  <c r="I103"/>
  <c r="I101"/>
  <c r="I100"/>
  <c r="I98"/>
  <c r="F60"/>
  <c r="G102" s="1"/>
  <c r="H64"/>
  <c r="I106" s="1"/>
  <c r="G57"/>
  <c r="F57" s="1"/>
  <c r="G99" s="1"/>
  <c r="E58"/>
  <c r="G22" i="7"/>
  <c r="K60"/>
  <c r="G23"/>
  <c r="O12" s="1"/>
  <c r="N12" s="1"/>
  <c r="E23"/>
  <c r="C24"/>
  <c r="C15"/>
  <c r="E14"/>
  <c r="D14" s="1"/>
  <c r="O11"/>
  <c r="N11" s="1"/>
  <c r="E12"/>
  <c r="D12" s="1"/>
  <c r="G12"/>
  <c r="F12" s="1"/>
  <c r="H17" i="17"/>
  <c r="D214" i="7"/>
  <c r="C214" s="1"/>
  <c r="H15" i="17"/>
  <c r="C63" i="7"/>
  <c r="O37" i="17" l="1"/>
  <c r="M12" i="7"/>
  <c r="E56" i="20"/>
  <c r="D161" i="18"/>
  <c r="J60" i="7"/>
  <c r="G59"/>
  <c r="M11"/>
  <c r="L11" s="1"/>
  <c r="E55" i="20"/>
  <c r="D160" i="18"/>
  <c r="E15" i="7"/>
  <c r="D15" s="1"/>
  <c r="C18"/>
  <c r="C17"/>
  <c r="C16"/>
  <c r="E24"/>
  <c r="C25"/>
  <c r="G24"/>
  <c r="O13" s="1"/>
  <c r="N13" s="1"/>
  <c r="D58" i="17"/>
  <c r="E100"/>
  <c r="D11" i="7"/>
  <c r="L12"/>
  <c r="L60"/>
  <c r="C61"/>
  <c r="M62" i="17"/>
  <c r="M64"/>
  <c r="J96" i="16"/>
  <c r="D100" i="17" l="1"/>
  <c r="B100" s="1"/>
  <c r="A100" s="1"/>
  <c r="F55" i="20"/>
  <c r="E210"/>
  <c r="F56"/>
  <c r="E211"/>
  <c r="D147" i="18"/>
  <c r="E43" i="20"/>
  <c r="M13" i="7"/>
  <c r="L13" s="1"/>
  <c r="E57" i="20"/>
  <c r="D162" i="18"/>
  <c r="G17" i="7"/>
  <c r="F17" s="1"/>
  <c r="E17" s="1"/>
  <c r="D17" s="1"/>
  <c r="G160" i="18"/>
  <c r="F160" s="1"/>
  <c r="D223" s="1"/>
  <c r="H160"/>
  <c r="E160"/>
  <c r="E42" i="20"/>
  <c r="D146" i="18"/>
  <c r="G161"/>
  <c r="F161" s="1"/>
  <c r="D224" s="1"/>
  <c r="H161"/>
  <c r="E161"/>
  <c r="G25" i="7"/>
  <c r="O14" s="1"/>
  <c r="C26"/>
  <c r="E25"/>
  <c r="E16"/>
  <c r="D16" s="1"/>
  <c r="G18"/>
  <c r="F18" s="1"/>
  <c r="E18" s="1"/>
  <c r="D18" s="1"/>
  <c r="F42" i="20" l="1"/>
  <c r="F197" s="1"/>
  <c r="E197"/>
  <c r="F57"/>
  <c r="E212"/>
  <c r="F43"/>
  <c r="E198"/>
  <c r="I56"/>
  <c r="I211" s="1"/>
  <c r="F211"/>
  <c r="I55"/>
  <c r="I210" s="1"/>
  <c r="F210"/>
  <c r="C27" i="7"/>
  <c r="G26"/>
  <c r="O15" s="1"/>
  <c r="N15" s="1"/>
  <c r="E26"/>
  <c r="H146" i="18"/>
  <c r="G146" s="1"/>
  <c r="E146"/>
  <c r="F146"/>
  <c r="D210" s="1"/>
  <c r="F162"/>
  <c r="D225" s="1"/>
  <c r="G162"/>
  <c r="E162"/>
  <c r="E44" i="20"/>
  <c r="D148" i="18"/>
  <c r="F147"/>
  <c r="D211" s="1"/>
  <c r="G147"/>
  <c r="E147"/>
  <c r="H147"/>
  <c r="N14" i="7"/>
  <c r="I42" i="20" l="1"/>
  <c r="I197" s="1"/>
  <c r="F44"/>
  <c r="E199"/>
  <c r="I43"/>
  <c r="F198"/>
  <c r="I57"/>
  <c r="I212" s="1"/>
  <c r="F212"/>
  <c r="M14" i="7"/>
  <c r="L14" s="1"/>
  <c r="E58" i="20"/>
  <c r="D163" i="18"/>
  <c r="G148"/>
  <c r="E148"/>
  <c r="F148"/>
  <c r="D212" s="1"/>
  <c r="H148"/>
  <c r="E59" i="20"/>
  <c r="D164" i="18"/>
  <c r="G27" i="7"/>
  <c r="O16" s="1"/>
  <c r="N16" s="1"/>
  <c r="E27"/>
  <c r="C28"/>
  <c r="I198" i="20" l="1"/>
  <c r="F59"/>
  <c r="E214"/>
  <c r="F58"/>
  <c r="E213"/>
  <c r="I44"/>
  <c r="F199"/>
  <c r="C29" i="7"/>
  <c r="G28"/>
  <c r="O17" s="1"/>
  <c r="N17" s="1"/>
  <c r="E28"/>
  <c r="E60" i="20"/>
  <c r="D165" i="18"/>
  <c r="F164"/>
  <c r="D227" s="1"/>
  <c r="G164"/>
  <c r="E164"/>
  <c r="G163"/>
  <c r="F163" s="1"/>
  <c r="D226" s="1"/>
  <c r="H163"/>
  <c r="E163"/>
  <c r="E45" i="20"/>
  <c r="D149" i="18"/>
  <c r="F45" i="20" l="1"/>
  <c r="E200"/>
  <c r="F60"/>
  <c r="E215"/>
  <c r="I199"/>
  <c r="I58"/>
  <c r="I213" s="1"/>
  <c r="F213"/>
  <c r="I59"/>
  <c r="I214" s="1"/>
  <c r="F214"/>
  <c r="F149" i="18"/>
  <c r="D213" s="1"/>
  <c r="G149"/>
  <c r="E149"/>
  <c r="H149"/>
  <c r="G165"/>
  <c r="F165" s="1"/>
  <c r="D228" s="1"/>
  <c r="H165"/>
  <c r="E165"/>
  <c r="E61" i="20"/>
  <c r="D166" i="18"/>
  <c r="G29" i="7"/>
  <c r="E29"/>
  <c r="C30"/>
  <c r="F61" i="20" l="1"/>
  <c r="E216"/>
  <c r="I60"/>
  <c r="I215" s="1"/>
  <c r="F215"/>
  <c r="I45"/>
  <c r="F200"/>
  <c r="F166" i="18"/>
  <c r="D229" s="1"/>
  <c r="G166"/>
  <c r="E166"/>
  <c r="E30" i="7"/>
  <c r="D30" s="1"/>
  <c r="G30"/>
  <c r="I200" i="20" l="1"/>
  <c r="I61"/>
  <c r="I216" s="1"/>
  <c r="F216"/>
  <c r="F30" i="7"/>
  <c r="O19"/>
  <c r="N19" s="1"/>
  <c r="M19" l="1"/>
  <c r="L19" s="1"/>
  <c r="E63" i="20"/>
  <c r="D168" i="18"/>
  <c r="F63" i="20" l="1"/>
  <c r="E218"/>
  <c r="F168" i="18"/>
  <c r="D231" s="1"/>
  <c r="G168"/>
  <c r="E168"/>
  <c r="H168"/>
  <c r="E50" i="20"/>
  <c r="D154" i="18"/>
  <c r="F50" i="20" l="1"/>
  <c r="E205"/>
  <c r="I63"/>
  <c r="I218" s="1"/>
  <c r="F218"/>
  <c r="G154" i="18"/>
  <c r="E154"/>
  <c r="F154"/>
  <c r="D218" s="1"/>
  <c r="H154"/>
  <c r="H35" i="17" a="1"/>
  <c r="H35" s="1"/>
  <c r="H39" a="1"/>
  <c r="H39" s="1"/>
  <c r="B99" i="13"/>
  <c r="B125" s="1"/>
  <c r="B140" s="1"/>
  <c r="B162" s="1"/>
  <c r="F243" i="17"/>
  <c r="M37"/>
  <c r="H37" a="1"/>
  <c r="H37" s="1"/>
  <c r="A168" i="18"/>
  <c r="B218" s="1"/>
  <c r="B97" i="13"/>
  <c r="B123" s="1"/>
  <c r="B138" s="1"/>
  <c r="B160" s="1"/>
  <c r="A166" i="18"/>
  <c r="B216" s="1"/>
  <c r="B229" s="1"/>
  <c r="G16" i="7"/>
  <c r="M17"/>
  <c r="L17"/>
  <c r="F16"/>
  <c r="B96" i="13"/>
  <c r="B122" s="1"/>
  <c r="B137" s="1"/>
  <c r="B159" s="1"/>
  <c r="B77"/>
  <c r="B94" s="1"/>
  <c r="A165" i="18"/>
  <c r="B215" s="1"/>
  <c r="B228" s="1"/>
  <c r="H164"/>
  <c r="G15" i="7"/>
  <c r="M16"/>
  <c r="L16"/>
  <c r="F15"/>
  <c r="B95" i="13"/>
  <c r="B121" s="1"/>
  <c r="B136" s="1"/>
  <c r="B158" s="1"/>
  <c r="A163" i="18"/>
  <c r="B213" s="1"/>
  <c r="B226" s="1"/>
  <c r="H162"/>
  <c r="A164"/>
  <c r="B214" s="1"/>
  <c r="B227" s="1"/>
  <c r="B93" i="13"/>
  <c r="B119" s="1"/>
  <c r="B134" s="1"/>
  <c r="B156" s="1"/>
  <c r="G14" i="7"/>
  <c r="M15"/>
  <c r="L15"/>
  <c r="F14"/>
  <c r="B75" i="13"/>
  <c r="B92" s="1"/>
  <c r="B91"/>
  <c r="B117" s="1"/>
  <c r="B132" s="1"/>
  <c r="B154" s="1"/>
  <c r="A162" i="18"/>
  <c r="B212" s="1"/>
  <c r="B225" s="1"/>
  <c r="A161"/>
  <c r="B211" s="1"/>
  <c r="B224" s="1"/>
  <c r="A160"/>
  <c r="B210" s="1"/>
  <c r="B223" s="1"/>
  <c r="F99" i="17" a="1"/>
  <c r="F99" s="1"/>
  <c r="N99" s="1"/>
  <c r="O99" s="1"/>
  <c r="P99" s="1"/>
  <c r="F106" a="1"/>
  <c r="F106" s="1"/>
  <c r="E106"/>
  <c r="D106"/>
  <c r="B106"/>
  <c r="A106"/>
  <c r="F105" a="1"/>
  <c r="F105" s="1"/>
  <c r="N105" s="1"/>
  <c r="O105" s="1"/>
  <c r="P105" s="1"/>
  <c r="D66"/>
  <c r="M66"/>
  <c r="L57"/>
  <c r="M57"/>
  <c r="L58"/>
  <c r="M58"/>
  <c r="L59"/>
  <c r="M59"/>
  <c r="L60"/>
  <c r="M60"/>
  <c r="L61"/>
  <c r="M61"/>
  <c r="L63"/>
  <c r="M63"/>
  <c r="F108" a="1"/>
  <c r="F108" s="1"/>
  <c r="E66"/>
  <c r="E108" s="1"/>
  <c r="D108"/>
  <c r="B108"/>
  <c r="A108"/>
  <c r="F98" a="1"/>
  <c r="F98" s="1"/>
  <c r="N98" s="1"/>
  <c r="O98" s="1"/>
  <c r="F100" a="1"/>
  <c r="F100" s="1"/>
  <c r="N100" s="1"/>
  <c r="O100" s="1"/>
  <c r="P100" s="1"/>
  <c r="F101" a="1"/>
  <c r="F101" s="1"/>
  <c r="N101" s="1"/>
  <c r="O101" s="1"/>
  <c r="P101" s="1"/>
  <c r="F102" a="1"/>
  <c r="F102"/>
  <c r="N102" s="1"/>
  <c r="O102" s="1"/>
  <c r="P102" s="1"/>
  <c r="F103" a="1"/>
  <c r="F103" s="1"/>
  <c r="N103" s="1"/>
  <c r="O103" s="1"/>
  <c r="P103" s="1"/>
  <c r="F104" a="1"/>
  <c r="F104" s="1"/>
  <c r="E102"/>
  <c r="D102"/>
  <c r="E99"/>
  <c r="E101"/>
  <c r="E103"/>
  <c r="E105"/>
  <c r="E98"/>
  <c r="D98"/>
  <c r="B98"/>
  <c r="A98"/>
  <c r="K61" i="7"/>
  <c r="L61"/>
  <c r="G67"/>
  <c r="J6" i="17"/>
  <c r="J15" s="1"/>
  <c r="G273" i="16"/>
  <c r="H275" s="1"/>
  <c r="F275"/>
  <c r="M67" i="17"/>
  <c r="F276" i="16"/>
  <c r="F274"/>
  <c r="F277"/>
  <c r="I326" i="7"/>
  <c r="G326"/>
  <c r="B98" i="13"/>
  <c r="B124" s="1"/>
  <c r="B139" s="1"/>
  <c r="B161" s="1"/>
  <c r="I325" i="7"/>
  <c r="G325"/>
  <c r="I324"/>
  <c r="G324"/>
  <c r="I323"/>
  <c r="G323"/>
  <c r="I322"/>
  <c r="G322"/>
  <c r="I321"/>
  <c r="G321"/>
  <c r="I320"/>
  <c r="G320"/>
  <c r="I319"/>
  <c r="G319"/>
  <c r="D271"/>
  <c r="C299" s="1"/>
  <c r="C318" s="1"/>
  <c r="C341" s="1"/>
  <c r="C361" s="1"/>
  <c r="C271"/>
  <c r="B299" s="1"/>
  <c r="B318" s="1"/>
  <c r="B341" s="1"/>
  <c r="B361" s="1"/>
  <c r="D270"/>
  <c r="C298"/>
  <c r="C317" s="1"/>
  <c r="C340" s="1"/>
  <c r="C360" s="1"/>
  <c r="C270"/>
  <c r="B298" s="1"/>
  <c r="B317" s="1"/>
  <c r="B340" s="1"/>
  <c r="B360" s="1"/>
  <c r="I316"/>
  <c r="B223"/>
  <c r="B219"/>
  <c r="B222"/>
  <c r="B218"/>
  <c r="E273" i="16"/>
  <c r="F273"/>
  <c r="I369" i="7"/>
  <c r="G369"/>
  <c r="I368"/>
  <c r="G368"/>
  <c r="I367"/>
  <c r="G367"/>
  <c r="I366"/>
  <c r="G366"/>
  <c r="I365"/>
  <c r="G365"/>
  <c r="I364"/>
  <c r="G364"/>
  <c r="I363"/>
  <c r="G363"/>
  <c r="I362"/>
  <c r="G362"/>
  <c r="I349"/>
  <c r="G349"/>
  <c r="I348"/>
  <c r="G348"/>
  <c r="I347"/>
  <c r="G347"/>
  <c r="I346"/>
  <c r="G346"/>
  <c r="I345"/>
  <c r="G345"/>
  <c r="I344"/>
  <c r="G344"/>
  <c r="I343"/>
  <c r="G343"/>
  <c r="I342"/>
  <c r="G342"/>
  <c r="I307"/>
  <c r="G307"/>
  <c r="I306"/>
  <c r="G306"/>
  <c r="I305"/>
  <c r="G305"/>
  <c r="I304"/>
  <c r="G304"/>
  <c r="I303"/>
  <c r="G303"/>
  <c r="I302"/>
  <c r="G302"/>
  <c r="I301"/>
  <c r="G301"/>
  <c r="I300"/>
  <c r="G300"/>
  <c r="B221"/>
  <c r="B217"/>
  <c r="B224"/>
  <c r="B220"/>
  <c r="D269"/>
  <c r="C269"/>
  <c r="H172"/>
  <c r="D172"/>
  <c r="C172"/>
  <c r="E61"/>
  <c r="G66"/>
  <c r="O18"/>
  <c r="N18"/>
  <c r="B74"/>
  <c r="K71"/>
  <c r="K72"/>
  <c r="I61"/>
  <c r="G60"/>
  <c r="B75"/>
  <c r="K75"/>
  <c r="E60"/>
  <c r="G65"/>
  <c r="C73"/>
  <c r="L68"/>
  <c r="D88"/>
  <c r="L69"/>
  <c r="F88"/>
  <c r="L70"/>
  <c r="H88"/>
  <c r="C74"/>
  <c r="L71"/>
  <c r="J88"/>
  <c r="L72"/>
  <c r="L88"/>
  <c r="L73"/>
  <c r="D103"/>
  <c r="D123"/>
  <c r="B73"/>
  <c r="K68"/>
  <c r="C88"/>
  <c r="K74"/>
  <c r="E104"/>
  <c r="G104"/>
  <c r="I62"/>
  <c r="G61"/>
  <c r="B76"/>
  <c r="K76"/>
  <c r="I104"/>
  <c r="K77"/>
  <c r="K104"/>
  <c r="E124"/>
  <c r="C75"/>
  <c r="L74"/>
  <c r="F105"/>
  <c r="L75"/>
  <c r="H105"/>
  <c r="K62"/>
  <c r="G68"/>
  <c r="C76"/>
  <c r="L76"/>
  <c r="J105"/>
  <c r="L77"/>
  <c r="L105"/>
  <c r="F125"/>
  <c r="E105"/>
  <c r="G105"/>
  <c r="I105"/>
  <c r="K105"/>
  <c r="E125"/>
  <c r="D92"/>
  <c r="F92"/>
  <c r="H92"/>
  <c r="J92"/>
  <c r="L92"/>
  <c r="D107"/>
  <c r="D127"/>
  <c r="C92"/>
  <c r="K69"/>
  <c r="E92"/>
  <c r="K70"/>
  <c r="G92"/>
  <c r="I92"/>
  <c r="K92"/>
  <c r="K73"/>
  <c r="C107"/>
  <c r="C127"/>
  <c r="C94"/>
  <c r="E94"/>
  <c r="G94"/>
  <c r="I94"/>
  <c r="K94"/>
  <c r="C109"/>
  <c r="C129"/>
  <c r="C95"/>
  <c r="E95"/>
  <c r="G95"/>
  <c r="I95"/>
  <c r="K95"/>
  <c r="C110"/>
  <c r="C130"/>
  <c r="D96"/>
  <c r="F96"/>
  <c r="H96"/>
  <c r="J96"/>
  <c r="L96"/>
  <c r="D111"/>
  <c r="D131"/>
  <c r="H91"/>
  <c r="H95"/>
  <c r="H90"/>
  <c r="H94"/>
  <c r="H89"/>
  <c r="H93"/>
  <c r="F89"/>
  <c r="F91"/>
  <c r="F93"/>
  <c r="F95"/>
  <c r="F90"/>
  <c r="F94"/>
  <c r="D89"/>
  <c r="D93"/>
  <c r="D90"/>
  <c r="D94"/>
  <c r="D91"/>
  <c r="D95"/>
  <c r="L89"/>
  <c r="L93"/>
  <c r="L90"/>
  <c r="L94"/>
  <c r="L91"/>
  <c r="L95"/>
  <c r="J90"/>
  <c r="J94"/>
  <c r="J89"/>
  <c r="J91"/>
  <c r="J93"/>
  <c r="J95"/>
  <c r="F108"/>
  <c r="F103"/>
  <c r="F107"/>
  <c r="F109"/>
  <c r="F104"/>
  <c r="F106"/>
  <c r="F111"/>
  <c r="C89"/>
  <c r="E89"/>
  <c r="G89"/>
  <c r="I89"/>
  <c r="K89"/>
  <c r="C104"/>
  <c r="C124"/>
  <c r="C90"/>
  <c r="E90"/>
  <c r="G90"/>
  <c r="I90"/>
  <c r="K90"/>
  <c r="C105"/>
  <c r="C125"/>
  <c r="D106"/>
  <c r="D126"/>
  <c r="C93"/>
  <c r="E93"/>
  <c r="G93"/>
  <c r="I93"/>
  <c r="K93"/>
  <c r="C108"/>
  <c r="C128"/>
  <c r="E109"/>
  <c r="G109"/>
  <c r="I109"/>
  <c r="K109"/>
  <c r="E129"/>
  <c r="F110"/>
  <c r="H110"/>
  <c r="J110"/>
  <c r="L110"/>
  <c r="F130"/>
  <c r="E110"/>
  <c r="G110"/>
  <c r="I110"/>
  <c r="K110"/>
  <c r="E130"/>
  <c r="H111"/>
  <c r="J111"/>
  <c r="L111"/>
  <c r="F131"/>
  <c r="E111"/>
  <c r="J61"/>
  <c r="J62"/>
  <c r="L67"/>
  <c r="K67"/>
  <c r="L62"/>
  <c r="C91"/>
  <c r="C96"/>
  <c r="E88"/>
  <c r="E91"/>
  <c r="E96"/>
  <c r="G88"/>
  <c r="G91"/>
  <c r="G96"/>
  <c r="I88"/>
  <c r="I91"/>
  <c r="I96"/>
  <c r="C71"/>
  <c r="B71"/>
  <c r="K88"/>
  <c r="K91"/>
  <c r="K96"/>
  <c r="G103"/>
  <c r="G106"/>
  <c r="G107"/>
  <c r="G108"/>
  <c r="I111"/>
  <c r="I103"/>
  <c r="I106"/>
  <c r="I107"/>
  <c r="I108"/>
  <c r="K103"/>
  <c r="K106"/>
  <c r="K107"/>
  <c r="K108"/>
  <c r="C111"/>
  <c r="C103"/>
  <c r="L101"/>
  <c r="K101"/>
  <c r="J101"/>
  <c r="I101"/>
  <c r="C106"/>
  <c r="E103"/>
  <c r="E106"/>
  <c r="E107"/>
  <c r="E108"/>
  <c r="L104"/>
  <c r="L106"/>
  <c r="L108"/>
  <c r="L103"/>
  <c r="L107"/>
  <c r="L109"/>
  <c r="K111"/>
  <c r="D104"/>
  <c r="D108"/>
  <c r="D110"/>
  <c r="D105"/>
  <c r="D109"/>
  <c r="H104"/>
  <c r="H106"/>
  <c r="H108"/>
  <c r="H103"/>
  <c r="H107"/>
  <c r="H109"/>
  <c r="G111"/>
  <c r="J104"/>
  <c r="J103"/>
  <c r="J107"/>
  <c r="J109"/>
  <c r="J106"/>
  <c r="J108"/>
  <c r="C123"/>
  <c r="F123"/>
  <c r="E123"/>
  <c r="D124"/>
  <c r="F124"/>
  <c r="D125"/>
  <c r="C126"/>
  <c r="F126"/>
  <c r="E126"/>
  <c r="F127"/>
  <c r="E127"/>
  <c r="F128"/>
  <c r="E128"/>
  <c r="D128"/>
  <c r="D129"/>
  <c r="F129"/>
  <c r="D130"/>
  <c r="C131"/>
  <c r="E131"/>
  <c r="I359"/>
  <c r="H359"/>
  <c r="G359"/>
  <c r="F359"/>
  <c r="I339"/>
  <c r="H339"/>
  <c r="G339"/>
  <c r="F339"/>
  <c r="G274" i="16"/>
  <c r="G275"/>
  <c r="G276"/>
  <c r="K6" i="17"/>
  <c r="C117" i="13"/>
  <c r="C132" s="1"/>
  <c r="G58" i="10"/>
  <c r="D111" i="13" s="1"/>
  <c r="F253" s="1"/>
  <c r="F274" s="1"/>
  <c r="F277" s="1"/>
  <c r="C151" i="10"/>
  <c r="F148"/>
  <c r="G151" s="1"/>
  <c r="C12" i="13"/>
  <c r="C31" s="1"/>
  <c r="G277" i="16"/>
  <c r="E104" i="17"/>
  <c r="D104"/>
  <c r="B104"/>
  <c r="A104"/>
  <c r="C258" i="13"/>
  <c r="C210" i="18" s="1"/>
  <c r="J304" i="13"/>
  <c r="J319" s="1"/>
  <c r="I304"/>
  <c r="I319" s="1"/>
  <c r="C260"/>
  <c r="C212" i="18" s="1"/>
  <c r="J306" i="13"/>
  <c r="J321" s="1"/>
  <c r="I306"/>
  <c r="I321" s="1"/>
  <c r="C14"/>
  <c r="C33" s="1"/>
  <c r="C262"/>
  <c r="C214" i="18" s="1"/>
  <c r="C227" s="1"/>
  <c r="E227" s="1"/>
  <c r="J307" i="13"/>
  <c r="J322" s="1"/>
  <c r="I307"/>
  <c r="I322" s="1"/>
  <c r="C263"/>
  <c r="C215" i="18" s="1"/>
  <c r="C228" s="1"/>
  <c r="E228" s="1"/>
  <c r="J308" i="13"/>
  <c r="J323" s="1"/>
  <c r="I308"/>
  <c r="I323" s="1"/>
  <c r="C264"/>
  <c r="C216" i="18" s="1"/>
  <c r="C229" s="1"/>
  <c r="E229" s="1"/>
  <c r="J309" i="13"/>
  <c r="J324" s="1"/>
  <c r="I309"/>
  <c r="I324" s="1"/>
  <c r="C265"/>
  <c r="C217" i="18" s="1"/>
  <c r="J310" i="13"/>
  <c r="J325"/>
  <c r="I310"/>
  <c r="I325"/>
  <c r="E198" i="17"/>
  <c r="F198" s="1"/>
  <c r="E194"/>
  <c r="F194" s="1"/>
  <c r="E201"/>
  <c r="F201" s="1"/>
  <c r="E197"/>
  <c r="F197" s="1"/>
  <c r="E193"/>
  <c r="F193" s="1"/>
  <c r="D95" i="18"/>
  <c r="E97" s="1"/>
  <c r="B226" i="17"/>
  <c r="E228"/>
  <c r="C266" i="13"/>
  <c r="C218" i="18" s="1"/>
  <c r="E200" i="17"/>
  <c r="F200" s="1"/>
  <c r="E196"/>
  <c r="F196" s="1"/>
  <c r="F179"/>
  <c r="E199"/>
  <c r="F199" s="1"/>
  <c r="E195"/>
  <c r="F195" s="1"/>
  <c r="B229"/>
  <c r="B228"/>
  <c r="A243"/>
  <c r="A253" s="1"/>
  <c r="C163"/>
  <c r="C192" s="1"/>
  <c r="E182"/>
  <c r="E185" s="1"/>
  <c r="F86" i="10"/>
  <c r="K244" i="17"/>
  <c r="K245"/>
  <c r="F247"/>
  <c r="K243"/>
  <c r="F245"/>
  <c r="F246"/>
  <c r="E272" a="1"/>
  <c r="E272" s="1"/>
  <c r="F54" i="10"/>
  <c r="F53"/>
  <c r="C131" s="1"/>
  <c r="A45" i="18"/>
  <c r="E116" i="13"/>
  <c r="B153"/>
  <c r="B173" s="1"/>
  <c r="B195" s="1"/>
  <c r="B152"/>
  <c r="B172" s="1"/>
  <c r="B194" s="1"/>
  <c r="B212" s="1"/>
  <c r="D309" a="1"/>
  <c r="D307" a="1"/>
  <c r="D305" a="1"/>
  <c r="D303" a="1"/>
  <c r="D310" a="1"/>
  <c r="D308" a="1"/>
  <c r="D306" a="1"/>
  <c r="D302" a="1"/>
  <c r="B192"/>
  <c r="B233" s="1"/>
  <c r="B191"/>
  <c r="D195"/>
  <c r="C195"/>
  <c r="C213" s="1"/>
  <c r="B274"/>
  <c r="B277" s="1"/>
  <c r="B273"/>
  <c r="B276" s="1"/>
  <c r="B272"/>
  <c r="B271"/>
  <c r="D304" a="1"/>
  <c r="B210"/>
  <c r="B303" a="1"/>
  <c r="B303" s="1"/>
  <c r="B305" a="1"/>
  <c r="B305" s="1"/>
  <c r="A317"/>
  <c r="A318"/>
  <c r="B319"/>
  <c r="A319"/>
  <c r="A320"/>
  <c r="B321"/>
  <c r="A321"/>
  <c r="B322"/>
  <c r="A322"/>
  <c r="B323"/>
  <c r="A323"/>
  <c r="B324"/>
  <c r="A324"/>
  <c r="B325"/>
  <c r="A325"/>
  <c r="F180" i="17"/>
  <c r="B38" i="18"/>
  <c r="K264" i="17"/>
  <c r="B78" i="18"/>
  <c r="B37"/>
  <c r="K263" i="17"/>
  <c r="B69" i="18"/>
  <c r="C71" s="1"/>
  <c r="D167"/>
  <c r="F167" s="1"/>
  <c r="D230" s="1"/>
  <c r="E46" i="20"/>
  <c r="D150" i="18"/>
  <c r="H150" s="1"/>
  <c r="E47" i="20"/>
  <c r="E48"/>
  <c r="D151" i="18"/>
  <c r="H151" s="1"/>
  <c r="D152"/>
  <c r="H152" s="1"/>
  <c r="L18" i="7"/>
  <c r="D153" i="18"/>
  <c r="H153" s="1"/>
  <c r="A167"/>
  <c r="B217" s="1"/>
  <c r="H166"/>
  <c r="D213" i="13"/>
  <c r="E49" i="20"/>
  <c r="E62"/>
  <c r="M18" i="7"/>
  <c r="I273" i="16" l="1"/>
  <c r="J273" s="1"/>
  <c r="K273" s="1"/>
  <c r="H273"/>
  <c r="H277"/>
  <c r="F46" i="10"/>
  <c r="I111" i="17"/>
  <c r="F253"/>
  <c r="D255" s="1"/>
  <c r="F37" i="18" s="1"/>
  <c r="E60" s="1"/>
  <c r="E81" s="1"/>
  <c r="K242" i="17"/>
  <c r="F64"/>
  <c r="G106" s="1"/>
  <c r="N106" s="1"/>
  <c r="O106" s="1"/>
  <c r="P106" s="1"/>
  <c r="I14"/>
  <c r="K14" s="1"/>
  <c r="J17"/>
  <c r="N37"/>
  <c r="V228" i="16" s="1"/>
  <c r="M65" i="17"/>
  <c r="F58" i="10" s="1"/>
  <c r="D110" i="13" s="1"/>
  <c r="F252" s="1"/>
  <c r="F273" s="1"/>
  <c r="F276" s="1"/>
  <c r="N39" i="17"/>
  <c r="F66"/>
  <c r="G108" s="1"/>
  <c r="N108" s="1"/>
  <c r="O108" s="1"/>
  <c r="I16"/>
  <c r="P98"/>
  <c r="I12"/>
  <c r="N35"/>
  <c r="F62"/>
  <c r="G104" s="1"/>
  <c r="N104" s="1"/>
  <c r="O104" s="1"/>
  <c r="P104" s="1"/>
  <c r="G150" i="18"/>
  <c r="F150"/>
  <c r="D214" s="1"/>
  <c r="E214" s="1"/>
  <c r="G152"/>
  <c r="E150"/>
  <c r="B118" i="13"/>
  <c r="B133" s="1"/>
  <c r="B155" s="1"/>
  <c r="B120"/>
  <c r="B135" s="1"/>
  <c r="B157" s="1"/>
  <c r="C172" i="17"/>
  <c r="C201" s="1"/>
  <c r="C168"/>
  <c r="C121" i="22" a="1"/>
  <c r="C121" s="1"/>
  <c r="E141" i="20" a="1"/>
  <c r="E141" s="1"/>
  <c r="B200" s="1"/>
  <c r="B213" s="1"/>
  <c r="B320" i="13"/>
  <c r="C119" i="22" a="1"/>
  <c r="C119" s="1"/>
  <c r="E139" i="20" a="1"/>
  <c r="E139" s="1"/>
  <c r="B198" s="1"/>
  <c r="B211" s="1"/>
  <c r="B318" i="13"/>
  <c r="C41" i="20"/>
  <c r="C54" s="1"/>
  <c r="C209" s="1"/>
  <c r="C236" i="13"/>
  <c r="D257" s="1"/>
  <c r="K271" i="17"/>
  <c r="B232" i="13"/>
  <c r="B209"/>
  <c r="D194"/>
  <c r="C194" s="1"/>
  <c r="C212" s="1"/>
  <c r="B213"/>
  <c r="E225" i="17"/>
  <c r="G201"/>
  <c r="G200"/>
  <c r="G199"/>
  <c r="G198"/>
  <c r="G197"/>
  <c r="G196"/>
  <c r="G195"/>
  <c r="G194"/>
  <c r="G193"/>
  <c r="C75" i="13"/>
  <c r="K31"/>
  <c r="B174"/>
  <c r="B175"/>
  <c r="B178"/>
  <c r="B180"/>
  <c r="B182"/>
  <c r="D41" i="20"/>
  <c r="D54" s="1"/>
  <c r="D209" s="1"/>
  <c r="L271" i="17"/>
  <c r="B40" i="20"/>
  <c r="B53" s="1"/>
  <c r="E52" s="1"/>
  <c r="E207" s="1"/>
  <c r="B235" i="13"/>
  <c r="C77"/>
  <c r="K33"/>
  <c r="E132"/>
  <c r="J302" s="1"/>
  <c r="J317" s="1"/>
  <c r="D132"/>
  <c r="I302" s="1"/>
  <c r="I317" s="1"/>
  <c r="B181"/>
  <c r="B176"/>
  <c r="B177"/>
  <c r="B179"/>
  <c r="D236"/>
  <c r="E257" s="1"/>
  <c r="C166" i="17"/>
  <c r="C164"/>
  <c r="E218" i="18"/>
  <c r="C225"/>
  <c r="E225" s="1"/>
  <c r="E212"/>
  <c r="C223"/>
  <c r="E223" s="1"/>
  <c r="E210"/>
  <c r="C171" i="17"/>
  <c r="C170"/>
  <c r="C169"/>
  <c r="I277" i="16"/>
  <c r="I274"/>
  <c r="H276"/>
  <c r="I275"/>
  <c r="J275" s="1"/>
  <c r="K275" s="1"/>
  <c r="H274"/>
  <c r="I276"/>
  <c r="E77" i="18" a="1"/>
  <c r="B77" s="1"/>
  <c r="F62" i="20"/>
  <c r="E217"/>
  <c r="F49"/>
  <c r="E204"/>
  <c r="F47"/>
  <c r="E202"/>
  <c r="I50"/>
  <c r="F205"/>
  <c r="F48"/>
  <c r="E203"/>
  <c r="F46"/>
  <c r="E201"/>
  <c r="H167" i="18"/>
  <c r="B195"/>
  <c r="C198"/>
  <c r="D198" s="1"/>
  <c r="C231"/>
  <c r="E231" s="1"/>
  <c r="C195"/>
  <c r="E195" s="1"/>
  <c r="B192"/>
  <c r="B191"/>
  <c r="C190"/>
  <c r="D190" s="1"/>
  <c r="B197"/>
  <c r="B230"/>
  <c r="B193"/>
  <c r="B198"/>
  <c r="B231"/>
  <c r="B196"/>
  <c r="B194"/>
  <c r="C197"/>
  <c r="D197" s="1"/>
  <c r="C230"/>
  <c r="E230" s="1"/>
  <c r="C196"/>
  <c r="D196" s="1"/>
  <c r="C194"/>
  <c r="E194" s="1"/>
  <c r="C192"/>
  <c r="D192" s="1"/>
  <c r="B190"/>
  <c r="G167"/>
  <c r="E167"/>
  <c r="G153"/>
  <c r="F152"/>
  <c r="D216" s="1"/>
  <c r="E216" s="1"/>
  <c r="G151"/>
  <c r="F66" i="10"/>
  <c r="G66" s="1"/>
  <c r="G96" i="18"/>
  <c r="E105"/>
  <c r="G98"/>
  <c r="F153"/>
  <c r="D217" s="1"/>
  <c r="E217" s="1"/>
  <c r="E153"/>
  <c r="E152"/>
  <c r="F151"/>
  <c r="D215" s="1"/>
  <c r="E215" s="1"/>
  <c r="E151"/>
  <c r="E198"/>
  <c r="E190"/>
  <c r="J277" i="16" l="1"/>
  <c r="K277" s="1"/>
  <c r="J276"/>
  <c r="K276" s="1"/>
  <c r="J4" i="21"/>
  <c r="F6" i="22" a="1"/>
  <c r="F6" s="1"/>
  <c r="G184" i="20"/>
  <c r="I26" i="13"/>
  <c r="E209" i="17"/>
  <c r="C124" i="10"/>
  <c r="F84"/>
  <c r="D89" s="1"/>
  <c r="C126"/>
  <c r="F60"/>
  <c r="P108" i="17"/>
  <c r="I112"/>
  <c r="I113"/>
  <c r="I110"/>
  <c r="H172"/>
  <c r="O109"/>
  <c r="G59" i="10" s="1"/>
  <c r="G37" i="18"/>
  <c r="F60" s="1"/>
  <c r="I15" i="17"/>
  <c r="K15" s="1"/>
  <c r="K12"/>
  <c r="I17"/>
  <c r="K17" s="1"/>
  <c r="K16"/>
  <c r="O30"/>
  <c r="O32"/>
  <c r="V261" i="16"/>
  <c r="O107" i="17"/>
  <c r="F59" i="10" s="1"/>
  <c r="O35" i="17"/>
  <c r="N38"/>
  <c r="N40"/>
  <c r="V121" i="16"/>
  <c r="P107" i="17"/>
  <c r="P109"/>
  <c r="F24" i="20"/>
  <c r="F23" s="1"/>
  <c r="G60" i="10"/>
  <c r="J274" i="16"/>
  <c r="K274" s="1"/>
  <c r="M208" i="20"/>
  <c r="L208"/>
  <c r="E77" i="18"/>
  <c r="E196"/>
  <c r="E192"/>
  <c r="E197"/>
  <c r="I172" i="17"/>
  <c r="D194" i="18"/>
  <c r="D195"/>
  <c r="H168" i="17"/>
  <c r="I168"/>
  <c r="C197"/>
  <c r="I170"/>
  <c r="H170"/>
  <c r="C199"/>
  <c r="I166"/>
  <c r="H166"/>
  <c r="C195"/>
  <c r="B201" i="13"/>
  <c r="B199"/>
  <c r="B198"/>
  <c r="B203"/>
  <c r="B202"/>
  <c r="B197"/>
  <c r="D212"/>
  <c r="B41" i="20"/>
  <c r="B54" s="1"/>
  <c r="B236" i="13"/>
  <c r="C170" i="22" a="1"/>
  <c r="C170" s="1"/>
  <c r="G121"/>
  <c r="I169" i="17"/>
  <c r="H169"/>
  <c r="C198"/>
  <c r="H171"/>
  <c r="I171"/>
  <c r="C200"/>
  <c r="I164"/>
  <c r="H164"/>
  <c r="C193"/>
  <c r="C120" i="13"/>
  <c r="B204"/>
  <c r="B200"/>
  <c r="B196"/>
  <c r="C118"/>
  <c r="D116" i="22"/>
  <c r="D207" s="1"/>
  <c r="F136" i="20"/>
  <c r="C195" s="1"/>
  <c r="C40"/>
  <c r="C53" s="1"/>
  <c r="C208" s="1"/>
  <c r="B144" i="18"/>
  <c r="C235" i="13"/>
  <c r="K270" i="17"/>
  <c r="C168" i="22" a="1"/>
  <c r="C168" s="1"/>
  <c r="G119"/>
  <c r="I46" i="20"/>
  <c r="F201"/>
  <c r="I48"/>
  <c r="F203"/>
  <c r="I205"/>
  <c r="I47"/>
  <c r="F202"/>
  <c r="I49"/>
  <c r="F204"/>
  <c r="I62"/>
  <c r="I217" s="1"/>
  <c r="F217"/>
  <c r="E211" i="17"/>
  <c r="E226" s="1"/>
  <c r="K278" i="16" l="1"/>
  <c r="G188" i="20"/>
  <c r="G191" s="1"/>
  <c r="F223"/>
  <c r="G57" i="10"/>
  <c r="F150" i="13" s="1"/>
  <c r="E76" i="17"/>
  <c r="M79" s="1"/>
  <c r="G56" i="10"/>
  <c r="E5" i="13"/>
  <c r="E4"/>
  <c r="F56" i="10"/>
  <c r="F57"/>
  <c r="F149" i="13" s="1"/>
  <c r="E75" i="17"/>
  <c r="M78" s="1"/>
  <c r="C210" i="22"/>
  <c r="C228" s="1"/>
  <c r="D228" s="1"/>
  <c r="F168"/>
  <c r="G168" s="1"/>
  <c r="D168"/>
  <c r="B214" i="13"/>
  <c r="B222"/>
  <c r="C261"/>
  <c r="C135"/>
  <c r="C212" i="22"/>
  <c r="C230" s="1"/>
  <c r="D230" s="1"/>
  <c r="D170"/>
  <c r="F170"/>
  <c r="G170" s="1"/>
  <c r="B215" i="13"/>
  <c r="B220"/>
  <c r="B219"/>
  <c r="C133"/>
  <c r="C259"/>
  <c r="B218"/>
  <c r="D235"/>
  <c r="B257"/>
  <c r="E116" i="22"/>
  <c r="E207" s="1"/>
  <c r="G136" i="20"/>
  <c r="D195" s="1"/>
  <c r="D40"/>
  <c r="D53" s="1"/>
  <c r="D208" s="1"/>
  <c r="C144" i="18"/>
  <c r="C158" s="1"/>
  <c r="B158" s="1"/>
  <c r="A158" s="1"/>
  <c r="B208" s="1"/>
  <c r="L270" i="17"/>
  <c r="B221" i="13"/>
  <c r="B216"/>
  <c r="B217"/>
  <c r="F55" i="10"/>
  <c r="G55" s="1"/>
  <c r="D112" i="13" s="1"/>
  <c r="E235" i="17"/>
  <c r="L233" s="1"/>
  <c r="AA178" s="1"/>
  <c r="I204" i="20"/>
  <c r="I202"/>
  <c r="I203"/>
  <c r="I201"/>
  <c r="H238" l="1"/>
  <c r="H245"/>
  <c r="F169" i="13"/>
  <c r="C158"/>
  <c r="K306" s="1"/>
  <c r="K402" s="1"/>
  <c r="C156"/>
  <c r="K304" s="1"/>
  <c r="K400" s="1"/>
  <c r="C154"/>
  <c r="K302" s="1"/>
  <c r="K398" s="1"/>
  <c r="C157"/>
  <c r="K305" s="1"/>
  <c r="K401" s="1"/>
  <c r="C162"/>
  <c r="K310" s="1"/>
  <c r="K406" s="1"/>
  <c r="C159"/>
  <c r="K307" s="1"/>
  <c r="K403" s="1"/>
  <c r="C161"/>
  <c r="K309" s="1"/>
  <c r="K405" s="1"/>
  <c r="C160"/>
  <c r="K308" s="1"/>
  <c r="K404" s="1"/>
  <c r="C155"/>
  <c r="K303" s="1"/>
  <c r="K399" s="1"/>
  <c r="F250"/>
  <c r="F271" s="1"/>
  <c r="D81"/>
  <c r="F309" s="1"/>
  <c r="F405" s="1"/>
  <c r="D37"/>
  <c r="D309" s="1"/>
  <c r="D405" s="1"/>
  <c r="D18"/>
  <c r="D79"/>
  <c r="F307" s="1"/>
  <c r="F403" s="1"/>
  <c r="D35"/>
  <c r="D307" s="1"/>
  <c r="D403" s="1"/>
  <c r="D16"/>
  <c r="D31"/>
  <c r="D303" s="1"/>
  <c r="D399" s="1"/>
  <c r="D12"/>
  <c r="D82"/>
  <c r="F310" s="1"/>
  <c r="F406" s="1"/>
  <c r="D38"/>
  <c r="D310" s="1"/>
  <c r="D406" s="1"/>
  <c r="D19"/>
  <c r="D80"/>
  <c r="F308" s="1"/>
  <c r="F404" s="1"/>
  <c r="D36"/>
  <c r="D308" s="1"/>
  <c r="D404" s="1"/>
  <c r="D17"/>
  <c r="D78"/>
  <c r="F306" s="1"/>
  <c r="F402" s="1"/>
  <c r="D34"/>
  <c r="D306" s="1"/>
  <c r="D402" s="1"/>
  <c r="D15"/>
  <c r="D74"/>
  <c r="F302" s="1"/>
  <c r="F398" s="1"/>
  <c r="D30"/>
  <c r="D302" s="1"/>
  <c r="D398" s="1"/>
  <c r="D11"/>
  <c r="C93"/>
  <c r="G304" s="1"/>
  <c r="G400" s="1"/>
  <c r="L32"/>
  <c r="E304" s="1"/>
  <c r="E400" s="1"/>
  <c r="C98"/>
  <c r="G309" s="1"/>
  <c r="G405" s="1"/>
  <c r="L37"/>
  <c r="E309" s="1"/>
  <c r="E405" s="1"/>
  <c r="C96"/>
  <c r="G307" s="1"/>
  <c r="G403" s="1"/>
  <c r="L35"/>
  <c r="E307" s="1"/>
  <c r="E403" s="1"/>
  <c r="C99"/>
  <c r="G310" s="1"/>
  <c r="G406" s="1"/>
  <c r="L38"/>
  <c r="E310" s="1"/>
  <c r="E406" s="1"/>
  <c r="C97"/>
  <c r="G308" s="1"/>
  <c r="G404" s="1"/>
  <c r="L36"/>
  <c r="E308" s="1"/>
  <c r="E404" s="1"/>
  <c r="C95"/>
  <c r="G306" s="1"/>
  <c r="G402" s="1"/>
  <c r="L34"/>
  <c r="E306" s="1"/>
  <c r="E402" s="1"/>
  <c r="C91"/>
  <c r="G302" s="1"/>
  <c r="G398" s="1"/>
  <c r="L30"/>
  <c r="E302" s="1"/>
  <c r="E398" s="1"/>
  <c r="D76"/>
  <c r="F304" s="1"/>
  <c r="F400" s="1"/>
  <c r="D32"/>
  <c r="D304" s="1"/>
  <c r="D400" s="1"/>
  <c r="D13"/>
  <c r="D33"/>
  <c r="D305" s="1"/>
  <c r="D401" s="1"/>
  <c r="C92"/>
  <c r="G303" s="1"/>
  <c r="G399" s="1"/>
  <c r="C94"/>
  <c r="G305" s="1"/>
  <c r="G401" s="1"/>
  <c r="D14"/>
  <c r="L31"/>
  <c r="E303" s="1"/>
  <c r="E399" s="1"/>
  <c r="L33"/>
  <c r="E305" s="1"/>
  <c r="E401" s="1"/>
  <c r="D77"/>
  <c r="F305" s="1"/>
  <c r="F401" s="1"/>
  <c r="D75"/>
  <c r="F303" s="1"/>
  <c r="F399" s="1"/>
  <c r="F170"/>
  <c r="D160"/>
  <c r="K323" s="1"/>
  <c r="K419" s="1"/>
  <c r="D156"/>
  <c r="K319" s="1"/>
  <c r="K415" s="1"/>
  <c r="D159"/>
  <c r="K322" s="1"/>
  <c r="K418" s="1"/>
  <c r="D154"/>
  <c r="K317" s="1"/>
  <c r="D158"/>
  <c r="K321" s="1"/>
  <c r="K417" s="1"/>
  <c r="D162"/>
  <c r="K325" s="1"/>
  <c r="K421" s="1"/>
  <c r="D155"/>
  <c r="K318" s="1"/>
  <c r="K414" s="1"/>
  <c r="D161"/>
  <c r="K324" s="1"/>
  <c r="K420" s="1"/>
  <c r="D157"/>
  <c r="K320" s="1"/>
  <c r="K416" s="1"/>
  <c r="D91"/>
  <c r="G317" s="1"/>
  <c r="E32"/>
  <c r="D319" s="1"/>
  <c r="D415" s="1"/>
  <c r="D95"/>
  <c r="G321" s="1"/>
  <c r="G417" s="1"/>
  <c r="E36"/>
  <c r="D323" s="1"/>
  <c r="D419" s="1"/>
  <c r="D98"/>
  <c r="G324" s="1"/>
  <c r="G420" s="1"/>
  <c r="E12"/>
  <c r="C318" s="1"/>
  <c r="C414" s="1"/>
  <c r="E15"/>
  <c r="C321" s="1"/>
  <c r="C417" s="1"/>
  <c r="E19"/>
  <c r="C325" s="1"/>
  <c r="C421" s="1"/>
  <c r="E11"/>
  <c r="C317" s="1"/>
  <c r="E17"/>
  <c r="C323" s="1"/>
  <c r="C419" s="1"/>
  <c r="E18"/>
  <c r="C324" s="1"/>
  <c r="C420" s="1"/>
  <c r="E14"/>
  <c r="C320" s="1"/>
  <c r="C416" s="1"/>
  <c r="F251"/>
  <c r="F272" s="1"/>
  <c r="E80"/>
  <c r="F323" s="1"/>
  <c r="F419" s="1"/>
  <c r="E76"/>
  <c r="F319" s="1"/>
  <c r="F415" s="1"/>
  <c r="E82"/>
  <c r="F325" s="1"/>
  <c r="F421" s="1"/>
  <c r="E37"/>
  <c r="D324" s="1"/>
  <c r="D420" s="1"/>
  <c r="M36"/>
  <c r="E323" s="1"/>
  <c r="E419" s="1"/>
  <c r="E79"/>
  <c r="F322" s="1"/>
  <c r="F418" s="1"/>
  <c r="E78"/>
  <c r="F321" s="1"/>
  <c r="F417" s="1"/>
  <c r="M30"/>
  <c r="E317" s="1"/>
  <c r="E16"/>
  <c r="C322" s="1"/>
  <c r="C418" s="1"/>
  <c r="E13"/>
  <c r="C319" s="1"/>
  <c r="C415" s="1"/>
  <c r="M37"/>
  <c r="E324" s="1"/>
  <c r="E420" s="1"/>
  <c r="M34"/>
  <c r="E321" s="1"/>
  <c r="E417" s="1"/>
  <c r="E74"/>
  <c r="F317" s="1"/>
  <c r="M38"/>
  <c r="E325" s="1"/>
  <c r="E421" s="1"/>
  <c r="D99"/>
  <c r="G325" s="1"/>
  <c r="G421" s="1"/>
  <c r="E81"/>
  <c r="F324" s="1"/>
  <c r="F420" s="1"/>
  <c r="D97"/>
  <c r="G323" s="1"/>
  <c r="G419" s="1"/>
  <c r="M35"/>
  <c r="E322" s="1"/>
  <c r="E418" s="1"/>
  <c r="D96"/>
  <c r="G322" s="1"/>
  <c r="G418" s="1"/>
  <c r="E34"/>
  <c r="D321" s="1"/>
  <c r="D417" s="1"/>
  <c r="M32"/>
  <c r="E319" s="1"/>
  <c r="E415" s="1"/>
  <c r="D92"/>
  <c r="G318" s="1"/>
  <c r="G414" s="1"/>
  <c r="E31"/>
  <c r="D318" s="1"/>
  <c r="D414" s="1"/>
  <c r="E38"/>
  <c r="D325" s="1"/>
  <c r="D421" s="1"/>
  <c r="E35"/>
  <c r="D322" s="1"/>
  <c r="D418" s="1"/>
  <c r="D94"/>
  <c r="G320" s="1"/>
  <c r="G416" s="1"/>
  <c r="D93"/>
  <c r="G319" s="1"/>
  <c r="G415" s="1"/>
  <c r="E30"/>
  <c r="D317" s="1"/>
  <c r="E33"/>
  <c r="D320" s="1"/>
  <c r="D416" s="1"/>
  <c r="M33"/>
  <c r="E320" s="1"/>
  <c r="E416" s="1"/>
  <c r="E75"/>
  <c r="F318" s="1"/>
  <c r="F414" s="1"/>
  <c r="E77"/>
  <c r="F320" s="1"/>
  <c r="F416" s="1"/>
  <c r="M31"/>
  <c r="E318" s="1"/>
  <c r="E414" s="1"/>
  <c r="B239"/>
  <c r="B44" i="20"/>
  <c r="B57" s="1"/>
  <c r="C211" i="18"/>
  <c r="C165" i="17"/>
  <c r="B238" i="13"/>
  <c r="B43" i="20"/>
  <c r="B56" s="1"/>
  <c r="E135" i="13"/>
  <c r="J305" s="1"/>
  <c r="J320" s="1"/>
  <c r="D135"/>
  <c r="I305" s="1"/>
  <c r="I320" s="1"/>
  <c r="B245"/>
  <c r="B50" i="20"/>
  <c r="B63" s="1"/>
  <c r="B240" i="13"/>
  <c r="B45" i="20"/>
  <c r="B58" s="1"/>
  <c r="B244" i="13"/>
  <c r="B49" i="20"/>
  <c r="B62" s="1"/>
  <c r="B221" i="18"/>
  <c r="B188"/>
  <c r="E256" i="13"/>
  <c r="D256" s="1"/>
  <c r="B256" s="1"/>
  <c r="B281"/>
  <c r="B163" i="17"/>
  <c r="J271"/>
  <c r="B46" i="20"/>
  <c r="B59" s="1"/>
  <c r="B241" i="13"/>
  <c r="D133"/>
  <c r="I303" s="1"/>
  <c r="I318" s="1"/>
  <c r="E133"/>
  <c r="J303" s="1"/>
  <c r="J318" s="1"/>
  <c r="B242"/>
  <c r="B47" i="20"/>
  <c r="B60" s="1"/>
  <c r="B243" i="13"/>
  <c r="B48" i="20"/>
  <c r="B61" s="1"/>
  <c r="C213" i="18"/>
  <c r="C167" i="17"/>
  <c r="B237" i="13"/>
  <c r="B42" i="20"/>
  <c r="B55" s="1"/>
  <c r="F235" i="17"/>
  <c r="F254" i="13"/>
  <c r="D113"/>
  <c r="B192" i="17" l="1"/>
  <c r="U169"/>
  <c r="F413" i="13"/>
  <c r="F326"/>
  <c r="F422" s="1"/>
  <c r="D413"/>
  <c r="D326"/>
  <c r="D422" s="1"/>
  <c r="E413"/>
  <c r="E326"/>
  <c r="E422" s="1"/>
  <c r="C413"/>
  <c r="C326"/>
  <c r="C422" s="1"/>
  <c r="G413"/>
  <c r="G326"/>
  <c r="G422" s="1"/>
  <c r="K413"/>
  <c r="K326"/>
  <c r="K422" s="1"/>
  <c r="F192"/>
  <c r="D179"/>
  <c r="L322" s="1"/>
  <c r="L418" s="1"/>
  <c r="D182"/>
  <c r="L325" s="1"/>
  <c r="L421" s="1"/>
  <c r="D174"/>
  <c r="L317" s="1"/>
  <c r="D177"/>
  <c r="L320" s="1"/>
  <c r="L416" s="1"/>
  <c r="D176"/>
  <c r="L319" s="1"/>
  <c r="L415" s="1"/>
  <c r="D181"/>
  <c r="L324" s="1"/>
  <c r="L420" s="1"/>
  <c r="D180"/>
  <c r="L323" s="1"/>
  <c r="L419" s="1"/>
  <c r="D175"/>
  <c r="L318" s="1"/>
  <c r="L414" s="1"/>
  <c r="D178"/>
  <c r="L321" s="1"/>
  <c r="L417" s="1"/>
  <c r="C302" a="1"/>
  <c r="C302"/>
  <c r="C398" s="1"/>
  <c r="C308" a="1"/>
  <c r="C308"/>
  <c r="C404" s="1"/>
  <c r="C303" a="1"/>
  <c r="C303"/>
  <c r="C399" s="1"/>
  <c r="C307" a="1"/>
  <c r="C307"/>
  <c r="C403" s="1"/>
  <c r="F191"/>
  <c r="C179"/>
  <c r="L307" s="1" a="1"/>
  <c r="L307" s="1"/>
  <c r="L403" s="1"/>
  <c r="C176"/>
  <c r="L304" s="1" a="1"/>
  <c r="L304" s="1"/>
  <c r="L400" s="1"/>
  <c r="C175"/>
  <c r="L303" s="1" a="1"/>
  <c r="L303" s="1"/>
  <c r="L399" s="1"/>
  <c r="C178"/>
  <c r="L306" s="1" a="1"/>
  <c r="L306" s="1"/>
  <c r="L402" s="1"/>
  <c r="C177"/>
  <c r="L305" s="1" a="1"/>
  <c r="L305" s="1"/>
  <c r="L401" s="1"/>
  <c r="C181"/>
  <c r="L309" s="1" a="1"/>
  <c r="L309" s="1"/>
  <c r="L405" s="1"/>
  <c r="C180"/>
  <c r="L308" s="1" a="1"/>
  <c r="L308" s="1"/>
  <c r="L404" s="1"/>
  <c r="C182"/>
  <c r="L310" s="1" a="1"/>
  <c r="L310" s="1"/>
  <c r="L406" s="1"/>
  <c r="C174"/>
  <c r="L302" s="1" a="1"/>
  <c r="L302" s="1"/>
  <c r="L398" s="1"/>
  <c r="C305" a="1"/>
  <c r="C305"/>
  <c r="C401" s="1"/>
  <c r="C304" a="1"/>
  <c r="C304"/>
  <c r="C400" s="1"/>
  <c r="C306" a="1"/>
  <c r="C306"/>
  <c r="C402" s="1"/>
  <c r="C310" a="1"/>
  <c r="C310"/>
  <c r="C406" s="1"/>
  <c r="C309" a="1"/>
  <c r="C309"/>
  <c r="C405" s="1"/>
  <c r="H167" i="17"/>
  <c r="I167"/>
  <c r="C196"/>
  <c r="B262" i="13"/>
  <c r="H165" i="17"/>
  <c r="I165"/>
  <c r="C194"/>
  <c r="B258" i="13"/>
  <c r="C226" i="18"/>
  <c r="E226" s="1"/>
  <c r="F225" s="1"/>
  <c r="F229" s="1"/>
  <c r="E213"/>
  <c r="F212" s="1"/>
  <c r="F215" s="1"/>
  <c r="C193"/>
  <c r="B264" i="13"/>
  <c r="B263"/>
  <c r="B280"/>
  <c r="B162" i="17"/>
  <c r="J270"/>
  <c r="B265" i="13"/>
  <c r="B261"/>
  <c r="B266"/>
  <c r="B259"/>
  <c r="C224" i="18"/>
  <c r="E224" s="1"/>
  <c r="E211"/>
  <c r="C191"/>
  <c r="B260" i="13"/>
  <c r="D262"/>
  <c r="P306" s="1"/>
  <c r="P402" s="1"/>
  <c r="D264"/>
  <c r="P308" s="1"/>
  <c r="P404" s="1"/>
  <c r="D260"/>
  <c r="P304" s="1"/>
  <c r="P400" s="1"/>
  <c r="D261"/>
  <c r="P305" s="1"/>
  <c r="P401" s="1"/>
  <c r="D263"/>
  <c r="P307" s="1"/>
  <c r="P403" s="1"/>
  <c r="D265"/>
  <c r="P309" s="1"/>
  <c r="P405" s="1"/>
  <c r="D259"/>
  <c r="P303" s="1"/>
  <c r="P399" s="1"/>
  <c r="E266"/>
  <c r="P325" s="1"/>
  <c r="P421" s="1"/>
  <c r="E259"/>
  <c r="P318" s="1"/>
  <c r="P414" s="1"/>
  <c r="E264"/>
  <c r="P323" s="1"/>
  <c r="P419" s="1"/>
  <c r="E260"/>
  <c r="P319" s="1"/>
  <c r="P415" s="1"/>
  <c r="E263"/>
  <c r="P322" s="1"/>
  <c r="P418" s="1"/>
  <c r="D258"/>
  <c r="P302" s="1"/>
  <c r="P398" s="1"/>
  <c r="D266"/>
  <c r="P310" s="1"/>
  <c r="P406" s="1"/>
  <c r="E262"/>
  <c r="P321" s="1"/>
  <c r="P417" s="1"/>
  <c r="E258"/>
  <c r="P317" s="1"/>
  <c r="E261"/>
  <c r="P320" s="1"/>
  <c r="P416" s="1"/>
  <c r="E265"/>
  <c r="P324" s="1"/>
  <c r="P420" s="1"/>
  <c r="E117"/>
  <c r="H317" s="1"/>
  <c r="E118"/>
  <c r="H318" s="1"/>
  <c r="H414" s="1"/>
  <c r="E124"/>
  <c r="H324" s="1"/>
  <c r="H420" s="1"/>
  <c r="D124"/>
  <c r="H309" s="1"/>
  <c r="H405" s="1"/>
  <c r="D122"/>
  <c r="H307" s="1"/>
  <c r="H403" s="1"/>
  <c r="D120"/>
  <c r="H305" s="1"/>
  <c r="H401" s="1"/>
  <c r="D118"/>
  <c r="H303" s="1"/>
  <c r="H399" s="1"/>
  <c r="D125"/>
  <c r="H310" s="1"/>
  <c r="H406" s="1"/>
  <c r="D123"/>
  <c r="H308" s="1"/>
  <c r="H404" s="1"/>
  <c r="D121"/>
  <c r="H306" s="1"/>
  <c r="H402" s="1"/>
  <c r="D117"/>
  <c r="H302" s="1"/>
  <c r="H398" s="1"/>
  <c r="D119"/>
  <c r="H304" s="1"/>
  <c r="H400" s="1"/>
  <c r="E119"/>
  <c r="H319" s="1"/>
  <c r="H415" s="1"/>
  <c r="E121"/>
  <c r="H321" s="1"/>
  <c r="H417" s="1"/>
  <c r="E120"/>
  <c r="H320" s="1"/>
  <c r="H416" s="1"/>
  <c r="E122"/>
  <c r="H322" s="1"/>
  <c r="H418" s="1"/>
  <c r="E123"/>
  <c r="H323" s="1"/>
  <c r="H419" s="1"/>
  <c r="E125"/>
  <c r="H325" s="1"/>
  <c r="H421" s="1"/>
  <c r="B191" i="17" l="1"/>
  <c r="U168"/>
  <c r="H413" i="13"/>
  <c r="H326"/>
  <c r="H422" s="1"/>
  <c r="P413"/>
  <c r="P326"/>
  <c r="P422" s="1"/>
  <c r="L413"/>
  <c r="L326"/>
  <c r="L422" s="1"/>
  <c r="F209"/>
  <c r="C204"/>
  <c r="M310" s="1"/>
  <c r="M406" s="1"/>
  <c r="C197"/>
  <c r="M303" s="1"/>
  <c r="M399" s="1"/>
  <c r="C202"/>
  <c r="M308" s="1"/>
  <c r="M404" s="1"/>
  <c r="C201"/>
  <c r="M307" s="1"/>
  <c r="M403" s="1"/>
  <c r="C200"/>
  <c r="M306" s="1"/>
  <c r="M402" s="1"/>
  <c r="C198"/>
  <c r="M304" s="1"/>
  <c r="M400" s="1"/>
  <c r="C196"/>
  <c r="M302" s="1"/>
  <c r="M398" s="1"/>
  <c r="C203"/>
  <c r="M309" s="1"/>
  <c r="M405" s="1"/>
  <c r="C199"/>
  <c r="M305" s="1"/>
  <c r="M401" s="1"/>
  <c r="F210"/>
  <c r="D197"/>
  <c r="M318" s="1"/>
  <c r="M414" s="1"/>
  <c r="D198"/>
  <c r="M319" s="1"/>
  <c r="M415" s="1"/>
  <c r="D196"/>
  <c r="M317" s="1"/>
  <c r="D203"/>
  <c r="M324" s="1"/>
  <c r="M420" s="1"/>
  <c r="D199"/>
  <c r="M320" s="1"/>
  <c r="M416" s="1"/>
  <c r="D204"/>
  <c r="M325" s="1"/>
  <c r="M421" s="1"/>
  <c r="D202"/>
  <c r="M323" s="1"/>
  <c r="M419" s="1"/>
  <c r="D201"/>
  <c r="M322" s="1"/>
  <c r="M418" s="1"/>
  <c r="D200"/>
  <c r="M321" s="1"/>
  <c r="M417" s="1"/>
  <c r="F220" i="18"/>
  <c r="E191"/>
  <c r="D191"/>
  <c r="J280" i="17"/>
  <c r="B172"/>
  <c r="B290" i="13"/>
  <c r="B171" i="17"/>
  <c r="B289" i="13"/>
  <c r="J279" i="17"/>
  <c r="B287" i="13"/>
  <c r="B169" i="17"/>
  <c r="J277"/>
  <c r="D193" i="18"/>
  <c r="E193"/>
  <c r="B166" i="17"/>
  <c r="B284" i="13"/>
  <c r="J274" i="17"/>
  <c r="B283" i="13"/>
  <c r="J273" i="17"/>
  <c r="B165"/>
  <c r="B167"/>
  <c r="B285" i="13"/>
  <c r="J275" i="17"/>
  <c r="B170"/>
  <c r="B288" i="13"/>
  <c r="J278" i="17"/>
  <c r="B164"/>
  <c r="J272"/>
  <c r="B282" i="13"/>
  <c r="B168" i="17"/>
  <c r="B286" i="13"/>
  <c r="J276" i="17"/>
  <c r="B193" l="1"/>
  <c r="U170"/>
  <c r="B196"/>
  <c r="U173"/>
  <c r="B195"/>
  <c r="U172"/>
  <c r="B198"/>
  <c r="U175"/>
  <c r="B200"/>
  <c r="U177"/>
  <c r="B201"/>
  <c r="U178"/>
  <c r="B197"/>
  <c r="U174"/>
  <c r="B199"/>
  <c r="U176"/>
  <c r="B194"/>
  <c r="U171"/>
  <c r="M413" i="13"/>
  <c r="M326"/>
  <c r="M422" s="1"/>
  <c r="F233"/>
  <c r="D216"/>
  <c r="D215"/>
  <c r="D217"/>
  <c r="D221"/>
  <c r="D218"/>
  <c r="D219"/>
  <c r="D222"/>
  <c r="D214"/>
  <c r="D220"/>
  <c r="F232"/>
  <c r="C222"/>
  <c r="C216"/>
  <c r="C215"/>
  <c r="C217"/>
  <c r="C221"/>
  <c r="C218"/>
  <c r="C219"/>
  <c r="C220"/>
  <c r="C214"/>
  <c r="D287" i="18" l="1"/>
  <c r="H287" s="1"/>
  <c r="F144" i="20"/>
  <c r="C203" s="1"/>
  <c r="C48"/>
  <c r="N308" i="13"/>
  <c r="N404" s="1"/>
  <c r="D124" i="22"/>
  <c r="D215" s="1"/>
  <c r="B152" i="18"/>
  <c r="B166" s="1"/>
  <c r="K278" i="17"/>
  <c r="D285" i="18"/>
  <c r="H285" s="1"/>
  <c r="F142" i="20"/>
  <c r="C201" s="1"/>
  <c r="C46"/>
  <c r="N306" i="13"/>
  <c r="N402" s="1"/>
  <c r="D122" i="22"/>
  <c r="D213" s="1"/>
  <c r="B150" i="18"/>
  <c r="B164" s="1"/>
  <c r="K276" i="17"/>
  <c r="D284" i="18"/>
  <c r="H284" s="1"/>
  <c r="D121" i="22"/>
  <c r="D212" s="1"/>
  <c r="C45" i="20"/>
  <c r="N305" i="13"/>
  <c r="N401" s="1"/>
  <c r="F141" i="20"/>
  <c r="C200" s="1"/>
  <c r="B149" i="18"/>
  <c r="B163" s="1"/>
  <c r="K275" i="17"/>
  <c r="D283" i="18"/>
  <c r="H283" s="1"/>
  <c r="F140" i="20"/>
  <c r="C199" s="1"/>
  <c r="C44"/>
  <c r="N304" i="13"/>
  <c r="N400" s="1"/>
  <c r="D120" i="22"/>
  <c r="D211" s="1"/>
  <c r="B148" i="18"/>
  <c r="B162" s="1"/>
  <c r="K274" i="17"/>
  <c r="C241" i="13"/>
  <c r="O306" s="1"/>
  <c r="O402" s="1"/>
  <c r="C237"/>
  <c r="O302" s="1"/>
  <c r="O398" s="1"/>
  <c r="C244"/>
  <c r="O309" s="1"/>
  <c r="O405" s="1"/>
  <c r="C240"/>
  <c r="O305" s="1"/>
  <c r="O401" s="1"/>
  <c r="C238"/>
  <c r="O303" s="1"/>
  <c r="O399" s="1"/>
  <c r="C239"/>
  <c r="O304" s="1"/>
  <c r="O400" s="1"/>
  <c r="C243"/>
  <c r="O308" s="1"/>
  <c r="O404" s="1"/>
  <c r="C242"/>
  <c r="O307" s="1"/>
  <c r="O403" s="1"/>
  <c r="C245"/>
  <c r="O310" s="1"/>
  <c r="O406" s="1"/>
  <c r="E281" i="18"/>
  <c r="E118" i="22"/>
  <c r="E209" s="1"/>
  <c r="D42" i="20"/>
  <c r="N317" i="13"/>
  <c r="G138" i="20"/>
  <c r="D197" s="1"/>
  <c r="C146" i="18"/>
  <c r="C160" s="1"/>
  <c r="L272" i="17"/>
  <c r="E286" i="18"/>
  <c r="E123" i="22"/>
  <c r="E214" s="1"/>
  <c r="D47" i="20"/>
  <c r="N322" i="13"/>
  <c r="N418" s="1"/>
  <c r="G143" i="20"/>
  <c r="D202" s="1"/>
  <c r="C151" i="18"/>
  <c r="C165" s="1"/>
  <c r="L277" i="17"/>
  <c r="E288" i="18"/>
  <c r="G145" i="20"/>
  <c r="D204" s="1"/>
  <c r="C153" i="18"/>
  <c r="C167" s="1"/>
  <c r="L279" i="17"/>
  <c r="E125" i="22"/>
  <c r="E216" s="1"/>
  <c r="N324" i="13"/>
  <c r="N420" s="1"/>
  <c r="D49" i="20"/>
  <c r="E282" i="18"/>
  <c r="G139" i="20"/>
  <c r="D198" s="1"/>
  <c r="D43"/>
  <c r="L273" i="17"/>
  <c r="E119" i="22"/>
  <c r="E210" s="1"/>
  <c r="C147" i="18"/>
  <c r="C161" s="1"/>
  <c r="N318" i="13"/>
  <c r="N414" s="1"/>
  <c r="D243"/>
  <c r="O323" s="1"/>
  <c r="O419" s="1"/>
  <c r="D242"/>
  <c r="O322" s="1"/>
  <c r="O418" s="1"/>
  <c r="D245"/>
  <c r="O325" s="1"/>
  <c r="O421" s="1"/>
  <c r="D241"/>
  <c r="O321" s="1"/>
  <c r="O417" s="1"/>
  <c r="D237"/>
  <c r="O317" s="1"/>
  <c r="D244"/>
  <c r="O324" s="1"/>
  <c r="O420" s="1"/>
  <c r="D240"/>
  <c r="O320" s="1"/>
  <c r="O416" s="1"/>
  <c r="D238"/>
  <c r="O318" s="1"/>
  <c r="O414" s="1"/>
  <c r="D239"/>
  <c r="O319" s="1"/>
  <c r="O415" s="1"/>
  <c r="D281" i="18"/>
  <c r="H281" s="1"/>
  <c r="F138" i="20"/>
  <c r="C197" s="1"/>
  <c r="C42"/>
  <c r="K272" i="17"/>
  <c r="D118" i="22"/>
  <c r="D209" s="1"/>
  <c r="B146" i="18"/>
  <c r="B160" s="1"/>
  <c r="N302" i="13"/>
  <c r="N398" s="1"/>
  <c r="D286" i="18"/>
  <c r="H286" s="1"/>
  <c r="F143" i="20"/>
  <c r="C202" s="1"/>
  <c r="B151" i="18"/>
  <c r="B165" s="1"/>
  <c r="K277" i="17"/>
  <c r="D123" i="22"/>
  <c r="D214" s="1"/>
  <c r="C47" i="20"/>
  <c r="N307" i="13"/>
  <c r="N403" s="1"/>
  <c r="D288" i="18"/>
  <c r="H288" s="1"/>
  <c r="F145" i="20"/>
  <c r="C204" s="1"/>
  <c r="K279" i="17"/>
  <c r="B153" i="18"/>
  <c r="B167" s="1"/>
  <c r="D125" i="22"/>
  <c r="D216" s="1"/>
  <c r="N309" i="13"/>
  <c r="N405" s="1"/>
  <c r="C49" i="20"/>
  <c r="D282" i="18"/>
  <c r="H282" s="1"/>
  <c r="D119" i="22"/>
  <c r="D210" s="1"/>
  <c r="C43" i="20"/>
  <c r="N303" i="13"/>
  <c r="N399" s="1"/>
  <c r="F139" i="20"/>
  <c r="C198" s="1"/>
  <c r="B147" i="18"/>
  <c r="B161" s="1"/>
  <c r="K273" i="17"/>
  <c r="D289" i="18"/>
  <c r="H289" s="1"/>
  <c r="D126" i="22"/>
  <c r="D217" s="1"/>
  <c r="B154" i="18"/>
  <c r="B168" s="1"/>
  <c r="K280" i="17"/>
  <c r="F146" i="20"/>
  <c r="C205" s="1"/>
  <c r="C50"/>
  <c r="N310" i="13"/>
  <c r="N406" s="1"/>
  <c r="E287" i="18"/>
  <c r="E124" i="22"/>
  <c r="E215" s="1"/>
  <c r="D48" i="20"/>
  <c r="N323" i="13"/>
  <c r="N419" s="1"/>
  <c r="G144" i="20"/>
  <c r="D203" s="1"/>
  <c r="C152" i="18"/>
  <c r="C166" s="1"/>
  <c r="L278" i="17"/>
  <c r="E289" i="18"/>
  <c r="G146" i="20"/>
  <c r="D205" s="1"/>
  <c r="C154" i="18"/>
  <c r="C168" s="1"/>
  <c r="L280" i="17"/>
  <c r="E126" i="22"/>
  <c r="E217" s="1"/>
  <c r="D50" i="20"/>
  <c r="N325" i="13"/>
  <c r="N421" s="1"/>
  <c r="E285" i="18"/>
  <c r="E122" i="22"/>
  <c r="E213" s="1"/>
  <c r="C150" i="18"/>
  <c r="C164" s="1"/>
  <c r="N321" i="13"/>
  <c r="N417" s="1"/>
  <c r="G142" i="20"/>
  <c r="D201" s="1"/>
  <c r="D46"/>
  <c r="L276" i="17"/>
  <c r="E284" i="18"/>
  <c r="G141" i="20"/>
  <c r="D200" s="1"/>
  <c r="C149" i="18"/>
  <c r="C163" s="1"/>
  <c r="L275" i="17"/>
  <c r="E121" i="22"/>
  <c r="E212" s="1"/>
  <c r="D45" i="20"/>
  <c r="N320" i="13"/>
  <c r="N416" s="1"/>
  <c r="E283" i="18"/>
  <c r="E120" i="22"/>
  <c r="E211" s="1"/>
  <c r="D44" i="20"/>
  <c r="N319" i="13"/>
  <c r="N415" s="1"/>
  <c r="G140" i="20"/>
  <c r="D199" s="1"/>
  <c r="C148" i="18"/>
  <c r="C162" s="1"/>
  <c r="L274" i="17"/>
  <c r="C271" i="11"/>
  <c r="C273"/>
  <c r="N413" i="13" l="1"/>
  <c r="N326"/>
  <c r="N422" s="1"/>
  <c r="O413"/>
  <c r="O326"/>
  <c r="O422" s="1"/>
  <c r="R302"/>
  <c r="R398" s="1"/>
  <c r="K13" i="7"/>
  <c r="J125" s="1"/>
  <c r="J173" s="1"/>
  <c r="D218" s="1"/>
  <c r="D274" s="1"/>
  <c r="C302" s="1"/>
  <c r="C321" s="1"/>
  <c r="C344" s="1"/>
  <c r="C364" s="1"/>
  <c r="K166" i="17"/>
  <c r="K167"/>
  <c r="K14" i="7"/>
  <c r="J126" s="1"/>
  <c r="J174" s="1"/>
  <c r="D219" s="1"/>
  <c r="D275" s="1"/>
  <c r="C303" s="1"/>
  <c r="C322" s="1"/>
  <c r="C345" s="1"/>
  <c r="C365" s="1"/>
  <c r="H46" i="20"/>
  <c r="D59"/>
  <c r="K15" i="7"/>
  <c r="J127" s="1"/>
  <c r="J175" s="1"/>
  <c r="D220" s="1"/>
  <c r="D276" s="1"/>
  <c r="C304" s="1"/>
  <c r="C323" s="1"/>
  <c r="C346" s="1"/>
  <c r="C366" s="1"/>
  <c r="K168" i="17"/>
  <c r="K172"/>
  <c r="K19" i="7"/>
  <c r="J131" s="1"/>
  <c r="J179" s="1"/>
  <c r="D224" s="1"/>
  <c r="D280" s="1"/>
  <c r="C308" s="1"/>
  <c r="C327" s="1"/>
  <c r="C350" s="1"/>
  <c r="C370" s="1"/>
  <c r="K170" i="17"/>
  <c r="K17" i="7"/>
  <c r="J129" s="1"/>
  <c r="J177" s="1"/>
  <c r="D222" s="1"/>
  <c r="D278" s="1"/>
  <c r="C306" s="1"/>
  <c r="C325" s="1"/>
  <c r="C348" s="1"/>
  <c r="C368" s="1"/>
  <c r="J172" i="17"/>
  <c r="J19" i="7"/>
  <c r="I131" s="1"/>
  <c r="I179" s="1"/>
  <c r="C224" s="1"/>
  <c r="C280" s="1"/>
  <c r="B308" s="1"/>
  <c r="B327" s="1"/>
  <c r="B350" s="1"/>
  <c r="B370" s="1"/>
  <c r="J165" i="17"/>
  <c r="J12" i="7"/>
  <c r="I124" s="1"/>
  <c r="I172" s="1"/>
  <c r="C217" s="1"/>
  <c r="C273" s="1"/>
  <c r="B301" s="1"/>
  <c r="B320" s="1"/>
  <c r="B343" s="1"/>
  <c r="B363" s="1"/>
  <c r="G49" i="20"/>
  <c r="C62"/>
  <c r="G47"/>
  <c r="C60"/>
  <c r="J164" i="17"/>
  <c r="J11" i="7"/>
  <c r="I123" s="1"/>
  <c r="I171" s="1"/>
  <c r="C216" s="1"/>
  <c r="C272" s="1"/>
  <c r="B300" s="1"/>
  <c r="B319" s="1"/>
  <c r="B342" s="1"/>
  <c r="B362" s="1"/>
  <c r="G42" i="20"/>
  <c r="C55"/>
  <c r="K165" i="17"/>
  <c r="K12" i="7"/>
  <c r="J124" s="1"/>
  <c r="J172" s="1"/>
  <c r="D217" s="1"/>
  <c r="D273" s="1"/>
  <c r="C301" s="1"/>
  <c r="C320" s="1"/>
  <c r="C343" s="1"/>
  <c r="C363" s="1"/>
  <c r="H43" i="20"/>
  <c r="D56"/>
  <c r="K171" i="17"/>
  <c r="K18" i="7"/>
  <c r="J130" s="1"/>
  <c r="J178" s="1"/>
  <c r="D223" s="1"/>
  <c r="D279" s="1"/>
  <c r="C307" s="1"/>
  <c r="C326" s="1"/>
  <c r="C349" s="1"/>
  <c r="C369" s="1"/>
  <c r="D60" i="20"/>
  <c r="H47"/>
  <c r="K11" i="7"/>
  <c r="J123" s="1"/>
  <c r="J171" s="1"/>
  <c r="D216" s="1"/>
  <c r="D272" s="1"/>
  <c r="C300" s="1"/>
  <c r="C319" s="1"/>
  <c r="C342" s="1"/>
  <c r="C362" s="1"/>
  <c r="K164" i="17"/>
  <c r="J13" i="7"/>
  <c r="I125" s="1"/>
  <c r="I173" s="1"/>
  <c r="C218" s="1"/>
  <c r="C274" s="1"/>
  <c r="B302" s="1"/>
  <c r="B321" s="1"/>
  <c r="B344" s="1"/>
  <c r="B364" s="1"/>
  <c r="J166" i="17"/>
  <c r="G45" i="20"/>
  <c r="C58"/>
  <c r="J15" i="7"/>
  <c r="I127" s="1"/>
  <c r="I175" s="1"/>
  <c r="C220" s="1"/>
  <c r="C276" s="1"/>
  <c r="B304" s="1"/>
  <c r="B323" s="1"/>
  <c r="B346" s="1"/>
  <c r="B366" s="1"/>
  <c r="J168" i="17"/>
  <c r="G48" i="20"/>
  <c r="C61"/>
  <c r="D57"/>
  <c r="H44"/>
  <c r="H45"/>
  <c r="D58"/>
  <c r="D63"/>
  <c r="H50"/>
  <c r="D61"/>
  <c r="H48"/>
  <c r="C63"/>
  <c r="G50"/>
  <c r="C56"/>
  <c r="G43"/>
  <c r="J18" i="7"/>
  <c r="I130" s="1"/>
  <c r="I178" s="1"/>
  <c r="C223" s="1"/>
  <c r="C279" s="1"/>
  <c r="B307" s="1"/>
  <c r="B326" s="1"/>
  <c r="B349" s="1"/>
  <c r="B369" s="1"/>
  <c r="J171" i="17"/>
  <c r="J169"/>
  <c r="J16" i="7"/>
  <c r="I128" s="1"/>
  <c r="I176" s="1"/>
  <c r="C221" s="1"/>
  <c r="C277" s="1"/>
  <c r="B305" s="1"/>
  <c r="B324" s="1"/>
  <c r="B347" s="1"/>
  <c r="B367" s="1"/>
  <c r="D62" i="20"/>
  <c r="H49"/>
  <c r="K16" i="7"/>
  <c r="J128" s="1"/>
  <c r="J176" s="1"/>
  <c r="D221" s="1"/>
  <c r="D277" s="1"/>
  <c r="C305" s="1"/>
  <c r="C324" s="1"/>
  <c r="C347" s="1"/>
  <c r="C367" s="1"/>
  <c r="K169" i="17"/>
  <c r="H42" i="20"/>
  <c r="D55"/>
  <c r="G44"/>
  <c r="C57"/>
  <c r="J14" i="7"/>
  <c r="I126" s="1"/>
  <c r="I174" s="1"/>
  <c r="C219" s="1"/>
  <c r="C275" s="1"/>
  <c r="B303" s="1"/>
  <c r="B322" s="1"/>
  <c r="B345" s="1"/>
  <c r="B365" s="1"/>
  <c r="J167" i="17"/>
  <c r="C59" i="20"/>
  <c r="G46"/>
  <c r="J170" i="17"/>
  <c r="J17" i="7"/>
  <c r="I129" s="1"/>
  <c r="I177" s="1"/>
  <c r="C222" s="1"/>
  <c r="C278" s="1"/>
  <c r="B306" s="1"/>
  <c r="B325" s="1"/>
  <c r="B348" s="1"/>
  <c r="B368" s="1"/>
  <c r="N170" i="17" l="1"/>
  <c r="L170"/>
  <c r="G59" i="20"/>
  <c r="C214"/>
  <c r="G199"/>
  <c r="J44"/>
  <c r="H197"/>
  <c r="K42"/>
  <c r="D217"/>
  <c r="H62"/>
  <c r="N169" i="17"/>
  <c r="L169"/>
  <c r="C211" i="20"/>
  <c r="G56"/>
  <c r="C218"/>
  <c r="G63"/>
  <c r="D216"/>
  <c r="H61"/>
  <c r="H63"/>
  <c r="D218"/>
  <c r="H200"/>
  <c r="K45"/>
  <c r="D212"/>
  <c r="H57"/>
  <c r="G203"/>
  <c r="J48"/>
  <c r="G200"/>
  <c r="J45"/>
  <c r="D215"/>
  <c r="H60"/>
  <c r="M171" i="17"/>
  <c r="O171"/>
  <c r="H198" i="20"/>
  <c r="K43"/>
  <c r="M165" i="17"/>
  <c r="O165"/>
  <c r="G197" i="20"/>
  <c r="J42"/>
  <c r="N164" i="17"/>
  <c r="L164"/>
  <c r="G202" i="20"/>
  <c r="J47"/>
  <c r="G204"/>
  <c r="J49"/>
  <c r="L165" i="17"/>
  <c r="N165"/>
  <c r="N172"/>
  <c r="L172"/>
  <c r="M170"/>
  <c r="O170"/>
  <c r="O172"/>
  <c r="M172"/>
  <c r="H201" i="20"/>
  <c r="K46"/>
  <c r="M167" i="17"/>
  <c r="O167"/>
  <c r="G201" i="20"/>
  <c r="J46"/>
  <c r="L167" i="17"/>
  <c r="N167"/>
  <c r="C212" i="20"/>
  <c r="G57"/>
  <c r="D210"/>
  <c r="H55"/>
  <c r="M169" i="17"/>
  <c r="O169"/>
  <c r="K49" i="20"/>
  <c r="H204"/>
  <c r="L171" i="17"/>
  <c r="N171"/>
  <c r="G198" i="20"/>
  <c r="J43"/>
  <c r="J50"/>
  <c r="G205"/>
  <c r="H203"/>
  <c r="K48"/>
  <c r="K50"/>
  <c r="H205"/>
  <c r="D213"/>
  <c r="H58"/>
  <c r="H199"/>
  <c r="K44"/>
  <c r="C216"/>
  <c r="G61"/>
  <c r="N168" i="17"/>
  <c r="L168"/>
  <c r="G58" i="20"/>
  <c r="C213"/>
  <c r="L166" i="17"/>
  <c r="N166"/>
  <c r="O164"/>
  <c r="M164"/>
  <c r="H202" i="20"/>
  <c r="K47"/>
  <c r="H56"/>
  <c r="D211"/>
  <c r="G55"/>
  <c r="C210"/>
  <c r="C215"/>
  <c r="G60"/>
  <c r="C217"/>
  <c r="G62"/>
  <c r="M168" i="17"/>
  <c r="O168"/>
  <c r="H59" i="20"/>
  <c r="D214"/>
  <c r="O166" i="17"/>
  <c r="M166"/>
  <c r="G217" i="20" l="1"/>
  <c r="J62"/>
  <c r="J60"/>
  <c r="G215"/>
  <c r="K202"/>
  <c r="M202" s="1"/>
  <c r="M47"/>
  <c r="J61"/>
  <c r="G216"/>
  <c r="M44"/>
  <c r="K199"/>
  <c r="M199" s="1"/>
  <c r="K58"/>
  <c r="H213"/>
  <c r="M48"/>
  <c r="K203"/>
  <c r="M203" s="1"/>
  <c r="L43"/>
  <c r="J198"/>
  <c r="L198" s="1"/>
  <c r="H210"/>
  <c r="K55"/>
  <c r="G212"/>
  <c r="J57"/>
  <c r="L46"/>
  <c r="J201"/>
  <c r="L201" s="1"/>
  <c r="F226" s="1"/>
  <c r="M46"/>
  <c r="K201"/>
  <c r="M201" s="1"/>
  <c r="J204"/>
  <c r="L204" s="1"/>
  <c r="L49"/>
  <c r="L47"/>
  <c r="J202"/>
  <c r="L202" s="1"/>
  <c r="K59"/>
  <c r="H214"/>
  <c r="J55"/>
  <c r="G210"/>
  <c r="K56"/>
  <c r="H211"/>
  <c r="J58"/>
  <c r="G213"/>
  <c r="M50"/>
  <c r="K205"/>
  <c r="M205" s="1"/>
  <c r="L50"/>
  <c r="J205"/>
  <c r="L205" s="1"/>
  <c r="M49"/>
  <c r="K204"/>
  <c r="M204" s="1"/>
  <c r="K63"/>
  <c r="H218"/>
  <c r="J59"/>
  <c r="G214"/>
  <c r="L42"/>
  <c r="J197"/>
  <c r="L197" s="1"/>
  <c r="M43"/>
  <c r="K198"/>
  <c r="M198" s="1"/>
  <c r="K60"/>
  <c r="H215"/>
  <c r="L45"/>
  <c r="J200"/>
  <c r="L200" s="1"/>
  <c r="J203"/>
  <c r="L203" s="1"/>
  <c r="L48"/>
  <c r="H212"/>
  <c r="K57"/>
  <c r="M45"/>
  <c r="K200"/>
  <c r="M200" s="1"/>
  <c r="H216"/>
  <c r="K61"/>
  <c r="G218"/>
  <c r="J63"/>
  <c r="J56"/>
  <c r="G211"/>
  <c r="H217"/>
  <c r="K62"/>
  <c r="M42"/>
  <c r="K197"/>
  <c r="M197" s="1"/>
  <c r="F225" s="1"/>
  <c r="L44"/>
  <c r="J199"/>
  <c r="L199" s="1"/>
  <c r="L56" l="1"/>
  <c r="J211"/>
  <c r="L211" s="1"/>
  <c r="M60"/>
  <c r="K215"/>
  <c r="M215" s="1"/>
  <c r="J214"/>
  <c r="L214" s="1"/>
  <c r="L59"/>
  <c r="K218"/>
  <c r="M218" s="1"/>
  <c r="M63"/>
  <c r="J213"/>
  <c r="L213" s="1"/>
  <c r="L58"/>
  <c r="M56"/>
  <c r="K211"/>
  <c r="M211" s="1"/>
  <c r="L55"/>
  <c r="J210"/>
  <c r="L210" s="1"/>
  <c r="M59"/>
  <c r="K214"/>
  <c r="M214" s="1"/>
  <c r="K213"/>
  <c r="M213" s="1"/>
  <c r="M58"/>
  <c r="J216"/>
  <c r="L216" s="1"/>
  <c r="L61"/>
  <c r="L60"/>
  <c r="J215"/>
  <c r="L215" s="1"/>
  <c r="N43"/>
  <c r="G237"/>
  <c r="I237" s="1"/>
  <c r="H224"/>
  <c r="E233" s="1"/>
  <c r="G236"/>
  <c r="I236" s="1"/>
  <c r="G238"/>
  <c r="I238" s="1"/>
  <c r="K217"/>
  <c r="M217" s="1"/>
  <c r="M62"/>
  <c r="J218"/>
  <c r="L218" s="1"/>
  <c r="L63"/>
  <c r="M61"/>
  <c r="K216"/>
  <c r="M216" s="1"/>
  <c r="K212"/>
  <c r="M212" s="1"/>
  <c r="M57"/>
  <c r="G243"/>
  <c r="I243" s="1"/>
  <c r="G244"/>
  <c r="I244" s="1"/>
  <c r="L57"/>
  <c r="J212"/>
  <c r="L212" s="1"/>
  <c r="M55"/>
  <c r="K210"/>
  <c r="M210" s="1"/>
  <c r="L62"/>
  <c r="J217"/>
  <c r="L217" s="1"/>
  <c r="G245" l="1"/>
  <c r="I245" s="1"/>
  <c r="F70"/>
  <c r="N55"/>
  <c r="G70" s="1"/>
  <c r="O261" i="17" l="1"/>
  <c r="G76" i="20"/>
  <c r="G73"/>
  <c r="G72"/>
  <c r="G79"/>
  <c r="G74"/>
  <c r="G82"/>
  <c r="G80"/>
  <c r="G75"/>
  <c r="G77"/>
  <c r="G81"/>
  <c r="G78"/>
  <c r="F75"/>
  <c r="F77"/>
  <c r="F79"/>
  <c r="F90"/>
  <c r="F63" i="10" s="1"/>
  <c r="F73" i="20"/>
  <c r="F74"/>
  <c r="F80"/>
  <c r="F76"/>
  <c r="F82"/>
  <c r="F81"/>
  <c r="F78"/>
  <c r="F72"/>
  <c r="M272" i="17"/>
  <c r="M274"/>
  <c r="N276"/>
  <c r="N275"/>
  <c r="N279"/>
  <c r="M276"/>
  <c r="N278"/>
  <c r="M277"/>
  <c r="N272"/>
  <c r="N273"/>
  <c r="M273"/>
  <c r="N280"/>
  <c r="N277"/>
  <c r="M278"/>
  <c r="N274"/>
  <c r="M275"/>
  <c r="M279"/>
  <c r="M280"/>
  <c r="B302" i="13" a="1"/>
  <c r="B302"/>
  <c r="E138" i="20" s="1" a="1"/>
  <c r="E138" s="1"/>
  <c r="C118" i="22" a="1"/>
  <c r="C118" s="1"/>
  <c r="C167" a="1"/>
  <c r="B317" i="13"/>
  <c r="F92" i="20" l="1"/>
  <c r="B197"/>
  <c r="B210" s="1"/>
  <c r="C167" i="22"/>
  <c r="G118"/>
  <c r="J110" i="20" l="1"/>
  <c r="H127"/>
  <c r="H128" s="1"/>
  <c r="G99"/>
  <c r="C209" i="22"/>
  <c r="C227" s="1"/>
  <c r="D227" s="1"/>
  <c r="F167"/>
  <c r="G167" s="1"/>
  <c r="D167"/>
  <c r="F38" i="18"/>
  <c r="G38"/>
  <c r="E52"/>
  <c r="D44" s="1"/>
  <c r="F52"/>
  <c r="E44" s="1"/>
  <c r="H145" i="20" l="1"/>
  <c r="J144"/>
  <c r="F124" i="22" s="1"/>
  <c r="J145" i="20"/>
  <c r="F125" i="22" s="1"/>
  <c r="J146" i="20"/>
  <c r="F126" i="22" s="1"/>
  <c r="H143" i="20"/>
  <c r="H139"/>
  <c r="J143"/>
  <c r="F123" i="22" s="1"/>
  <c r="H140" i="20"/>
  <c r="J139"/>
  <c r="F119" i="22" s="1"/>
  <c r="H144" i="20"/>
  <c r="H146"/>
  <c r="J140"/>
  <c r="F120" i="22" s="1"/>
  <c r="J142" i="20"/>
  <c r="F122" i="22" s="1"/>
  <c r="J141" i="20"/>
  <c r="F121" i="22" s="1"/>
  <c r="H142" i="20"/>
  <c r="H141"/>
  <c r="J138"/>
  <c r="F118" i="22" s="1"/>
  <c r="H138" i="20"/>
  <c r="E107" i="18"/>
  <c r="G68" i="10"/>
  <c r="E46" i="18"/>
  <c r="E45" s="1"/>
  <c r="G69" i="10" s="1"/>
  <c r="F68"/>
  <c r="D46" i="18"/>
  <c r="D45" s="1"/>
  <c r="F69" i="10" s="1"/>
  <c r="F209" i="22" l="1"/>
  <c r="H118"/>
  <c r="I118"/>
  <c r="H122"/>
  <c r="I122"/>
  <c r="F213"/>
  <c r="I119"/>
  <c r="H119"/>
  <c r="F210"/>
  <c r="H123"/>
  <c r="E267" s="1"/>
  <c r="E272" s="1"/>
  <c r="F214"/>
  <c r="I123"/>
  <c r="F216"/>
  <c r="I125"/>
  <c r="H125"/>
  <c r="I121"/>
  <c r="H121"/>
  <c r="F212"/>
  <c r="F211"/>
  <c r="H120"/>
  <c r="I120"/>
  <c r="I126"/>
  <c r="F217"/>
  <c r="H126"/>
  <c r="I124"/>
  <c r="F215"/>
  <c r="H124"/>
  <c r="F8"/>
  <c r="E214" i="17"/>
  <c r="L211" s="1"/>
  <c r="AA170" s="1"/>
  <c r="E186"/>
  <c r="P164" s="1"/>
  <c r="O263"/>
  <c r="O272" s="1"/>
  <c r="E79" i="18"/>
  <c r="F19" i="22" l="1"/>
  <c r="F17"/>
  <c r="E29" s="1"/>
  <c r="E246" i="18" s="1"/>
  <c r="Q164" i="17"/>
  <c r="J193" s="1"/>
  <c r="Q165"/>
  <c r="J194" s="1"/>
  <c r="L194" s="1"/>
  <c r="M194" s="1"/>
  <c r="W193" s="1"/>
  <c r="Q166"/>
  <c r="J195" s="1"/>
  <c r="L195" s="1"/>
  <c r="M195" s="1"/>
  <c r="W194" s="1"/>
  <c r="Q167"/>
  <c r="J196" s="1"/>
  <c r="L196" s="1"/>
  <c r="M196" s="1"/>
  <c r="W195" s="1"/>
  <c r="Q168"/>
  <c r="J197" s="1"/>
  <c r="L197" s="1"/>
  <c r="M197" s="1"/>
  <c r="W196" s="1"/>
  <c r="Q169"/>
  <c r="J198" s="1"/>
  <c r="L198" s="1"/>
  <c r="M198" s="1"/>
  <c r="W197" s="1"/>
  <c r="Q170"/>
  <c r="J199" s="1"/>
  <c r="L199" s="1"/>
  <c r="M199" s="1"/>
  <c r="W198" s="1"/>
  <c r="Q171"/>
  <c r="J200" s="1"/>
  <c r="L200" s="1"/>
  <c r="M200" s="1"/>
  <c r="W199" s="1"/>
  <c r="Q172"/>
  <c r="J201" s="1"/>
  <c r="L201" s="1"/>
  <c r="M201" s="1"/>
  <c r="W200" s="1"/>
  <c r="H193"/>
  <c r="H195"/>
  <c r="H197"/>
  <c r="H199"/>
  <c r="H201"/>
  <c r="V170"/>
  <c r="P165"/>
  <c r="V171" s="1"/>
  <c r="P166"/>
  <c r="V172" s="1"/>
  <c r="P167"/>
  <c r="V173" s="1"/>
  <c r="P168"/>
  <c r="V174" s="1"/>
  <c r="P169"/>
  <c r="V175" s="1"/>
  <c r="P170"/>
  <c r="V176" s="1"/>
  <c r="P171"/>
  <c r="V177" s="1"/>
  <c r="P172"/>
  <c r="V178" s="1"/>
  <c r="H194"/>
  <c r="H196"/>
  <c r="H198"/>
  <c r="H200"/>
  <c r="P272"/>
  <c r="P273"/>
  <c r="P274"/>
  <c r="P275"/>
  <c r="P276"/>
  <c r="P277"/>
  <c r="P278"/>
  <c r="P279"/>
  <c r="P280"/>
  <c r="O273"/>
  <c r="D283" i="13" s="1"/>
  <c r="O274" i="17"/>
  <c r="D284" i="13" s="1"/>
  <c r="O275" i="17"/>
  <c r="D285" i="13" s="1"/>
  <c r="O276" i="17"/>
  <c r="D286" i="13" s="1"/>
  <c r="O277" i="17"/>
  <c r="D287" i="13" s="1"/>
  <c r="O278" i="17"/>
  <c r="D288" i="13" s="1"/>
  <c r="O279" i="17"/>
  <c r="D289" i="13" s="1"/>
  <c r="O280" i="17"/>
  <c r="D290" i="13" s="1"/>
  <c r="E229" i="17"/>
  <c r="L225" s="1"/>
  <c r="AA174" s="1"/>
  <c r="L193" l="1"/>
  <c r="M193" s="1"/>
  <c r="W192" s="1"/>
  <c r="O264"/>
  <c r="E78" i="18"/>
  <c r="E104"/>
  <c r="O282" i="17"/>
  <c r="D282" i="13"/>
  <c r="C290"/>
  <c r="I201" i="17"/>
  <c r="K201" s="1"/>
  <c r="C288" i="13"/>
  <c r="I199" i="17"/>
  <c r="K199" s="1"/>
  <c r="C286" i="13"/>
  <c r="I197" i="17"/>
  <c r="K197" s="1"/>
  <c r="C284" i="13"/>
  <c r="I195" i="17"/>
  <c r="K195" s="1"/>
  <c r="C282" i="13"/>
  <c r="I193" i="17"/>
  <c r="K193" s="1"/>
  <c r="I200"/>
  <c r="K200" s="1"/>
  <c r="C289" i="13"/>
  <c r="I198" i="17"/>
  <c r="K198" s="1"/>
  <c r="C287" i="13"/>
  <c r="I196" i="17"/>
  <c r="K196" s="1"/>
  <c r="C285" i="13"/>
  <c r="I194" i="17"/>
  <c r="K194" s="1"/>
  <c r="C283" i="13"/>
  <c r="P282" i="17"/>
  <c r="O265" l="1"/>
  <c r="P265" s="1"/>
  <c r="E283" i="13"/>
  <c r="Q303" s="1"/>
  <c r="F283"/>
  <c r="Q318" s="1"/>
  <c r="E282"/>
  <c r="Q302" s="1"/>
  <c r="Q398" s="1"/>
  <c r="F282"/>
  <c r="Q317" s="1"/>
  <c r="E284"/>
  <c r="Q304" s="1"/>
  <c r="F284"/>
  <c r="Q319" s="1"/>
  <c r="E286"/>
  <c r="Q306" s="1"/>
  <c r="F286"/>
  <c r="Q321" s="1"/>
  <c r="E288"/>
  <c r="Q308" s="1"/>
  <c r="F288"/>
  <c r="Q323" s="1"/>
  <c r="E290"/>
  <c r="Q310" s="1"/>
  <c r="F290"/>
  <c r="Q325" s="1"/>
  <c r="C83" i="18"/>
  <c r="E106" s="1"/>
  <c r="G71"/>
  <c r="C87"/>
  <c r="E285" i="13"/>
  <c r="Q305" s="1"/>
  <c r="F285"/>
  <c r="Q320" s="1"/>
  <c r="E287"/>
  <c r="Q307" s="1"/>
  <c r="F287"/>
  <c r="Q322" s="1"/>
  <c r="E289"/>
  <c r="Q309" s="1"/>
  <c r="F289"/>
  <c r="Q324" s="1"/>
  <c r="F61" i="10"/>
  <c r="D110" i="18"/>
  <c r="R309" i="13" l="1"/>
  <c r="R405" s="1"/>
  <c r="Q405"/>
  <c r="R307"/>
  <c r="R403" s="1"/>
  <c r="Q403"/>
  <c r="R305"/>
  <c r="R401" s="1"/>
  <c r="Q401"/>
  <c r="R325"/>
  <c r="R421" s="1"/>
  <c r="Q421"/>
  <c r="R323"/>
  <c r="R419" s="1"/>
  <c r="Q419"/>
  <c r="R321"/>
  <c r="R417" s="1"/>
  <c r="Q417"/>
  <c r="R319"/>
  <c r="R415" s="1"/>
  <c r="Q415"/>
  <c r="R317"/>
  <c r="Q413"/>
  <c r="Q326"/>
  <c r="Q422" s="1"/>
  <c r="R318"/>
  <c r="R414" s="1"/>
  <c r="Q414"/>
  <c r="R324"/>
  <c r="R420" s="1"/>
  <c r="Q420"/>
  <c r="R322"/>
  <c r="R418" s="1"/>
  <c r="Q418"/>
  <c r="R320"/>
  <c r="R416" s="1"/>
  <c r="Q416"/>
  <c r="R310"/>
  <c r="R406" s="1"/>
  <c r="Q406"/>
  <c r="R308"/>
  <c r="R404" s="1"/>
  <c r="Q404"/>
  <c r="R306"/>
  <c r="R402" s="1"/>
  <c r="Q402"/>
  <c r="R304"/>
  <c r="R400" s="1"/>
  <c r="Q400"/>
  <c r="R303"/>
  <c r="R399" s="1"/>
  <c r="Q399"/>
  <c r="R413" l="1"/>
  <c r="R326"/>
  <c r="R422" s="1"/>
</calcChain>
</file>

<file path=xl/comments1.xml><?xml version="1.0" encoding="utf-8"?>
<comments xmlns="http://schemas.openxmlformats.org/spreadsheetml/2006/main">
  <authors>
    <author>Ariel</author>
  </authors>
  <commentList>
    <comment ref="A7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cambiar potencia + HP y cambia de toda la planilla
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Cambiar potencia + HP y cambia de toda la planilla
</t>
        </r>
      </text>
    </comment>
    <comment ref="J62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Recordar que hélice con tobera en arrastre genera una ganancia de potencia del 15 % por eso es mayor que la pot nominal
</t>
        </r>
      </text>
    </comment>
  </commentList>
</comments>
</file>

<file path=xl/comments2.xml><?xml version="1.0" encoding="utf-8"?>
<comments xmlns="http://schemas.openxmlformats.org/spreadsheetml/2006/main">
  <authors>
    <author>Ariel</author>
  </authors>
  <commentList>
    <comment ref="K55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Fisherman Workbook
Nylon multifilamento retorcido.</t>
        </r>
      </text>
    </comment>
  </commentList>
</comments>
</file>

<file path=xl/comments3.xml><?xml version="1.0" encoding="utf-8"?>
<comments xmlns="http://schemas.openxmlformats.org/spreadsheetml/2006/main">
  <authors>
    <author>Ariel</author>
  </authors>
  <commentList>
    <comment ref="P265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redondea valor DPA/L para busqueda automatica en la tabla de catenarias
DPA/L redondeado</t>
        </r>
      </text>
    </comment>
    <comment ref="O266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Insertar manualmente por comparativa de la tabla de catenarias segun dá el valor de DPA/L</t>
        </r>
      </text>
    </comment>
  </commentList>
</comments>
</file>

<file path=xl/comments4.xml><?xml version="1.0" encoding="utf-8"?>
<comments xmlns="http://schemas.openxmlformats.org/spreadsheetml/2006/main">
  <authors>
    <author>Ariel</author>
  </authors>
  <commentList>
    <comment ref="F64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altura según catalogo
</t>
        </r>
      </text>
    </comment>
    <comment ref="F65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Las patentes se seleccionan en funcion de las condiciones de trabajo, aqui se seleccionan de un rango permitido aunque el optimo se calcula mas adelante
</t>
        </r>
      </text>
    </comment>
  </commentList>
</comments>
</file>

<file path=xl/comments5.xml><?xml version="1.0" encoding="utf-8"?>
<comments xmlns="http://schemas.openxmlformats.org/spreadsheetml/2006/main">
  <authors>
    <author>Ariel</author>
  </authors>
  <commentList>
    <comment ref="H65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angulo entre crujia y parentes, de 13 a 15 especies nadadoras. De 20 en adelante especies poco nadadoras
</t>
        </r>
      </text>
    </comment>
    <comment ref="B68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relacion de tabla desplegable
</t>
        </r>
      </text>
    </comment>
    <comment ref="F220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Debería ser la superficie del porton seleccionado para aparejar
</t>
        </r>
      </text>
    </comment>
  </commentList>
</comments>
</file>

<file path=xl/comments6.xml><?xml version="1.0" encoding="utf-8"?>
<comments xmlns="http://schemas.openxmlformats.org/spreadsheetml/2006/main">
  <authors>
    <author>Ariel</author>
  </authors>
  <commentList>
    <comment ref="F6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Flotación minima necesaria </t>
        </r>
      </text>
    </comment>
    <comment ref="F84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Seleccione cantidad de boyas
</t>
        </r>
      </text>
    </comment>
    <comment ref="F103" authorId="0">
      <text>
        <r>
          <rPr>
            <b/>
            <sz val="9"/>
            <color indexed="81"/>
            <rFont val="Tahoma"/>
            <charset val="1"/>
          </rPr>
          <t>Ariel:</t>
        </r>
        <r>
          <rPr>
            <sz val="9"/>
            <color indexed="81"/>
            <rFont val="Tahoma"/>
            <charset val="1"/>
          </rPr>
          <t xml:space="preserve">
Seleccionar porcentaje selectivo de flotación 
</t>
        </r>
      </text>
    </comment>
    <comment ref="G106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asiganar porcentaje de boyas en el primer quinto del ala.usualmente es 50%</t>
        </r>
      </text>
    </comment>
    <comment ref="F224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reglaje
</t>
        </r>
      </text>
    </comment>
    <comment ref="F236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porcentaje de reglaje usualmente 20%</t>
        </r>
      </text>
    </comment>
    <comment ref="F237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porcentaje de peso en la bocana usualmente 30%
</t>
        </r>
      </text>
    </comment>
    <comment ref="F243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porcentaje de reglaje usualmente 20%</t>
        </r>
      </text>
    </comment>
    <comment ref="F244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Seleccionar porcentaje de peso en la bocana usualmente 30%
</t>
        </r>
      </text>
    </comment>
  </commentList>
</comments>
</file>

<file path=xl/comments7.xml><?xml version="1.0" encoding="utf-8"?>
<comments xmlns="http://schemas.openxmlformats.org/spreadsheetml/2006/main">
  <authors>
    <author>Ariel</author>
  </authors>
  <commentList>
    <comment ref="A243" authorId="0">
      <text>
        <r>
          <rPr>
            <b/>
            <sz val="9"/>
            <color indexed="81"/>
            <rFont val="Tahoma"/>
            <family val="2"/>
          </rPr>
          <t>Ariel:</t>
        </r>
        <r>
          <rPr>
            <sz val="9"/>
            <color indexed="81"/>
            <rFont val="Tahoma"/>
            <family val="2"/>
          </rPr>
          <t xml:space="preserve">
este salio del plano de FAO para la Red A3
</t>
        </r>
      </text>
    </comment>
  </commentList>
</comments>
</file>

<file path=xl/sharedStrings.xml><?xml version="1.0" encoding="utf-8"?>
<sst xmlns="http://schemas.openxmlformats.org/spreadsheetml/2006/main" count="2109" uniqueCount="997">
  <si>
    <t>Material</t>
  </si>
  <si>
    <t>PA</t>
  </si>
  <si>
    <t>Dr. Fridman</t>
  </si>
  <si>
    <r>
      <t>P</t>
    </r>
    <r>
      <rPr>
        <vertAlign val="subscript"/>
        <sz val="11"/>
        <color theme="1"/>
        <rFont val="Calibri"/>
        <family val="2"/>
        <scheme val="minor"/>
      </rPr>
      <t xml:space="preserve">total </t>
    </r>
    <r>
      <rPr>
        <sz val="11"/>
        <color theme="1"/>
        <rFont val="Calibri"/>
        <family val="2"/>
        <scheme val="minor"/>
      </rPr>
      <t>= R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+ 2 * R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+ 2 * R</t>
    </r>
    <r>
      <rPr>
        <vertAlign val="subscript"/>
        <sz val="11"/>
        <color theme="1"/>
        <rFont val="Calibri"/>
        <family val="2"/>
        <scheme val="minor"/>
      </rPr>
      <t xml:space="preserve">OB </t>
    </r>
    <r>
      <rPr>
        <sz val="11"/>
        <color theme="1"/>
        <rFont val="Calibri"/>
        <family val="2"/>
        <scheme val="minor"/>
      </rPr>
      <t>+ R</t>
    </r>
    <r>
      <rPr>
        <vertAlign val="subscript"/>
        <sz val="11"/>
        <color theme="1"/>
        <rFont val="Calibri"/>
        <family val="2"/>
        <scheme val="minor"/>
      </rPr>
      <t>H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</si>
  <si>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</rPr>
      <t>≈ HP * (K</t>
    </r>
    <r>
      <rPr>
        <vertAlign val="subscript"/>
        <sz val="11"/>
        <color theme="1"/>
        <rFont val="Calibri"/>
        <family val="2"/>
      </rPr>
      <t>F</t>
    </r>
    <r>
      <rPr>
        <sz val="11"/>
        <color theme="1"/>
        <rFont val="Calibri"/>
        <family val="2"/>
      </rPr>
      <t xml:space="preserve"> - 0,7 * </t>
    </r>
    <r>
      <rPr>
        <i/>
        <sz val="11"/>
        <color theme="1"/>
        <rFont val="Calibri"/>
        <family val="2"/>
      </rPr>
      <t>v</t>
    </r>
    <r>
      <rPr>
        <sz val="11"/>
        <color theme="1"/>
        <rFont val="Calibri"/>
        <family val="2"/>
      </rPr>
      <t>)</t>
    </r>
  </si>
  <si>
    <t xml:space="preserve"> Red FAO A-3, Para 150 - 180 HP Hélice Paso Fijo; Paso Variable Con Tobera.</t>
  </si>
  <si>
    <r>
      <t>K</t>
    </r>
    <r>
      <rPr>
        <vertAlign val="subscript"/>
        <sz val="11"/>
        <color theme="1"/>
        <rFont val="Calibri"/>
        <family val="2"/>
        <scheme val="minor"/>
      </rPr>
      <t>F(PF)</t>
    </r>
    <r>
      <rPr>
        <sz val="11"/>
        <color theme="1"/>
        <rFont val="Calibri"/>
        <family val="2"/>
        <scheme val="minor"/>
      </rPr>
      <t>= Coeficiente Empirico igual a 10 para hélice con paso fijo.</t>
    </r>
  </si>
  <si>
    <r>
      <t>K</t>
    </r>
    <r>
      <rPr>
        <vertAlign val="subscript"/>
        <sz val="11"/>
        <color theme="1"/>
        <rFont val="Calibri"/>
        <family val="2"/>
        <scheme val="minor"/>
      </rPr>
      <t>F(PV+T)</t>
    </r>
    <r>
      <rPr>
        <sz val="11"/>
        <color theme="1"/>
        <rFont val="Calibri"/>
        <family val="2"/>
        <scheme val="minor"/>
      </rPr>
      <t>= Coeficiente Empirico igual a 15 para hélice con paso Variable + tobera.</t>
    </r>
  </si>
  <si>
    <t>Velocidad</t>
  </si>
  <si>
    <t>(Nds)</t>
  </si>
  <si>
    <t>BHP</t>
  </si>
  <si>
    <t>(HP)</t>
  </si>
  <si>
    <t>KF(PF)</t>
  </si>
  <si>
    <t>FT(PF)</t>
  </si>
  <si>
    <t>Kgf)</t>
  </si>
  <si>
    <t>KF(PV+T)</t>
  </si>
  <si>
    <t>FT(PV+T)</t>
  </si>
  <si>
    <t>(Kgf)</t>
  </si>
  <si>
    <t>V1,0</t>
  </si>
  <si>
    <t>V1,5</t>
  </si>
  <si>
    <t>V2,0</t>
  </si>
  <si>
    <t>V2,5</t>
  </si>
  <si>
    <t>V3,0</t>
  </si>
  <si>
    <t>V3,5</t>
  </si>
  <si>
    <t>V4,0</t>
  </si>
  <si>
    <t>V4,5</t>
  </si>
  <si>
    <t>V5,0</t>
  </si>
  <si>
    <t>A) Bollard Pull (Tiro a Punto Fijo)</t>
  </si>
  <si>
    <t>BP P.FIJO = BHP * 0,9 * 1,10/ 100</t>
  </si>
  <si>
    <t>BP P.Fijo + Tobera = BHP * 0,9 * 1,20/100</t>
  </si>
  <si>
    <t>BP P. Variable = BHP * 0,9 * 1,25/100</t>
  </si>
  <si>
    <t>BP P. Variable + Tobera = BHP * 0,9 * 1,40/ 100</t>
  </si>
  <si>
    <t xml:space="preserve">Bollard </t>
  </si>
  <si>
    <t>Pull</t>
  </si>
  <si>
    <t>HP</t>
  </si>
  <si>
    <t>BP P. Fijo</t>
  </si>
  <si>
    <t>BP P.Var+To</t>
  </si>
  <si>
    <t>BP P. Var</t>
  </si>
  <si>
    <t>BP P.Fijo+To</t>
  </si>
  <si>
    <t>150 HP</t>
  </si>
  <si>
    <t xml:space="preserve"> HP (ton)</t>
  </si>
  <si>
    <t>APN (HP)</t>
  </si>
  <si>
    <t>POWER AVAILABLE FOR TRAWLING (POTENCIA DISPONIBLE PARA EL ARRASTRE)</t>
  </si>
  <si>
    <t xml:space="preserve"> P. Fijo  alta RPM</t>
  </si>
  <si>
    <t xml:space="preserve"> P. Fijo  Baja RPM K=0,25</t>
  </si>
  <si>
    <t xml:space="preserve"> P. Fijo  Baja RPM K=0,28</t>
  </si>
  <si>
    <t xml:space="preserve"> P.Fijo+Tobera alta RPM</t>
  </si>
  <si>
    <t>P.Fijo+Tob Baja RPM K=0,25</t>
  </si>
  <si>
    <t>P.Fijo+Tob Baja RPM K=0,28</t>
  </si>
  <si>
    <t xml:space="preserve"> P. Var K= 0,28</t>
  </si>
  <si>
    <t xml:space="preserve"> P. Var K= 0,30</t>
  </si>
  <si>
    <t xml:space="preserve"> P.Var+Tobera K=0,28</t>
  </si>
  <si>
    <t xml:space="preserve"> P.Var+Tobera K=0,30</t>
  </si>
  <si>
    <t>180 HP</t>
  </si>
  <si>
    <t>BOLLARD PULL WHEN FISHING (TIRO DURANTE EL ARRASTRE)</t>
  </si>
  <si>
    <t>[Kgf]</t>
  </si>
  <si>
    <t>RN FAO A3</t>
  </si>
  <si>
    <t>[Nudos]</t>
  </si>
  <si>
    <t>BP F Paso Fijo alta RPM</t>
  </si>
  <si>
    <t>variable</t>
  </si>
  <si>
    <t>Promedios BOLLARD PULL WHEN FISHING (TIRO DURANTE EL ARRASTRE)</t>
  </si>
  <si>
    <t>Calculo del Dr. Koyama Para determinar la Potencia disponible para el arrastre</t>
  </si>
  <si>
    <t>K</t>
  </si>
  <si>
    <t>EHP = K * BHP F</t>
  </si>
  <si>
    <t>(Metros/seg)</t>
  </si>
  <si>
    <t>EHP [Kgf *mts/seg]</t>
  </si>
  <si>
    <t>POTENCIA DISPONIBLE PARA EL ARRASTRE, METODO DEL Dr. NOMURA</t>
  </si>
  <si>
    <t>CALCULO DEL Dr. HAMURO PARA DETERMINAR LA POTENCIA DISPONIBLE PARA EL ARRASTRE</t>
  </si>
  <si>
    <t>K3 = PF (RPM&lt;300) = 0,265</t>
  </si>
  <si>
    <t>PF (RPM&gt;300) = 0,20</t>
  </si>
  <si>
    <t>PF+T (RPM&gt;300) = 0,24</t>
  </si>
  <si>
    <t>PF+T (RPM&lt;300) = 0,28</t>
  </si>
  <si>
    <t>PV (RPM&gt;300) = 0,25</t>
  </si>
  <si>
    <t>PV+T (RPM&lt;300) = 0,27</t>
  </si>
  <si>
    <t>PV+T (RPM&gt;300) = 0,30</t>
  </si>
  <si>
    <t>PF+T (RPM&gt;300)</t>
  </si>
  <si>
    <t>PF+T (RPM&lt;300)</t>
  </si>
  <si>
    <t xml:space="preserve">PV (RPM&gt;300) </t>
  </si>
  <si>
    <t>PV+T (RPM&lt;300)</t>
  </si>
  <si>
    <t>PV+T (RPM&gt;300)</t>
  </si>
  <si>
    <t>K1</t>
  </si>
  <si>
    <t>K2</t>
  </si>
  <si>
    <t>K3</t>
  </si>
  <si>
    <t>Ps</t>
  </si>
  <si>
    <t xml:space="preserve"> PF (RPM&lt;300)</t>
  </si>
  <si>
    <t>PF (RPM&gt;300)</t>
  </si>
  <si>
    <t>PF (RPM&lt;300)</t>
  </si>
  <si>
    <t>Promedios Ps</t>
  </si>
  <si>
    <t>[m/s]</t>
  </si>
  <si>
    <t>[KgF]</t>
  </si>
  <si>
    <t>PF</t>
  </si>
  <si>
    <t>Tiro [Kgf] 150 HP</t>
  </si>
  <si>
    <t>Tiro [Kgf] 180 HP</t>
  </si>
  <si>
    <t>PV+T</t>
  </si>
  <si>
    <t>PV+ T</t>
  </si>
  <si>
    <t>peor caso</t>
  </si>
  <si>
    <t>mejor caso</t>
  </si>
  <si>
    <t>RESUMEN DE RESULTADOS DE FUERZA DISPONIBLE PARA EL ARRASTRE</t>
  </si>
  <si>
    <t>Fridman</t>
  </si>
  <si>
    <t>Prado, Dremiere</t>
  </si>
  <si>
    <t>Koyama</t>
  </si>
  <si>
    <t>Nomura</t>
  </si>
  <si>
    <t xml:space="preserve">Hamuro </t>
  </si>
  <si>
    <t>FT (PF)</t>
  </si>
  <si>
    <t>BPF PF</t>
  </si>
  <si>
    <t>FT (PV+T)</t>
  </si>
  <si>
    <t>BPF PV</t>
  </si>
  <si>
    <t>Referencias</t>
  </si>
  <si>
    <t>DIMENSIONES DE LA RED</t>
  </si>
  <si>
    <t>Burlon, Relinga Inferior (m)</t>
  </si>
  <si>
    <t>Circunferencia Maxima a malla estirada (a)</t>
  </si>
  <si>
    <t>Ala superior (c)</t>
  </si>
  <si>
    <t>Ala inferior (d)</t>
  </si>
  <si>
    <r>
      <t xml:space="preserve">Dorso o vientre </t>
    </r>
    <r>
      <rPr>
        <sz val="11"/>
        <color theme="1"/>
        <rFont val="Arial"/>
        <family val="2"/>
      </rPr>
      <t>(e)</t>
    </r>
  </si>
  <si>
    <t>Bolsa (f)</t>
  </si>
  <si>
    <t>Square (d-c)</t>
  </si>
  <si>
    <r>
      <t>Angulo de ataque horizontal (</t>
    </r>
    <r>
      <rPr>
        <sz val="11"/>
        <color theme="1"/>
        <rFont val="Calibri"/>
        <family val="2"/>
      </rPr>
      <t>α)</t>
    </r>
  </si>
  <si>
    <t>Indice de filtración (d/l)</t>
  </si>
  <si>
    <r>
      <t>Superficie solida ocupada por el hilo [m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</si>
  <si>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Superficie de acuerdo a la razon armadura [m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</si>
  <si>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Peso de la Red sin aparejar [Kg]</t>
  </si>
  <si>
    <t>Abertura Vertical (AV) [m]</t>
  </si>
  <si>
    <t>Abertura Horizontal (AH) [m]</t>
  </si>
  <si>
    <t>Profundidad de trabajo [m]</t>
  </si>
  <si>
    <t>Flotación Total (Ft) [kgf]</t>
  </si>
  <si>
    <r>
      <t>Dan leno (B</t>
    </r>
    <r>
      <rPr>
        <vertAlign val="subscript"/>
        <sz val="11"/>
        <color theme="1"/>
        <rFont val="Calibri"/>
        <family val="2"/>
        <scheme val="minor"/>
      </rPr>
      <t>DANLENo</t>
    </r>
    <r>
      <rPr>
        <sz val="11"/>
        <color theme="1"/>
        <rFont val="Calibri"/>
        <family val="2"/>
        <scheme val="minor"/>
      </rPr>
      <t xml:space="preserve">) o Triangulo (Boomerang) [m] </t>
    </r>
  </si>
  <si>
    <t>Diametro del cable de remolque [mm]</t>
  </si>
  <si>
    <t>l/m</t>
  </si>
  <si>
    <t>l/b</t>
  </si>
  <si>
    <t>m/b</t>
  </si>
  <si>
    <t>a/b</t>
  </si>
  <si>
    <t>c/b</t>
  </si>
  <si>
    <t>d/b</t>
  </si>
  <si>
    <t>e/b</t>
  </si>
  <si>
    <t>f/b</t>
  </si>
  <si>
    <t>(d-c)/b</t>
  </si>
  <si>
    <t>Adimensional</t>
  </si>
  <si>
    <t>TABLAS RELACIONADAS CON LA POTENCIA DISPONIBLE PARA EL ARRASTRE</t>
  </si>
  <si>
    <r>
      <t>K</t>
    </r>
    <r>
      <rPr>
        <vertAlign val="subscript"/>
        <sz val="11"/>
        <color theme="1"/>
        <rFont val="Calibri"/>
        <family val="2"/>
        <scheme val="minor"/>
      </rPr>
      <t>F</t>
    </r>
  </si>
  <si>
    <r>
      <t>K</t>
    </r>
    <r>
      <rPr>
        <vertAlign val="subscript"/>
        <sz val="11"/>
        <color theme="1"/>
        <rFont val="Calibri"/>
        <family val="2"/>
        <scheme val="minor"/>
      </rPr>
      <t>F(PF)</t>
    </r>
  </si>
  <si>
    <r>
      <t>K</t>
    </r>
    <r>
      <rPr>
        <vertAlign val="subscript"/>
        <sz val="11"/>
        <color theme="1"/>
        <rFont val="Calibri"/>
        <family val="2"/>
        <scheme val="minor"/>
      </rPr>
      <t>F(PV+T)</t>
    </r>
  </si>
  <si>
    <t>Coeficientes empiricos en funcion de las condiciones de la hélice</t>
  </si>
  <si>
    <t>Sección de la Red</t>
  </si>
  <si>
    <t>Ala Superior Derecha</t>
  </si>
  <si>
    <t>Ala Superior Izquierda</t>
  </si>
  <si>
    <t>Ala Inferior Derecha</t>
  </si>
  <si>
    <t>Ala Inferior Izquierda</t>
  </si>
  <si>
    <t>Mallero [mm]</t>
  </si>
  <si>
    <t>Formula del Dr. Akio Fujiishi, Shimonseki University of Fisheries</t>
  </si>
  <si>
    <r>
      <t>F</t>
    </r>
    <r>
      <rPr>
        <vertAlign val="subscript"/>
        <sz val="11"/>
        <color theme="1"/>
        <rFont val="Calibri"/>
        <family val="2"/>
        <scheme val="minor"/>
      </rPr>
      <t>LARGO</t>
    </r>
    <r>
      <rPr>
        <sz val="11"/>
        <color theme="1"/>
        <rFont val="Calibri"/>
        <family val="2"/>
        <scheme val="minor"/>
      </rPr>
      <t xml:space="preserve">= </t>
    </r>
  </si>
  <si>
    <t>Red:</t>
  </si>
  <si>
    <t>RED FAO A-3</t>
  </si>
  <si>
    <r>
      <t>F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=</t>
    </r>
  </si>
  <si>
    <t>metros</t>
  </si>
  <si>
    <r>
      <t>L</t>
    </r>
    <r>
      <rPr>
        <vertAlign val="subscript"/>
        <sz val="11"/>
        <color theme="1"/>
        <rFont val="Calibri"/>
        <family val="2"/>
        <scheme val="minor"/>
      </rPr>
      <t>CUERPO</t>
    </r>
    <r>
      <rPr>
        <sz val="11"/>
        <color theme="1"/>
        <rFont val="Calibri"/>
        <family val="2"/>
        <scheme val="minor"/>
      </rPr>
      <t>=</t>
    </r>
  </si>
  <si>
    <t>Relacion Cte=</t>
  </si>
  <si>
    <t>PROPORCIONES ELEMENTALES SEGÚN EL Dr. NOMURA</t>
  </si>
  <si>
    <t>Lima [metros]</t>
  </si>
  <si>
    <t>Burlon [metros]</t>
  </si>
  <si>
    <t xml:space="preserve">Mallas en profundidad del Square </t>
  </si>
  <si>
    <t>Largo total (dorso) sin la bolsa  [m]</t>
  </si>
  <si>
    <t>Red de Fondo, 2 caras</t>
  </si>
  <si>
    <t>Red de Fondo, 4-8 caras</t>
  </si>
  <si>
    <t>Red Pelagica, 2 caras</t>
  </si>
  <si>
    <t>Red Pelagica, 4-8 caras</t>
  </si>
  <si>
    <t>Red de Fondo Pequeña</t>
  </si>
  <si>
    <t>Red de Pesca a la Pareja</t>
  </si>
  <si>
    <t>Red Camaronera una sola</t>
  </si>
  <si>
    <t>Red Camaronera 2 redes</t>
  </si>
  <si>
    <t>Red pelagica a la pareja</t>
  </si>
  <si>
    <t>-</t>
  </si>
  <si>
    <t xml:space="preserve">Red de Fondo 2 caras </t>
  </si>
  <si>
    <t>Panel</t>
  </si>
  <si>
    <t>Descripción</t>
  </si>
  <si>
    <t>Cantidad</t>
  </si>
  <si>
    <t>de Paneles</t>
  </si>
  <si>
    <t>(mm)</t>
  </si>
  <si>
    <t>Mallero</t>
  </si>
  <si>
    <r>
      <t>m</t>
    </r>
    <r>
      <rPr>
        <vertAlign val="subscript"/>
        <sz val="11"/>
        <color theme="1"/>
        <rFont val="Calibri"/>
        <family val="2"/>
        <scheme val="minor"/>
      </rPr>
      <t>L (mm)</t>
    </r>
  </si>
  <si>
    <r>
      <t>Ø</t>
    </r>
    <r>
      <rPr>
        <vertAlign val="subscript"/>
        <sz val="11"/>
        <color theme="1"/>
        <rFont val="Calibri"/>
        <family val="2"/>
      </rPr>
      <t>hilo</t>
    </r>
  </si>
  <si>
    <r>
      <t>Ø</t>
    </r>
    <r>
      <rPr>
        <vertAlign val="subscript"/>
        <sz val="11"/>
        <color theme="1"/>
        <rFont val="Calibri"/>
        <family val="2"/>
        <scheme val="minor"/>
      </rPr>
      <t>hilo</t>
    </r>
    <r>
      <rPr>
        <sz val="11"/>
        <color theme="1"/>
        <rFont val="Calibri"/>
        <family val="2"/>
        <scheme val="minor"/>
      </rPr>
      <t>/m</t>
    </r>
    <r>
      <rPr>
        <vertAlign val="subscript"/>
        <sz val="11"/>
        <color theme="1"/>
        <rFont val="Calibri"/>
        <family val="2"/>
        <scheme val="minor"/>
      </rPr>
      <t>L</t>
    </r>
  </si>
  <si>
    <t>A</t>
  </si>
  <si>
    <t>B</t>
  </si>
  <si>
    <t>C</t>
  </si>
  <si>
    <t>D</t>
  </si>
  <si>
    <t>E</t>
  </si>
  <si>
    <t>F</t>
  </si>
  <si>
    <t>G</t>
  </si>
  <si>
    <t>H</t>
  </si>
  <si>
    <t>Punta de Alas</t>
  </si>
  <si>
    <t>A. Superiores</t>
  </si>
  <si>
    <t>Square</t>
  </si>
  <si>
    <t>Dorso/Vientre</t>
  </si>
  <si>
    <t>=</t>
  </si>
  <si>
    <t>Profundidad</t>
  </si>
  <si>
    <t>CALCULO DE LA SUPERFICIE SOLIDA DE LA RED</t>
  </si>
  <si>
    <t>Dimensiones del Panel</t>
  </si>
  <si>
    <t>T1</t>
  </si>
  <si>
    <t>T2</t>
  </si>
  <si>
    <t>N2</t>
  </si>
  <si>
    <t>lado mayor</t>
  </si>
  <si>
    <t>Nº mallas</t>
  </si>
  <si>
    <t>Nº  mallas</t>
  </si>
  <si>
    <t>lado menor</t>
  </si>
  <si>
    <r>
      <t>L</t>
    </r>
    <r>
      <rPr>
        <vertAlign val="subscript"/>
        <sz val="11"/>
        <color theme="1"/>
        <rFont val="Calibri"/>
        <family val="2"/>
        <scheme val="minor"/>
      </rPr>
      <t>(metros)</t>
    </r>
  </si>
  <si>
    <t xml:space="preserve">Largo del </t>
  </si>
  <si>
    <r>
      <t xml:space="preserve">S </t>
    </r>
    <r>
      <rPr>
        <vertAlign val="subscript"/>
        <sz val="11"/>
        <color theme="1"/>
        <rFont val="Calibri"/>
        <family val="2"/>
        <scheme val="minor"/>
      </rPr>
      <t>SOLIDA</t>
    </r>
  </si>
  <si>
    <t>Superficie</t>
  </si>
  <si>
    <t>de paneles</t>
  </si>
  <si>
    <r>
      <rPr>
        <sz val="11"/>
        <color theme="1"/>
        <rFont val="Calibri"/>
        <family val="2"/>
      </rPr>
      <t>Ø</t>
    </r>
    <r>
      <rPr>
        <vertAlign val="subscript"/>
        <sz val="11"/>
        <color theme="1"/>
        <rFont val="Calibri"/>
        <family val="2"/>
      </rPr>
      <t>HILO</t>
    </r>
  </si>
  <si>
    <r>
      <t>m</t>
    </r>
    <r>
      <rPr>
        <vertAlign val="subscript"/>
        <sz val="11"/>
        <color theme="1"/>
        <rFont val="Calibri"/>
        <family val="2"/>
        <scheme val="minor"/>
      </rPr>
      <t xml:space="preserve">L </t>
    </r>
    <r>
      <rPr>
        <sz val="11"/>
        <color theme="1"/>
        <rFont val="Calibri"/>
        <family val="2"/>
        <scheme val="minor"/>
      </rPr>
      <t>(mm)</t>
    </r>
  </si>
  <si>
    <t>Ala Inferior 1º</t>
  </si>
  <si>
    <t>Ala Inferior 2º</t>
  </si>
  <si>
    <r>
      <t>Solida (m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</si>
  <si>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CALCULO DE LA SUPERFICIE DE TRABAJO DE LA RED</t>
  </si>
  <si>
    <r>
      <t>S</t>
    </r>
    <r>
      <rPr>
        <vertAlign val="subscript"/>
        <sz val="11"/>
        <color theme="1"/>
        <rFont val="Calibri"/>
        <family val="2"/>
        <scheme val="minor"/>
      </rPr>
      <t>TRABAJO</t>
    </r>
  </si>
  <si>
    <r>
      <t>S</t>
    </r>
    <r>
      <rPr>
        <vertAlign val="subscript"/>
        <sz val="11"/>
        <color theme="1"/>
        <rFont val="Calibri"/>
        <family val="2"/>
        <scheme val="minor"/>
      </rPr>
      <t>TRABAJO</t>
    </r>
    <r>
      <rPr>
        <sz val="11"/>
        <color theme="1"/>
        <rFont val="Calibri"/>
        <family val="2"/>
        <scheme val="minor"/>
      </rPr>
      <t>=</t>
    </r>
  </si>
  <si>
    <t>Descripcion</t>
  </si>
  <si>
    <t xml:space="preserve">Cantidad </t>
  </si>
  <si>
    <r>
      <rPr>
        <sz val="11"/>
        <color theme="1"/>
        <rFont val="Calibri"/>
        <family val="2"/>
      </rPr>
      <t>Ø</t>
    </r>
    <r>
      <rPr>
        <sz val="8.8000000000000007"/>
        <color theme="1"/>
        <rFont val="Calibri"/>
        <family val="2"/>
      </rPr>
      <t xml:space="preserve"> Hilo</t>
    </r>
  </si>
  <si>
    <r>
      <t>m</t>
    </r>
    <r>
      <rPr>
        <vertAlign val="subscript"/>
        <sz val="11"/>
        <color theme="1"/>
        <rFont val="Calibri"/>
        <family val="2"/>
        <scheme val="minor"/>
      </rPr>
      <t>L (metros)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</si>
  <si>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</si>
  <si>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T</t>
    </r>
    <r>
      <rPr>
        <vertAlign val="subscript"/>
        <sz val="11"/>
        <color theme="1"/>
        <rFont val="Calibri"/>
        <family val="2"/>
        <scheme val="minor"/>
      </rPr>
      <t>2</t>
    </r>
  </si>
  <si>
    <t>N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</si>
  <si>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</si>
  <si>
    <t xml:space="preserve">Nº mallas </t>
  </si>
  <si>
    <r>
      <t>U</t>
    </r>
    <r>
      <rPr>
        <vertAlign val="subscript"/>
        <sz val="11"/>
        <color theme="1"/>
        <rFont val="Calibri"/>
        <family val="2"/>
        <scheme val="minor"/>
      </rPr>
      <t>1</t>
    </r>
  </si>
  <si>
    <t>coef. Aber.</t>
  </si>
  <si>
    <t>Horizontal</t>
  </si>
  <si>
    <r>
      <t>U</t>
    </r>
    <r>
      <rPr>
        <vertAlign val="subscript"/>
        <sz val="11"/>
        <color theme="1"/>
        <rFont val="Calibri"/>
        <family val="2"/>
        <scheme val="minor"/>
      </rPr>
      <t>2</t>
    </r>
  </si>
  <si>
    <t xml:space="preserve">coef. Aber. </t>
  </si>
  <si>
    <t>Vertical</t>
  </si>
  <si>
    <r>
      <t>(m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</si>
  <si>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U1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</si>
  <si>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</si>
  <si>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Rendimiento [m/kg]</t>
  </si>
  <si>
    <t>Corte</t>
  </si>
  <si>
    <t>(a)</t>
  </si>
  <si>
    <t>profundidad</t>
  </si>
  <si>
    <t>1N2B</t>
  </si>
  <si>
    <r>
      <t>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</si>
  <si>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MATERIALES</t>
  </si>
  <si>
    <t>Densidad</t>
  </si>
  <si>
    <t>agua salada</t>
  </si>
  <si>
    <t>Coeficiente Multip.</t>
  </si>
  <si>
    <t>agua dulce</t>
  </si>
  <si>
    <t>T</t>
  </si>
  <si>
    <t>L. sup. O inf.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</si>
  <si>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peso de</t>
    </r>
  </si>
  <si>
    <t>Compostura</t>
  </si>
  <si>
    <t>[Kg]</t>
  </si>
  <si>
    <t>Peso en aire</t>
  </si>
  <si>
    <t>W aire</t>
  </si>
  <si>
    <t>[kg]</t>
  </si>
  <si>
    <t>Peso en agua</t>
  </si>
  <si>
    <t>W agua</t>
  </si>
  <si>
    <t>R Tex</t>
  </si>
  <si>
    <t>Diametro</t>
  </si>
  <si>
    <t>[mm]</t>
  </si>
  <si>
    <t>Rtex</t>
  </si>
  <si>
    <t>CALCULO DE LA RESISTENCIA DE LA RED</t>
  </si>
  <si>
    <t>TAUTI, NOMURA, Y SHU (1974), para redes de dos caras</t>
  </si>
  <si>
    <t>Circunferencia Total a malla estirada (a) =</t>
  </si>
  <si>
    <t>Velocidad (v) en [m/seg]</t>
  </si>
  <si>
    <t>Nudos</t>
  </si>
  <si>
    <r>
      <t>R</t>
    </r>
    <r>
      <rPr>
        <vertAlign val="subscript"/>
        <sz val="11"/>
        <color theme="1"/>
        <rFont val="Calibri"/>
        <family val="2"/>
        <scheme val="minor"/>
      </rPr>
      <t>N</t>
    </r>
  </si>
  <si>
    <t>Ton</t>
  </si>
  <si>
    <t>CALCULO DE LA RESISTENCIA DE LA RED según TAUTI</t>
  </si>
  <si>
    <t>rs= lima o relinga superior=</t>
  </si>
  <si>
    <t>ri= Burlon o relinga inferior=</t>
  </si>
  <si>
    <t>Dr. KOYAMA (1974)</t>
  </si>
  <si>
    <t>Dr. KOYAMA (1984)</t>
  </si>
  <si>
    <t>Dr. HAMURO (Tokio Fisheries University)</t>
  </si>
  <si>
    <r>
      <t>Angulo de ataque horizontal (</t>
    </r>
    <r>
      <rPr>
        <sz val="11"/>
        <color theme="1"/>
        <rFont val="Calibri"/>
        <family val="2"/>
      </rPr>
      <t>α</t>
    </r>
    <r>
      <rPr>
        <sz val="12.1"/>
        <color theme="1"/>
        <rFont val="Calibri"/>
        <family val="2"/>
      </rPr>
      <t xml:space="preserve">)= </t>
    </r>
  </si>
  <si>
    <t>Dr. NOMURA (1981)</t>
  </si>
  <si>
    <t>NHP 150 HP</t>
  </si>
  <si>
    <t>NHP 180 HP</t>
  </si>
  <si>
    <t>Formula de A. J. REID (1977) para redes pelagicas</t>
  </si>
  <si>
    <t>FORMULA DE J.H.B. ROBERTSON (1981) para redes semipelagicas</t>
  </si>
  <si>
    <t>FORMULA DE MAC. LENNAN (1981) Redes de fondo hilo de polietileno</t>
  </si>
  <si>
    <t>MARINE LABORATORY ABERDEEN  Demersal Polietileno</t>
  </si>
  <si>
    <t>MARINE LABORATORY ABERDEEN Pelagica Nylon</t>
  </si>
  <si>
    <t>Dr. FRIDMAN (1973)</t>
  </si>
  <si>
    <t xml:space="preserve">En una embarcación que no tira de una red ni </t>
  </si>
  <si>
    <t>rastrea, de la energía que alcanza la hélice:</t>
  </si>
  <si>
    <t xml:space="preserve">• el 35 por ciento se utiliza para hacer girar la </t>
  </si>
  <si>
    <t>hélice;</t>
  </si>
  <si>
    <t xml:space="preserve">• el 27 por ciento para vencer la resistencia </t>
  </si>
  <si>
    <t>debida a la formación de olas;</t>
  </si>
  <si>
    <t xml:space="preserve">• el 18 por ciento para contrarrestar el rozamiento </t>
  </si>
  <si>
    <t>del forro;</t>
  </si>
  <si>
    <t xml:space="preserve">• el 17 por ciento para contrarrestar la resistencia </t>
  </si>
  <si>
    <t xml:space="preserve">de la estela y la de la turbulencia que provoca </t>
  </si>
  <si>
    <t>la  hélice contra el casco; y</t>
  </si>
  <si>
    <t>• el 3 por ciento para vencer la resistencia del aire.</t>
  </si>
  <si>
    <t xml:space="preserve">Sólo una tercera </t>
  </si>
  <si>
    <t xml:space="preserve">parte, aproximadamente, de la energía generada por </t>
  </si>
  <si>
    <t xml:space="preserve">el motor llega a la hélice y, en un pequeño arrastrero, </t>
  </si>
  <si>
    <t xml:space="preserve">sólo una tercera parte de esa energía se utiliza para </t>
  </si>
  <si>
    <t>hacer un trabajo útil como tirar de la red.</t>
  </si>
  <si>
    <t>HP disponibles</t>
  </si>
  <si>
    <t>Kw disponibles</t>
  </si>
  <si>
    <t>Para Tiro de Red</t>
  </si>
  <si>
    <t>Perdida giro de hélice</t>
  </si>
  <si>
    <t>Perdida por oleaje</t>
  </si>
  <si>
    <t>Rozamiento</t>
  </si>
  <si>
    <t>Estela y turbulencia</t>
  </si>
  <si>
    <t>Aire</t>
  </si>
  <si>
    <t>Usos de la energia</t>
  </si>
  <si>
    <t>VELOCIDAD ALMIRANTAZGO</t>
  </si>
  <si>
    <t>En Hélice (BHP)</t>
  </si>
  <si>
    <t>HP Nominales</t>
  </si>
  <si>
    <t>Pesqueros De 150 a 180 BHP</t>
  </si>
  <si>
    <t xml:space="preserve">Tipo 1: Pesqueros de Rada o Ría con motores de mayores o iguales a 200 HP </t>
  </si>
  <si>
    <t>Esloras</t>
  </si>
  <si>
    <t>hasta 9 metros</t>
  </si>
  <si>
    <t>manga</t>
  </si>
  <si>
    <t xml:space="preserve"> BP P. Fijo</t>
  </si>
  <si>
    <t>Constantes</t>
  </si>
  <si>
    <t>Dr. FRIDMAN (Potencia Disponible)</t>
  </si>
  <si>
    <t>J. Prado (Fishery Industries Division, FAO; P.Y. Dremiere, Ifremer, France.)</t>
  </si>
  <si>
    <t>[HP] to [TON]</t>
  </si>
  <si>
    <t>B) Bollard Pull (Tiro a Punto Fijo)</t>
  </si>
  <si>
    <t>HP [Kgf]</t>
  </si>
  <si>
    <t>Factor K según potencia</t>
  </si>
  <si>
    <t>Hélice Paso Fijo + tobera</t>
  </si>
  <si>
    <t>Hélice Paso Fijo</t>
  </si>
  <si>
    <t>Hélice Paso Variable</t>
  </si>
  <si>
    <t>Hélice Paso Variable + Tobera</t>
  </si>
  <si>
    <t>[Ton]</t>
  </si>
  <si>
    <t>[TON] to [HP]</t>
  </si>
  <si>
    <t>[Kgf] to [TON]</t>
  </si>
  <si>
    <t xml:space="preserve"> HP (Kgf)</t>
  </si>
  <si>
    <t>APARENT NOMINAL POWER (POTENCIA NOMINAL APARENTE)</t>
  </si>
  <si>
    <t>PROMEDIOS BP</t>
  </si>
  <si>
    <t>P F Paso Fijo</t>
  </si>
  <si>
    <t xml:space="preserve">P F paso </t>
  </si>
  <si>
    <t>Contante K</t>
  </si>
  <si>
    <t>BHP [HP]</t>
  </si>
  <si>
    <t>Tamaño [TON]</t>
  </si>
  <si>
    <t>Ø Hélice [mm]</t>
  </si>
  <si>
    <t>15 - 55</t>
  </si>
  <si>
    <t>&lt; 600</t>
  </si>
  <si>
    <r>
      <t xml:space="preserve">BHP 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  = 60% * BHP</t>
    </r>
  </si>
  <si>
    <t>CONSTANTES</t>
  </si>
  <si>
    <t>K1: utilización del motor principal</t>
  </si>
  <si>
    <t>Arrastreros Pequeños</t>
  </si>
  <si>
    <t>Arrastreros Medianos</t>
  </si>
  <si>
    <t>Arrastreros Grandes 300-1000 Ton</t>
  </si>
  <si>
    <t>Arrastreros Grandes más de 1000 Ton</t>
  </si>
  <si>
    <t>Promedio K3</t>
  </si>
  <si>
    <t>K2: estado del mar</t>
  </si>
  <si>
    <t>K3: eficiencia de propulsión</t>
  </si>
  <si>
    <t>0,17 - 0,20</t>
  </si>
  <si>
    <t>0,24 - 0,26</t>
  </si>
  <si>
    <t>0,28 - 0,29</t>
  </si>
  <si>
    <t>[KgF*m/seg]</t>
  </si>
  <si>
    <t>[NUDOS]</t>
  </si>
  <si>
    <t>[m/seg]</t>
  </si>
  <si>
    <t>HP [KgF]</t>
  </si>
  <si>
    <t>Tiro [KgF]</t>
  </si>
  <si>
    <t>Plan Alto</t>
  </si>
  <si>
    <t>Dorso D1</t>
  </si>
  <si>
    <t>Dorso D2</t>
  </si>
  <si>
    <t>Plan Inferior</t>
  </si>
  <si>
    <t>Red FAO A3 150-180HP PF; PV+T</t>
  </si>
  <si>
    <t xml:space="preserve">Resistencia Red (estimado Porcentual) </t>
  </si>
  <si>
    <t>1HP</t>
  </si>
  <si>
    <t>75 [KgF x (m/s)]</t>
  </si>
  <si>
    <t>K1(82,5% de NHP)</t>
  </si>
  <si>
    <t>K2 (estado del mar)</t>
  </si>
  <si>
    <t>Promedio</t>
  </si>
  <si>
    <t xml:space="preserve">Mejor de los casos  con  </t>
  </si>
  <si>
    <t xml:space="preserve">Peores de los casos con </t>
  </si>
  <si>
    <t xml:space="preserve">Peor de los casos  con </t>
  </si>
  <si>
    <t xml:space="preserve">Mejor de los casos  con </t>
  </si>
  <si>
    <r>
      <t>FACTOR LARGO (F</t>
    </r>
    <r>
      <rPr>
        <vertAlign val="subscript"/>
        <sz val="20"/>
        <color theme="1"/>
        <rFont val="Calibri"/>
        <family val="2"/>
        <scheme val="minor"/>
      </rPr>
      <t>L</t>
    </r>
    <r>
      <rPr>
        <sz val="20"/>
        <color theme="1"/>
        <rFont val="Calibri"/>
        <family val="2"/>
        <scheme val="minor"/>
      </rPr>
      <t>)</t>
    </r>
  </si>
  <si>
    <t xml:space="preserve">LARGO DEL CUERPO DE LA RED </t>
  </si>
  <si>
    <r>
      <t>RELACION ENTRE LA F</t>
    </r>
    <r>
      <rPr>
        <b/>
        <vertAlign val="subscript"/>
        <sz val="14"/>
        <color theme="1"/>
        <rFont val="Calibri"/>
        <family val="2"/>
        <scheme val="minor"/>
      </rPr>
      <t>C</t>
    </r>
    <r>
      <rPr>
        <b/>
        <sz val="14"/>
        <color theme="1"/>
        <rFont val="Calibri"/>
        <family val="2"/>
        <scheme val="minor"/>
      </rPr>
      <t xml:space="preserve"> Y EL CUERPO DE LA RED </t>
    </r>
  </si>
  <si>
    <t>CIRCUNFERENCIA DE PESCA DE LA RED</t>
  </si>
  <si>
    <t>2° SECCIÓN ALA INFERIOR DERECHA</t>
  </si>
  <si>
    <t>2° SECCIÓN ALA INFERIOR IZQUIERDA</t>
  </si>
  <si>
    <t>Vientre V1</t>
  </si>
  <si>
    <t>Vientre V2</t>
  </si>
  <si>
    <t>Mallas</t>
  </si>
  <si>
    <t>Lado</t>
  </si>
  <si>
    <t>a (T1)</t>
  </si>
  <si>
    <r>
      <t>CALCULO DEL INDICE DE FILTRACIÓN (</t>
    </r>
    <r>
      <rPr>
        <sz val="18"/>
        <color theme="1"/>
        <rFont val="Calibri"/>
        <family val="2"/>
      </rPr>
      <t>Ø</t>
    </r>
    <r>
      <rPr>
        <vertAlign val="subscript"/>
        <sz val="18"/>
        <color theme="1"/>
        <rFont val="Calibri"/>
        <family val="2"/>
      </rPr>
      <t>hilo</t>
    </r>
    <r>
      <rPr>
        <sz val="18"/>
        <color theme="1"/>
        <rFont val="Calibri"/>
        <family val="2"/>
      </rPr>
      <t>/m</t>
    </r>
    <r>
      <rPr>
        <vertAlign val="subscript"/>
        <sz val="18"/>
        <color theme="1"/>
        <rFont val="Calibri"/>
        <family val="2"/>
      </rPr>
      <t>L</t>
    </r>
    <r>
      <rPr>
        <sz val="18"/>
        <color theme="1"/>
        <rFont val="Calibri"/>
        <family val="2"/>
      </rPr>
      <t>)</t>
    </r>
  </si>
  <si>
    <t>b (T2)</t>
  </si>
  <si>
    <t>Metros</t>
  </si>
  <si>
    <t xml:space="preserve">Coeficiente X en el </t>
  </si>
  <si>
    <t>Coeficiente Y en el</t>
  </si>
  <si>
    <t>Plano</t>
  </si>
  <si>
    <t>h (N)</t>
  </si>
  <si>
    <t>Panel Madre</t>
  </si>
  <si>
    <t>X1</t>
  </si>
  <si>
    <t>Faltante</t>
  </si>
  <si>
    <t>X2</t>
  </si>
  <si>
    <t>RC</t>
  </si>
  <si>
    <t>Cortes de Paños</t>
  </si>
  <si>
    <t>Relacion de Corte</t>
  </si>
  <si>
    <t>AB</t>
  </si>
  <si>
    <t>1N1B</t>
  </si>
  <si>
    <t>3N2B</t>
  </si>
  <si>
    <t>2N1B</t>
  </si>
  <si>
    <t>CORTE</t>
  </si>
  <si>
    <r>
      <rPr>
        <sz val="11"/>
        <color theme="1"/>
        <rFont val="Calibri"/>
        <family val="2"/>
      </rPr>
      <t>Ø</t>
    </r>
    <r>
      <rPr>
        <sz val="8.8000000000000007"/>
        <color theme="1"/>
        <rFont val="Calibri"/>
        <family val="2"/>
      </rPr>
      <t xml:space="preserve"> del Hilo</t>
    </r>
  </si>
  <si>
    <t>5N2B</t>
  </si>
  <si>
    <t>3N1B</t>
  </si>
  <si>
    <t>7N2B</t>
  </si>
  <si>
    <t>4N1B</t>
  </si>
  <si>
    <t>9N2B</t>
  </si>
  <si>
    <t>5N1B</t>
  </si>
  <si>
    <t>11N2B</t>
  </si>
  <si>
    <t>6N1B</t>
  </si>
  <si>
    <t>13N2B</t>
  </si>
  <si>
    <t>7N1B</t>
  </si>
  <si>
    <t>15N2B</t>
  </si>
  <si>
    <t>8N1B</t>
  </si>
  <si>
    <t>17N2B</t>
  </si>
  <si>
    <t>9N1B</t>
  </si>
  <si>
    <t>19N2B</t>
  </si>
  <si>
    <t>2/2</t>
  </si>
  <si>
    <t>2/1</t>
  </si>
  <si>
    <t>2/4</t>
  </si>
  <si>
    <t>2/5</t>
  </si>
  <si>
    <t>2/6</t>
  </si>
  <si>
    <t>2/7</t>
  </si>
  <si>
    <t>2/8</t>
  </si>
  <si>
    <t>2/9</t>
  </si>
  <si>
    <t>2/10</t>
  </si>
  <si>
    <t>2/11</t>
  </si>
  <si>
    <t>2/12</t>
  </si>
  <si>
    <t>2/13</t>
  </si>
  <si>
    <t>2/14</t>
  </si>
  <si>
    <t>2/15</t>
  </si>
  <si>
    <t>2/16</t>
  </si>
  <si>
    <t>2/17</t>
  </si>
  <si>
    <t>2/18</t>
  </si>
  <si>
    <t>2/19</t>
  </si>
  <si>
    <t>2/20</t>
  </si>
  <si>
    <t>1T2B</t>
  </si>
  <si>
    <t>1N4B</t>
  </si>
  <si>
    <t>N° Mallas</t>
  </si>
  <si>
    <r>
      <t>Superficie Sólida Total [m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] </t>
    </r>
  </si>
  <si>
    <t>Cantidad de paneles</t>
  </si>
  <si>
    <t>A + B</t>
  </si>
  <si>
    <r>
      <t>Ø</t>
    </r>
    <r>
      <rPr>
        <sz val="8.8000000000000007"/>
        <color theme="1"/>
        <rFont val="Calibri"/>
        <family val="2"/>
      </rPr>
      <t xml:space="preserve"> del Hilo</t>
    </r>
  </si>
  <si>
    <t>A+B</t>
  </si>
  <si>
    <t>I</t>
  </si>
  <si>
    <t>Relación No exacta</t>
  </si>
  <si>
    <t>Bolsa Inferior</t>
  </si>
  <si>
    <t>J</t>
  </si>
  <si>
    <t>Bolsa Inferior Modificada para Crustáceos</t>
  </si>
  <si>
    <t>I'</t>
  </si>
  <si>
    <t>Rendimiento</t>
  </si>
  <si>
    <t>[m/Kg]</t>
  </si>
  <si>
    <t>Bolsa Sup e Inf Crustáceos</t>
  </si>
  <si>
    <r>
      <t>S</t>
    </r>
    <r>
      <rPr>
        <vertAlign val="subscript"/>
        <sz val="11"/>
        <color theme="1"/>
        <rFont val="Calibri"/>
        <family val="2"/>
        <scheme val="minor"/>
      </rPr>
      <t>tra. MODIFICADA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</si>
  <si>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solida</t>
    </r>
    <r>
      <rPr>
        <b/>
        <sz val="11"/>
        <color theme="1"/>
        <rFont val="Calibri"/>
        <family val="2"/>
        <scheme val="minor"/>
      </rPr>
      <t>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)=</t>
    </r>
  </si>
  <si>
    <r>
      <t>S</t>
    </r>
    <r>
      <rPr>
        <b/>
        <vertAlign val="subscript"/>
        <sz val="10"/>
        <color theme="1"/>
        <rFont val="Calibri"/>
        <family val="2"/>
        <scheme val="minor"/>
      </rPr>
      <t>solida</t>
    </r>
    <r>
      <rPr>
        <b/>
        <sz val="10"/>
        <color theme="1"/>
        <rFont val="Calibri"/>
        <family val="2"/>
        <scheme val="minor"/>
      </rPr>
      <t>(m</t>
    </r>
    <r>
      <rPr>
        <b/>
        <vertAlign val="superscript"/>
        <sz val="10"/>
        <color theme="1"/>
        <rFont val="Calibri"/>
        <family val="2"/>
        <scheme val="minor"/>
      </rPr>
      <t>2</t>
    </r>
    <r>
      <rPr>
        <b/>
        <sz val="10"/>
        <color theme="1"/>
        <rFont val="Calibri"/>
        <family val="2"/>
        <scheme val="minor"/>
      </rPr>
      <t>)mod=</t>
    </r>
  </si>
  <si>
    <t>Indice de Filtracion con bolsa standar</t>
  </si>
  <si>
    <t>Indice de Filtracion con bolsa modificada</t>
  </si>
  <si>
    <t>Ceficiente de FILTRADO</t>
  </si>
  <si>
    <t>Coeficiente de SOLIDEZ (Luis G. Peréz Aguila Junio 2010)</t>
  </si>
  <si>
    <t>Coeficiente  Solidez Estandar =</t>
  </si>
  <si>
    <t>Coeficiente  Solidez Modificada =</t>
  </si>
  <si>
    <t>Coeficiente de Filtrado Estandar =</t>
  </si>
  <si>
    <t>Coeficiente de Filtrado Modificado =</t>
  </si>
  <si>
    <t>CoeficienteSolidez + CoeficienteFiltrado=</t>
  </si>
  <si>
    <t>Angulo de ataque de los cortes de los Paneles del Plan Alto</t>
  </si>
  <si>
    <t>Coef. Ab.</t>
  </si>
  <si>
    <r>
      <t>U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</si>
  <si>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t>N° de mallas</t>
  </si>
  <si>
    <t>de Aumento</t>
  </si>
  <si>
    <t>o Disminución</t>
  </si>
  <si>
    <t>En ancho</t>
  </si>
  <si>
    <t>(d)</t>
  </si>
  <si>
    <t>En Alto</t>
  </si>
  <si>
    <r>
      <t xml:space="preserve">tan </t>
    </r>
    <r>
      <rPr>
        <sz val="11"/>
        <color theme="1"/>
        <rFont val="Calibri"/>
        <family val="2"/>
      </rPr>
      <t>θ</t>
    </r>
  </si>
  <si>
    <t>θ</t>
  </si>
  <si>
    <t>[A°]</t>
  </si>
  <si>
    <t>(d)mallas aumento o disminucion en alto</t>
  </si>
  <si>
    <t>(a) mallas aumento o dism. En ancho</t>
  </si>
  <si>
    <t>Angulo Promedio</t>
  </si>
  <si>
    <t xml:space="preserve">Densidad </t>
  </si>
  <si>
    <t xml:space="preserve">Diferencia </t>
  </si>
  <si>
    <t xml:space="preserve">Unión </t>
  </si>
  <si>
    <t>siguiente</t>
  </si>
  <si>
    <t>paño</t>
  </si>
  <si>
    <t>Relacion de pegadura</t>
  </si>
  <si>
    <t>Sup. Trabajo</t>
  </si>
  <si>
    <r>
      <t>Paño [m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</si>
  <si>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δ</t>
    </r>
    <r>
      <rPr>
        <vertAlign val="subscript"/>
        <sz val="11"/>
        <color theme="1"/>
        <rFont val="Arial"/>
        <family val="2"/>
      </rPr>
      <t>Material</t>
    </r>
  </si>
  <si>
    <t>Peso Total</t>
  </si>
  <si>
    <r>
      <t>Paño [m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>]</t>
    </r>
  </si>
  <si>
    <t>Composturas Estandar</t>
  </si>
  <si>
    <t>T mallas</t>
  </si>
  <si>
    <t>N mallas</t>
  </si>
  <si>
    <r>
      <rPr>
        <sz val="11"/>
        <color theme="1"/>
        <rFont val="Calibri"/>
        <family val="2"/>
      </rPr>
      <t>Ø</t>
    </r>
    <r>
      <rPr>
        <sz val="8.8000000000000007"/>
        <color theme="1"/>
        <rFont val="Calibri"/>
        <family val="2"/>
      </rPr>
      <t>hilo [mm]</t>
    </r>
  </si>
  <si>
    <t>Factor (K) de corrección para nudos simples</t>
  </si>
  <si>
    <t>Diámetro del Hilo [mm]</t>
  </si>
  <si>
    <t>CALCULO DEL PESO DE LA RED METODO (A) y (B)</t>
  </si>
  <si>
    <r>
      <rPr>
        <sz val="10"/>
        <color theme="1"/>
        <rFont val="Calibri"/>
        <family val="2"/>
        <scheme val="minor"/>
      </rPr>
      <t>Indice de filtración (</t>
    </r>
    <r>
      <rPr>
        <sz val="10"/>
        <color theme="1"/>
        <rFont val="Calibri"/>
        <family val="2"/>
      </rPr>
      <t>Ø Hilo/ m</t>
    </r>
    <r>
      <rPr>
        <vertAlign val="subscript"/>
        <sz val="10"/>
        <color theme="1"/>
        <rFont val="Calibri"/>
        <family val="2"/>
      </rPr>
      <t>L</t>
    </r>
    <r>
      <rPr>
        <sz val="10"/>
        <color theme="1"/>
        <rFont val="Calibri"/>
        <family val="2"/>
      </rPr>
      <t xml:space="preserve">) estándar = </t>
    </r>
  </si>
  <si>
    <r>
      <t>Indice de filtración (</t>
    </r>
    <r>
      <rPr>
        <sz val="10"/>
        <color theme="1"/>
        <rFont val="Calibri"/>
        <family val="2"/>
      </rPr>
      <t>Ø Hilo/ m</t>
    </r>
    <r>
      <rPr>
        <vertAlign val="subscript"/>
        <sz val="10"/>
        <color theme="1"/>
        <rFont val="Calibri"/>
        <family val="2"/>
      </rPr>
      <t>L</t>
    </r>
    <r>
      <rPr>
        <sz val="10"/>
        <color theme="1"/>
        <rFont val="Calibri"/>
        <family val="2"/>
      </rPr>
      <t xml:space="preserve">) modif = </t>
    </r>
  </si>
  <si>
    <r>
      <t>R</t>
    </r>
    <r>
      <rPr>
        <vertAlign val="subscript"/>
        <sz val="11"/>
        <color theme="1"/>
        <rFont val="Calibri"/>
        <family val="2"/>
        <scheme val="minor"/>
      </rPr>
      <t>N estándar</t>
    </r>
  </si>
  <si>
    <r>
      <t>R</t>
    </r>
    <r>
      <rPr>
        <vertAlign val="subscript"/>
        <sz val="11"/>
        <color theme="1"/>
        <rFont val="Calibri"/>
        <family val="2"/>
        <scheme val="minor"/>
      </rPr>
      <t>N modificada</t>
    </r>
  </si>
  <si>
    <r>
      <t>R</t>
    </r>
    <r>
      <rPr>
        <vertAlign val="subscript"/>
        <sz val="11"/>
        <color theme="1"/>
        <rFont val="Calibri"/>
        <family val="2"/>
        <scheme val="minor"/>
      </rPr>
      <t>N Estándar</t>
    </r>
  </si>
  <si>
    <r>
      <t>R</t>
    </r>
    <r>
      <rPr>
        <vertAlign val="subscript"/>
        <sz val="11"/>
        <color theme="1"/>
        <rFont val="Calibri"/>
        <family val="2"/>
        <scheme val="minor"/>
      </rPr>
      <t>N Modificada</t>
    </r>
  </si>
  <si>
    <t>Largo total incluido la bolsa estandar (b)=</t>
  </si>
  <si>
    <t>Largo total incluido la bolsa modificada (b)=</t>
  </si>
  <si>
    <t>Plano de red FAO A3</t>
  </si>
  <si>
    <t>Modificada</t>
  </si>
  <si>
    <t xml:space="preserve">Resumen de paños y cortes de red </t>
  </si>
  <si>
    <t>Punta de ala sup. derecha</t>
  </si>
  <si>
    <t xml:space="preserve">Punta de ala sup. izquierda </t>
  </si>
  <si>
    <t>Bolsa Superior (Estándar)</t>
  </si>
  <si>
    <t>Bolsa Superior Modificada para Crustáceos</t>
  </si>
  <si>
    <t>Punta de ala inf. Izquierda</t>
  </si>
  <si>
    <t>Punta de ala inf. derecha</t>
  </si>
  <si>
    <t>Bolsa Inferior (Estándar)</t>
  </si>
  <si>
    <t xml:space="preserve">Largo total (vientre) Incluida la bolsa  (b) [m] </t>
  </si>
  <si>
    <t>Largo total sin la bolsa (Estándar)=</t>
  </si>
  <si>
    <t>Largo total sin la bolsa (Modificada)=</t>
  </si>
  <si>
    <r>
      <t>Superficie de Trabajo (S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 Estándar=</t>
    </r>
  </si>
  <si>
    <r>
      <t>Superficie de Trabajo (S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 Modificada=</t>
    </r>
  </si>
  <si>
    <t>Seno (α)=</t>
  </si>
  <si>
    <t>Superficie solida ocupada por el hilo (Ss) Estándar=</t>
  </si>
  <si>
    <t>Superficie solida ocupada por el hilo (Ss) Modificada=</t>
  </si>
  <si>
    <t>RN Estándar</t>
  </si>
  <si>
    <t>RN Modificada</t>
  </si>
  <si>
    <t>DICKSON</t>
  </si>
  <si>
    <r>
      <t>Conversión de 1 m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=</t>
    </r>
  </si>
  <si>
    <r>
      <t>[Pie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</si>
  <si>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[m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</si>
  <si>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Datos:</t>
  </si>
  <si>
    <r>
      <t>Densidad del agua de mar (</t>
    </r>
    <r>
      <rPr>
        <sz val="11"/>
        <color theme="1"/>
        <rFont val="Calibri"/>
        <family val="2"/>
      </rPr>
      <t>ρ</t>
    </r>
    <r>
      <rPr>
        <vertAlign val="subscript"/>
        <sz val="11"/>
        <color theme="1"/>
        <rFont val="Calibri"/>
        <family val="2"/>
      </rPr>
      <t>mar</t>
    </r>
    <r>
      <rPr>
        <sz val="11"/>
        <color theme="1"/>
        <rFont val="Calibri"/>
        <family val="2"/>
      </rPr>
      <t>) =</t>
    </r>
  </si>
  <si>
    <r>
      <t>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</si>
  <si>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Aceleración de la gravedad (g) =</t>
  </si>
  <si>
    <r>
      <t>[m/s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</si>
  <si>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Angulo de</t>
  </si>
  <si>
    <t>Ataque</t>
  </si>
  <si>
    <t>Porton (°)</t>
  </si>
  <si>
    <t xml:space="preserve">S </t>
  </si>
  <si>
    <t>Porton</t>
  </si>
  <si>
    <t xml:space="preserve">Superfici </t>
  </si>
  <si>
    <r>
      <t>C</t>
    </r>
    <r>
      <rPr>
        <vertAlign val="subscript"/>
        <sz val="11"/>
        <color theme="1"/>
        <rFont val="Calibri"/>
        <family val="2"/>
        <scheme val="minor"/>
      </rPr>
      <t>D</t>
    </r>
  </si>
  <si>
    <t>adimensional</t>
  </si>
  <si>
    <r>
      <t>C</t>
    </r>
    <r>
      <rPr>
        <vertAlign val="subscript"/>
        <sz val="11"/>
        <color theme="1"/>
        <rFont val="Calibri"/>
        <family val="2"/>
        <scheme val="minor"/>
      </rPr>
      <t>L</t>
    </r>
  </si>
  <si>
    <t>Resistencia</t>
  </si>
  <si>
    <t>Rd</t>
  </si>
  <si>
    <t>[kgf]</t>
  </si>
  <si>
    <t>Abertura</t>
  </si>
  <si>
    <r>
      <t>F</t>
    </r>
    <r>
      <rPr>
        <vertAlign val="subscript"/>
        <sz val="11"/>
        <color theme="1"/>
        <rFont val="Calibri"/>
        <family val="2"/>
        <scheme val="minor"/>
      </rPr>
      <t>dy</t>
    </r>
  </si>
  <si>
    <r>
      <t>E</t>
    </r>
    <r>
      <rPr>
        <vertAlign val="subscript"/>
        <sz val="11"/>
        <color theme="1"/>
        <rFont val="Calibri"/>
        <family val="2"/>
        <scheme val="minor"/>
      </rPr>
      <t>dx</t>
    </r>
  </si>
  <si>
    <r>
      <t>E</t>
    </r>
    <r>
      <rPr>
        <vertAlign val="subscript"/>
        <sz val="11"/>
        <color theme="1"/>
        <rFont val="Calibri"/>
        <family val="2"/>
        <scheme val="minor"/>
      </rPr>
      <t>dy</t>
    </r>
  </si>
  <si>
    <t>Datos de maniobra</t>
  </si>
  <si>
    <t>Profundidad (d)</t>
  </si>
  <si>
    <r>
      <t>Cable Filado (L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)</t>
    </r>
  </si>
  <si>
    <r>
      <t>Proyección Horizontal del cable filado (L</t>
    </r>
    <r>
      <rPr>
        <vertAlign val="subscript"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)</t>
    </r>
  </si>
  <si>
    <t>[m]</t>
  </si>
  <si>
    <t>Poca profundidad</t>
  </si>
  <si>
    <r>
      <t>L</t>
    </r>
    <r>
      <rPr>
        <vertAlign val="subscript"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= 0,95 x L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 =</t>
    </r>
  </si>
  <si>
    <t>Mayor profundidad</t>
  </si>
  <si>
    <r>
      <t>L</t>
    </r>
    <r>
      <rPr>
        <vertAlign val="subscript"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= 0,85 x L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 =</t>
    </r>
  </si>
  <si>
    <r>
      <t>Largo de la red sin la bolsa (L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=</t>
    </r>
  </si>
  <si>
    <t>U2</t>
  </si>
  <si>
    <r>
      <t>L</t>
    </r>
    <r>
      <rPr>
        <vertAlign val="subscript"/>
        <sz val="11"/>
        <color theme="1"/>
        <rFont val="Calibri"/>
        <family val="2"/>
        <scheme val="minor"/>
      </rPr>
      <t>RTrabajando</t>
    </r>
  </si>
  <si>
    <r>
      <t>Largo de viento o brida (L</t>
    </r>
    <r>
      <rPr>
        <vertAlign val="subscript"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)</t>
    </r>
  </si>
  <si>
    <r>
      <t>CALCULO DE LA DISTANCIA ENTRE PUNTAS DE ALAS (D</t>
    </r>
    <r>
      <rPr>
        <vertAlign val="subscript"/>
        <sz val="16"/>
        <color theme="1"/>
        <rFont val="Calibri"/>
        <family val="2"/>
        <scheme val="minor"/>
      </rPr>
      <t>PA</t>
    </r>
    <r>
      <rPr>
        <sz val="16"/>
        <color theme="1"/>
        <rFont val="Calibri"/>
        <family val="2"/>
        <scheme val="minor"/>
      </rPr>
      <t>)</t>
    </r>
  </si>
  <si>
    <r>
      <t>CALCULO DE LA DISTANCIA ENTRE PUNTAS DE ALAS (D</t>
    </r>
    <r>
      <rPr>
        <vertAlign val="subscript"/>
        <sz val="18"/>
        <color theme="1"/>
        <rFont val="Calibri"/>
        <family val="2"/>
        <scheme val="minor"/>
      </rPr>
      <t>PA</t>
    </r>
    <r>
      <rPr>
        <sz val="18"/>
        <color theme="1"/>
        <rFont val="Calibri"/>
        <family val="2"/>
        <scheme val="minor"/>
      </rPr>
      <t>)</t>
    </r>
  </si>
  <si>
    <t>Cable Filado</t>
  </si>
  <si>
    <t>FRIDMAN</t>
  </si>
  <si>
    <t>2Yn=Dpa</t>
  </si>
  <si>
    <t>Distancia entre portones (Ds)</t>
  </si>
  <si>
    <t>Pies de Gallo (PG) [m]</t>
  </si>
  <si>
    <t>Alargue de pie de gallo (APG)  [m]</t>
  </si>
  <si>
    <t>Patentes (Pa) [m]</t>
  </si>
  <si>
    <r>
      <t>CALCULO DE LA AVERTURA VERTICAL DE LA RED (A</t>
    </r>
    <r>
      <rPr>
        <vertAlign val="subscript"/>
        <sz val="16"/>
        <color theme="1"/>
        <rFont val="Calibri"/>
        <family val="2"/>
        <scheme val="minor"/>
      </rPr>
      <t>V</t>
    </r>
    <r>
      <rPr>
        <sz val="16"/>
        <color theme="1"/>
        <rFont val="Calibri"/>
        <family val="2"/>
        <scheme val="minor"/>
      </rPr>
      <t>)</t>
    </r>
  </si>
  <si>
    <t>Av UTILIZANDO UN PORCENTAJE (J.Prado y P.Y.Dremiere)</t>
  </si>
  <si>
    <t>Red de fondo con poca avertura vertical</t>
  </si>
  <si>
    <t>Red de fondo con mucha avertura vertical</t>
  </si>
  <si>
    <t>Red marisquera plana o semi balon</t>
  </si>
  <si>
    <t>Av UTILIZANDO UN PORCENTAJE (A.IZZO- INIDEP)</t>
  </si>
  <si>
    <t>Av 4,35%</t>
  </si>
  <si>
    <t>Av 5%</t>
  </si>
  <si>
    <t>Av 6%</t>
  </si>
  <si>
    <t>Av 7%</t>
  </si>
  <si>
    <t>Av Según NAOMICHI SUZUKI (JICA 1982)</t>
  </si>
  <si>
    <t>Av=</t>
  </si>
  <si>
    <t>Av UTILIZANDO RN Y LA FLOTACIÓN (BARANOV Y FRIDMAN)</t>
  </si>
  <si>
    <r>
      <t>Flotación Total (F</t>
    </r>
    <r>
      <rPr>
        <vertAlign val="subscript"/>
        <sz val="11"/>
        <color theme="1"/>
        <rFont val="Calibri"/>
        <family val="2"/>
        <scheme val="minor"/>
      </rPr>
      <t>fz</t>
    </r>
    <r>
      <rPr>
        <sz val="11"/>
        <color theme="1"/>
        <rFont val="Calibri"/>
        <family val="2"/>
        <scheme val="minor"/>
      </rPr>
      <t>)</t>
    </r>
  </si>
  <si>
    <r>
      <t>Catenaria (f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/L)</t>
    </r>
  </si>
  <si>
    <t>Elementos principales de la catenaria en una red de pesca</t>
  </si>
  <si>
    <r>
      <t xml:space="preserve">D </t>
    </r>
    <r>
      <rPr>
        <vertAlign val="subscript"/>
        <sz val="11"/>
        <color theme="1"/>
        <rFont val="Calibri"/>
        <family val="2"/>
        <scheme val="minor"/>
      </rPr>
      <t>PA</t>
    </r>
  </si>
  <si>
    <t>L</t>
  </si>
  <si>
    <r>
      <t>D</t>
    </r>
    <r>
      <rPr>
        <vertAlign val="subscript"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/L</t>
    </r>
  </si>
  <si>
    <r>
      <t>f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/L</t>
    </r>
  </si>
  <si>
    <r>
      <t>f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  <scheme val="minor"/>
      </rPr>
      <t>PA</t>
    </r>
  </si>
  <si>
    <r>
      <t xml:space="preserve">tg </t>
    </r>
    <r>
      <rPr>
        <sz val="11"/>
        <color theme="1"/>
        <rFont val="Calibri"/>
        <family val="2"/>
      </rPr>
      <t>β</t>
    </r>
  </si>
  <si>
    <t>β</t>
  </si>
  <si>
    <t>α</t>
  </si>
  <si>
    <t>[°]</t>
  </si>
  <si>
    <r>
      <t>Flecha de la lima (f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)</t>
    </r>
  </si>
  <si>
    <t>α Estandar</t>
  </si>
  <si>
    <t>α Modificada</t>
  </si>
  <si>
    <t>Av [m]</t>
  </si>
  <si>
    <t>Av[m]</t>
  </si>
  <si>
    <t xml:space="preserve">FRIDMAN </t>
  </si>
  <si>
    <t>Estandar</t>
  </si>
  <si>
    <t>CALCULO DE BRIDAS A UN PUNTO</t>
  </si>
  <si>
    <r>
      <t>Angulo entre la brida Superior e Inferior (</t>
    </r>
    <r>
      <rPr>
        <sz val="11"/>
        <color theme="1"/>
        <rFont val="Calibri"/>
        <family val="2"/>
      </rPr>
      <t>α)</t>
    </r>
  </si>
  <si>
    <r>
      <t>Cadena de Reglaje (C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[m]</t>
    </r>
  </si>
  <si>
    <t xml:space="preserve">Estandar </t>
  </si>
  <si>
    <t>Largo de bridas sin Triangulo</t>
  </si>
  <si>
    <t>Con Triangulo</t>
  </si>
  <si>
    <t>Altura del triangulo o del brazo Dan Leno</t>
  </si>
  <si>
    <t>Largo de bridas con Triangulo</t>
  </si>
  <si>
    <t>Sin Triangulo</t>
  </si>
  <si>
    <t>PORTONES</t>
  </si>
  <si>
    <t>RESULTADOS DE CALCULO DE RESISTENCIA DE LA RED [Ton] SEGÚN DISTINTOS AUTORES</t>
  </si>
  <si>
    <t>RED FAO A3 Estandar</t>
  </si>
  <si>
    <t>TAUTI</t>
  </si>
  <si>
    <t>Reid</t>
  </si>
  <si>
    <t>Robertson</t>
  </si>
  <si>
    <t>Aberdeen</t>
  </si>
  <si>
    <t>Demersal</t>
  </si>
  <si>
    <t>Mac.</t>
  </si>
  <si>
    <t>Lennan</t>
  </si>
  <si>
    <t>Pelagica</t>
  </si>
  <si>
    <t>Dickson</t>
  </si>
  <si>
    <t xml:space="preserve">Tauti, </t>
  </si>
  <si>
    <t>Nomura, Shu.</t>
  </si>
  <si>
    <t>Hamuro</t>
  </si>
  <si>
    <t>AH</t>
  </si>
  <si>
    <t>AV</t>
  </si>
  <si>
    <t>RN Estandar</t>
  </si>
  <si>
    <t xml:space="preserve">Puntal </t>
  </si>
  <si>
    <t>Distancia entre pastecas=</t>
  </si>
  <si>
    <t>Distancia a 1 metro</t>
  </si>
  <si>
    <t>Profundidad de trabajo</t>
  </si>
  <si>
    <t>cable filado</t>
  </si>
  <si>
    <t xml:space="preserve">Distancia entre portones= </t>
  </si>
  <si>
    <t>Distancia entre puntas de alas (DPA)</t>
  </si>
  <si>
    <t>Patentes según Dremiere</t>
  </si>
  <si>
    <t>Patentes según Martini</t>
  </si>
  <si>
    <t>Angulos utiles</t>
  </si>
  <si>
    <t>δ Patentes</t>
  </si>
  <si>
    <r>
      <t xml:space="preserve"> </t>
    </r>
    <r>
      <rPr>
        <sz val="11"/>
        <color theme="1"/>
        <rFont val="Calibri"/>
        <family val="2"/>
      </rPr>
      <t>δ patentes</t>
    </r>
  </si>
  <si>
    <r>
      <t>Largo Patentes (L</t>
    </r>
    <r>
      <rPr>
        <vertAlign val="subscript"/>
        <sz val="11"/>
        <color theme="1"/>
        <rFont val="Calibri"/>
        <family val="2"/>
        <scheme val="minor"/>
      </rPr>
      <t>PST</t>
    </r>
    <r>
      <rPr>
        <sz val="11"/>
        <color theme="1"/>
        <rFont val="Calibri"/>
        <family val="2"/>
        <scheme val="minor"/>
      </rPr>
      <t>)=</t>
    </r>
  </si>
  <si>
    <t>Relacion Dremiere patentes</t>
  </si>
  <si>
    <t>Relación =</t>
  </si>
  <si>
    <t>B(largo patente) =</t>
  </si>
  <si>
    <t xml:space="preserve">Cable filado= </t>
  </si>
  <si>
    <t>Viento o Brida Superior (Vs) [m]</t>
  </si>
  <si>
    <r>
      <t>Viento o Brida Inferior (V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 [m]</t>
    </r>
  </si>
  <si>
    <t>Longitudes permitidas en patentes</t>
  </si>
  <si>
    <t>LPST=</t>
  </si>
  <si>
    <r>
      <t>Calculo de la longitud de patentes sin triangulo o brazo Dan Leno (L</t>
    </r>
    <r>
      <rPr>
        <vertAlign val="subscript"/>
        <sz val="12"/>
        <color theme="1"/>
        <rFont val="Calibri"/>
        <family val="2"/>
        <scheme val="minor"/>
      </rPr>
      <t>patente sin triangulo</t>
    </r>
    <r>
      <rPr>
        <sz val="12"/>
        <color theme="1"/>
        <rFont val="Calibri"/>
        <family val="2"/>
        <scheme val="minor"/>
      </rPr>
      <t>)(LPST)</t>
    </r>
  </si>
  <si>
    <t>LPCT=</t>
  </si>
  <si>
    <t>Calculo aproximado de la distancia entre portones (al metro)</t>
  </si>
  <si>
    <r>
      <t>R</t>
    </r>
    <r>
      <rPr>
        <vertAlign val="subscript"/>
        <sz val="11"/>
        <color theme="1"/>
        <rFont val="Calibri"/>
        <family val="2"/>
        <scheme val="minor"/>
      </rPr>
      <t>N Estandar</t>
    </r>
  </si>
  <si>
    <t>Especie Objetivo</t>
  </si>
  <si>
    <t>Profundidad en la que se la encuentra</t>
  </si>
  <si>
    <t>Profundidades</t>
  </si>
  <si>
    <t>DPA</t>
  </si>
  <si>
    <t>Yn Estandar</t>
  </si>
  <si>
    <t>Yn Modificada</t>
  </si>
  <si>
    <t>Lima, Relinga Superior (L)</t>
  </si>
  <si>
    <t>L ala=</t>
  </si>
  <si>
    <t xml:space="preserve">L bocana= </t>
  </si>
  <si>
    <t>Embando=</t>
  </si>
  <si>
    <t xml:space="preserve">Embando= </t>
  </si>
  <si>
    <t>L bocana corregido</t>
  </si>
  <si>
    <t>Calculo de Relingas (Burlon y Lima) - Martini nivel 2</t>
  </si>
  <si>
    <t>m ala=</t>
  </si>
  <si>
    <t>m ala corregido=</t>
  </si>
  <si>
    <t>L ala corregido=</t>
  </si>
  <si>
    <t xml:space="preserve">m bocana= </t>
  </si>
  <si>
    <t>Av según  Martini nivel 2 (Artes y Métodos de pesca)</t>
  </si>
  <si>
    <t>donde:</t>
  </si>
  <si>
    <t>N° mallas DV: cantidad de mallas del borde superior de la circunferencia del 1° paño del dorso y el vientre</t>
  </si>
  <si>
    <t>MR: mallas relingadas en los bordes de union de paños superior e inferior</t>
  </si>
  <si>
    <t>Mallero: tamaño de la malla estirada</t>
  </si>
  <si>
    <t>DV=</t>
  </si>
  <si>
    <t>MR=</t>
  </si>
  <si>
    <t>Alturas brazos dan leno</t>
  </si>
  <si>
    <r>
      <t>Calculo de la longitud de patentes con triangulo o brazo Dan Leno (L</t>
    </r>
    <r>
      <rPr>
        <vertAlign val="subscript"/>
        <sz val="12"/>
        <color theme="1"/>
        <rFont val="Calibri"/>
        <family val="2"/>
        <scheme val="minor"/>
      </rPr>
      <t>patente con triangulo</t>
    </r>
    <r>
      <rPr>
        <sz val="12"/>
        <color theme="1"/>
        <rFont val="Calibri"/>
        <family val="2"/>
        <scheme val="minor"/>
      </rPr>
      <t>)(LPCT)</t>
    </r>
  </si>
  <si>
    <t>20 a 70</t>
  </si>
  <si>
    <t>Angulo promedio</t>
  </si>
  <si>
    <t>Redondeo</t>
  </si>
  <si>
    <t>fL</t>
  </si>
  <si>
    <r>
      <t>Calculo de resistencia de los Portones (R</t>
    </r>
    <r>
      <rPr>
        <vertAlign val="subscript"/>
        <sz val="18"/>
        <color theme="1"/>
        <rFont val="Calibri"/>
        <family val="2"/>
        <scheme val="minor"/>
      </rPr>
      <t xml:space="preserve">OB </t>
    </r>
    <r>
      <rPr>
        <sz val="18"/>
        <color theme="1"/>
        <rFont val="Calibri"/>
        <family val="2"/>
        <scheme val="minor"/>
      </rPr>
      <t>o R</t>
    </r>
    <r>
      <rPr>
        <vertAlign val="subscript"/>
        <sz val="18"/>
        <color theme="1"/>
        <rFont val="Calibri"/>
        <family val="2"/>
        <scheme val="minor"/>
      </rPr>
      <t>D</t>
    </r>
    <r>
      <rPr>
        <sz val="18"/>
        <color theme="1"/>
        <rFont val="Calibri"/>
        <family val="2"/>
        <scheme val="minor"/>
      </rPr>
      <t>)</t>
    </r>
  </si>
  <si>
    <t>Calculo de la Superficie del porton (S)</t>
  </si>
  <si>
    <t>Especificaciones Técnicas del Porton Seleccionado</t>
  </si>
  <si>
    <t>Sobre Portones</t>
  </si>
  <si>
    <t>Especificaciones técnicas</t>
  </si>
  <si>
    <t>Largo</t>
  </si>
  <si>
    <t>Alto</t>
  </si>
  <si>
    <t>Area Proyectada</t>
  </si>
  <si>
    <t>Razon de Aspecto</t>
  </si>
  <si>
    <t>Razon de Area</t>
  </si>
  <si>
    <t>Peso en el aire</t>
  </si>
  <si>
    <t>Porton plano de madera con bastidor de hierro FAO para A3,B3,C3</t>
  </si>
  <si>
    <t>coeficiente multiplicador</t>
  </si>
  <si>
    <t>Peso en el agua</t>
  </si>
  <si>
    <t>Angulo de ataque</t>
  </si>
  <si>
    <t>CL</t>
  </si>
  <si>
    <t>CD</t>
  </si>
  <si>
    <t>CL/CD</t>
  </si>
  <si>
    <t>Seleccione su porton</t>
  </si>
  <si>
    <t>Calculo de la fuerza de expancion (Ry=L=Fy) y resistencia (Tx=D=RD)</t>
  </si>
  <si>
    <t>Fridman 150HP</t>
  </si>
  <si>
    <t>ROB 15% Tiro</t>
  </si>
  <si>
    <t>ROB 20% Tiro</t>
  </si>
  <si>
    <t>ROB 25% Tiro</t>
  </si>
  <si>
    <t>ROB 30% Tiro</t>
  </si>
  <si>
    <t>Fridman 180HP</t>
  </si>
  <si>
    <t>Morgere Polivalente Oval</t>
  </si>
  <si>
    <t>SP promedio</t>
  </si>
  <si>
    <t>S cada porton</t>
  </si>
  <si>
    <r>
      <t>ANGULO DE ATAQUE DE LAS BRIDAS Y LAS PATENTES (</t>
    </r>
    <r>
      <rPr>
        <sz val="14"/>
        <color theme="1"/>
        <rFont val="Calibri"/>
        <family val="2"/>
      </rPr>
      <t>δ)</t>
    </r>
  </si>
  <si>
    <t xml:space="preserve">CALCULO DE LA FLOTACIÓN </t>
  </si>
  <si>
    <t>Método Dr. Koyama</t>
  </si>
  <si>
    <t>Calculo de Pies de Gallo (PG)</t>
  </si>
  <si>
    <t>Según Martini</t>
  </si>
  <si>
    <t>Pies de Gallo (PG)[m] =</t>
  </si>
  <si>
    <t>δ=</t>
  </si>
  <si>
    <t xml:space="preserve">Pie de gallo inferior </t>
  </si>
  <si>
    <t>Pie de gallo superior</t>
  </si>
  <si>
    <t>Ftotal=</t>
  </si>
  <si>
    <t>MERODO DE J.PRADO y P.Y.DREMIERE</t>
  </si>
  <si>
    <t>Regla general</t>
  </si>
  <si>
    <t>NHP</t>
  </si>
  <si>
    <t>50 a 600</t>
  </si>
  <si>
    <t>600 a 800</t>
  </si>
  <si>
    <t>Ftotal para</t>
  </si>
  <si>
    <t>METODO DE CALCULO DE LA FLOTACION TOTAL</t>
  </si>
  <si>
    <t>CALCULO DEL PESO DE LA LIMA EN EL AGUA</t>
  </si>
  <si>
    <t>CABOS PARA RELINGADOS, UNIONES y REFUERZOS DE LA RED</t>
  </si>
  <si>
    <t>CABOS Y CABLES USADOS EN LA INDUSTRIA PESQUERA (DE CATALOGOS Y FISHERMAN WORKBOOK)</t>
  </si>
  <si>
    <t>DIAMETRO</t>
  </si>
  <si>
    <t>MARCA</t>
  </si>
  <si>
    <t>MOSCUZZA</t>
  </si>
  <si>
    <t>CONSTRUCCION</t>
  </si>
  <si>
    <t>Kg/m</t>
  </si>
  <si>
    <t>Resistencia [ton]</t>
  </si>
  <si>
    <t>Diametro de la Lima</t>
  </si>
  <si>
    <t>Peso de la lima en el aire</t>
  </si>
  <si>
    <t>F1</t>
  </si>
  <si>
    <t>F2 Estándar</t>
  </si>
  <si>
    <t>F2 Modificada</t>
  </si>
  <si>
    <t>F1'</t>
  </si>
  <si>
    <t>F2' Estandar</t>
  </si>
  <si>
    <t>F2' Modificada</t>
  </si>
  <si>
    <t>F Total Estandar</t>
  </si>
  <si>
    <t>F Total Modificada</t>
  </si>
  <si>
    <t>CALCULO DEL NUMERO DE BOYAS NECESARIAS</t>
  </si>
  <si>
    <t>BOYAS</t>
  </si>
  <si>
    <t>Flotación unitaria</t>
  </si>
  <si>
    <t>Flotación total</t>
  </si>
  <si>
    <t>F totales</t>
  </si>
  <si>
    <t>Distribucion de la flotación para=</t>
  </si>
  <si>
    <t>Boyas</t>
  </si>
  <si>
    <t>Numero total de boyas</t>
  </si>
  <si>
    <t>Diametro de la boya</t>
  </si>
  <si>
    <t>Distribucion pareja</t>
  </si>
  <si>
    <t>cantidad en cada ala=</t>
  </si>
  <si>
    <t>cantidad en bocana</t>
  </si>
  <si>
    <t>En total se distribuyeron sobre la lima</t>
  </si>
  <si>
    <t xml:space="preserve">boyas de </t>
  </si>
  <si>
    <t>mm de diametro cada</t>
  </si>
  <si>
    <t>Distribución selectiva</t>
  </si>
  <si>
    <t>Porcentaje de flotacion en el ala</t>
  </si>
  <si>
    <t>Porcentaje de flotacion en la bocana</t>
  </si>
  <si>
    <t>Porcentajes útiles</t>
  </si>
  <si>
    <t>Porcentaje</t>
  </si>
  <si>
    <t>de flotación</t>
  </si>
  <si>
    <t xml:space="preserve">Cantidad de </t>
  </si>
  <si>
    <t>boyas</t>
  </si>
  <si>
    <t>Cobertura de las limas en alas superiores</t>
  </si>
  <si>
    <t>en cada ala</t>
  </si>
  <si>
    <t>Porcentaje de cobertura 1/5 Lima ala delantera</t>
  </si>
  <si>
    <t>Cantidad de boyas en el 1/5 Lima ala delantera</t>
  </si>
  <si>
    <t>Boyas cada</t>
  </si>
  <si>
    <t>Se distribuyeron sobre el primer quinto de la lima de cada ala</t>
  </si>
  <si>
    <t xml:space="preserve">mm de diámetro, </t>
  </si>
  <si>
    <t>en los restantes</t>
  </si>
  <si>
    <t>metros. En la bocana se ditribuyeron</t>
  </si>
  <si>
    <t>Boyas  cada</t>
  </si>
  <si>
    <t>metros.</t>
  </si>
  <si>
    <t>Unidades</t>
  </si>
  <si>
    <t>unidades</t>
  </si>
  <si>
    <t>CALCULO DE LA RESISTENCIA DE LAS BOYAS (RB)</t>
  </si>
  <si>
    <t>CD Hoerner 1975</t>
  </si>
  <si>
    <t>[m^2/s]</t>
  </si>
  <si>
    <t>Viscosidad cinemática del agua de mar (20°C)=</t>
  </si>
  <si>
    <t>Viscosidad cinemática del agua de mar (0°C)=</t>
  </si>
  <si>
    <t>Promedio viscosidad</t>
  </si>
  <si>
    <t>Re</t>
  </si>
  <si>
    <t>RB</t>
  </si>
  <si>
    <t>ROB</t>
  </si>
  <si>
    <t>Fabertura Ry</t>
  </si>
  <si>
    <t>[m^2]</t>
  </si>
  <si>
    <t>SP 150HP</t>
  </si>
  <si>
    <t>SP 180HP</t>
  </si>
  <si>
    <t>Promedio general sup</t>
  </si>
  <si>
    <t>Alargue del pie de gallo</t>
  </si>
  <si>
    <t>CALCULO DEL LASTRE</t>
  </si>
  <si>
    <t>METODO DEL Dr. KOYAMA</t>
  </si>
  <si>
    <t>Lastre( W lastre)=</t>
  </si>
  <si>
    <t>Kg</t>
  </si>
  <si>
    <t>METODO DE J.PRADO Y P.Y.DREMIERE</t>
  </si>
  <si>
    <t>Lastre para</t>
  </si>
  <si>
    <t>50-100</t>
  </si>
  <si>
    <t>100-200</t>
  </si>
  <si>
    <t>200-400</t>
  </si>
  <si>
    <t>400-600</t>
  </si>
  <si>
    <t>600-800</t>
  </si>
  <si>
    <t>Seleccionar K</t>
  </si>
  <si>
    <t>Seleccionar NHP</t>
  </si>
  <si>
    <t>NHP posibles</t>
  </si>
  <si>
    <t>kg</t>
  </si>
  <si>
    <t>METODO DE CALCULO DEL LASTRE TOTAL</t>
  </si>
  <si>
    <t>PP 14 Retorcido 3 cordones</t>
  </si>
  <si>
    <t>COMBINADO 12 Acero6x24+7</t>
  </si>
  <si>
    <t>COMBINADO 14 Acero6x24+7</t>
  </si>
  <si>
    <t>PP 16 Retorcido 3 cordones</t>
  </si>
  <si>
    <t>Peso del burlon en el aire</t>
  </si>
  <si>
    <t>[Kgf/m]</t>
  </si>
  <si>
    <t>Coeficiente NY</t>
  </si>
  <si>
    <t>Coeficiente Acero</t>
  </si>
  <si>
    <t>Peso del burlon en el agua</t>
  </si>
  <si>
    <t xml:space="preserve">Estándar </t>
  </si>
  <si>
    <t xml:space="preserve">Distribución pareja= </t>
  </si>
  <si>
    <t>[Kg/m]</t>
  </si>
  <si>
    <t>CADENAS PARA LASTRE Y REGLAJE</t>
  </si>
  <si>
    <t>Marca</t>
  </si>
  <si>
    <t>Eslabon diametro carga de rotura</t>
  </si>
  <si>
    <t>peso</t>
  </si>
  <si>
    <t>Trawlex</t>
  </si>
  <si>
    <t>Peso reglaje</t>
  </si>
  <si>
    <t>Cadena de reglaje [m]</t>
  </si>
  <si>
    <t>LARGO 19 GRADO80 45</t>
  </si>
  <si>
    <t xml:space="preserve">CORTO 7 GRADO80 6 </t>
  </si>
  <si>
    <t xml:space="preserve">Peso </t>
  </si>
  <si>
    <t>de cadena</t>
  </si>
  <si>
    <t>Kg/m aprox.</t>
  </si>
  <si>
    <t xml:space="preserve">Porcentaje </t>
  </si>
  <si>
    <t>Reglaje</t>
  </si>
  <si>
    <t>Bocana</t>
  </si>
  <si>
    <t>Alas</t>
  </si>
  <si>
    <t>m de la lima se montaron</t>
  </si>
  <si>
    <t>Tipo de fondo en el que habita</t>
  </si>
  <si>
    <t>Intermedio</t>
  </si>
  <si>
    <t>Tipo de fondo</t>
  </si>
  <si>
    <t xml:space="preserve">metros, de  </t>
  </si>
  <si>
    <t>en los extremos</t>
  </si>
  <si>
    <t>metros continuados del 1° 5° y una distancia libre entre</t>
  </si>
  <si>
    <t xml:space="preserve"> la ultima boya y la gasa de punta de lima de</t>
  </si>
  <si>
    <t>DISTRIBUCION DEL LASTRE</t>
  </si>
  <si>
    <t>Cable de Remolque</t>
  </si>
  <si>
    <t>Nomura y Yamazaki, Resistencia del cable de remolque (Rw)</t>
  </si>
  <si>
    <t>α [°]</t>
  </si>
  <si>
    <t>Angulo de Ataque cable=</t>
  </si>
  <si>
    <t xml:space="preserve">Profundidad de trabajo= </t>
  </si>
  <si>
    <t>30 a 100 metros</t>
  </si>
  <si>
    <t>Descripción espacial de ángulos y distancias</t>
  </si>
  <si>
    <t>A)</t>
  </si>
  <si>
    <t>Datos Importantes</t>
  </si>
  <si>
    <t>Relacion cable filado profundidad</t>
  </si>
  <si>
    <t>Factor multiplicador</t>
  </si>
  <si>
    <t>a</t>
  </si>
  <si>
    <t>DPA=</t>
  </si>
  <si>
    <t>B)</t>
  </si>
  <si>
    <r>
      <t>CALCULO DEL ANGULO DE DIVERGENCIA DEL CABLE DE REMOLQUE (</t>
    </r>
    <r>
      <rPr>
        <sz val="11"/>
        <color theme="1"/>
        <rFont val="Calibri"/>
        <family val="2"/>
      </rPr>
      <t>δ2)</t>
    </r>
  </si>
  <si>
    <t>δ2=</t>
  </si>
  <si>
    <t>δ3=</t>
  </si>
  <si>
    <t>PROMEDIO AV</t>
  </si>
  <si>
    <t>CALCULO DEL ANGULO DE DIVERGENCIA DE LAS BRIDAS (δ3)</t>
  </si>
  <si>
    <r>
      <t>CALCULO DEL ANGULO DE DECLINACION DEL CABLE DE REMOLQUE (</t>
    </r>
    <r>
      <rPr>
        <sz val="11"/>
        <color theme="1"/>
        <rFont val="Calibri"/>
        <family val="2"/>
      </rPr>
      <t>δ1)</t>
    </r>
  </si>
  <si>
    <t>δ1=</t>
  </si>
  <si>
    <t>RESOLUCION POR COORDENADAS CARTESIANAS RECTANGULARES</t>
  </si>
  <si>
    <t>Profundidad efectiva</t>
  </si>
  <si>
    <r>
      <t>Densidad del agua dulce (</t>
    </r>
    <r>
      <rPr>
        <sz val="11"/>
        <color theme="1"/>
        <rFont val="Calibri"/>
        <family val="2"/>
      </rPr>
      <t>ρ</t>
    </r>
    <r>
      <rPr>
        <vertAlign val="subscript"/>
        <sz val="11"/>
        <color theme="1"/>
        <rFont val="Calibri"/>
        <family val="2"/>
      </rPr>
      <t>dulce</t>
    </r>
    <r>
      <rPr>
        <sz val="11"/>
        <color theme="1"/>
        <rFont val="Calibri"/>
        <family val="2"/>
      </rPr>
      <t>) =</t>
    </r>
  </si>
  <si>
    <t>CALCULO DEL DIAMETRO DEL CABLE DE REMOLQUE</t>
  </si>
  <si>
    <t xml:space="preserve">Para mas de 500 HP </t>
  </si>
  <si>
    <t>DW=</t>
  </si>
  <si>
    <t>18+0,0034 X EHP</t>
  </si>
  <si>
    <t>EHP [HP]</t>
  </si>
  <si>
    <t>Según P.Aguila:</t>
  </si>
  <si>
    <t>RW 2cables</t>
  </si>
  <si>
    <t>Resistencia total</t>
  </si>
  <si>
    <t>RESISTENCIA DEL CABLE DE REMOLQUE (RW)</t>
  </si>
  <si>
    <t>[adimensional]</t>
  </si>
  <si>
    <t>Rw</t>
  </si>
  <si>
    <t>Rw 2cables</t>
  </si>
  <si>
    <t>LA RESISTENCIA DEL CABLE DE REMOLQUE COMO PORCENTAJE DEL TIRO</t>
  </si>
  <si>
    <t>Bridas + Patentes</t>
  </si>
  <si>
    <t>R.E Craig</t>
  </si>
  <si>
    <t>Marine Lab.</t>
  </si>
  <si>
    <t>5-8%</t>
  </si>
  <si>
    <t>4-12%</t>
  </si>
  <si>
    <t>5-10%</t>
  </si>
  <si>
    <t>4-10%</t>
  </si>
  <si>
    <t>Jean G. Podeur</t>
  </si>
  <si>
    <t>Morgere</t>
  </si>
  <si>
    <t>GGG</t>
  </si>
  <si>
    <t>Ulrik Hansen</t>
  </si>
  <si>
    <t>SINTEF</t>
  </si>
  <si>
    <t>Halldor Egill</t>
  </si>
  <si>
    <t>Gudnasson</t>
  </si>
  <si>
    <t>F. Techniques</t>
  </si>
  <si>
    <t>Rw 5%</t>
  </si>
  <si>
    <t>Rw 10%</t>
  </si>
  <si>
    <t>KOWALSKI Y GIANOTTI</t>
  </si>
  <si>
    <t>CD basico</t>
  </si>
  <si>
    <t>ΔCD</t>
  </si>
  <si>
    <t>Mac LENNAN</t>
  </si>
  <si>
    <t>2,11-12,24*v*Dw</t>
  </si>
  <si>
    <t>Rw 2 cables</t>
  </si>
  <si>
    <t>CALCULO DEL PESO DEL CABLE DE REMOLQUE</t>
  </si>
  <si>
    <t xml:space="preserve">W unitario aire (Ww)= </t>
  </si>
  <si>
    <t>W unitario agua (W wagua)</t>
  </si>
  <si>
    <t>W unitario agua (W wagua)=</t>
  </si>
  <si>
    <t>Peso total aire cable filado=</t>
  </si>
  <si>
    <t>Peso total agual cable filado=</t>
  </si>
  <si>
    <t>Selección del cable de remolque</t>
  </si>
  <si>
    <t>Caracterirsticas minimas necesarias</t>
  </si>
  <si>
    <t>Carga de Trabajo (Resistencia total)=</t>
  </si>
  <si>
    <t>Carga minima de rotura recomendada</t>
  </si>
  <si>
    <t>Factor de Seguridad=</t>
  </si>
  <si>
    <t>CABLE SELECCIONADO</t>
  </si>
  <si>
    <t>CONSTRUCCIÓN</t>
  </si>
  <si>
    <t>Cables de acero para remolque</t>
  </si>
  <si>
    <t>Construcción</t>
  </si>
  <si>
    <t>CA 6X19+1 AT Seale Compactado</t>
  </si>
  <si>
    <t>Peso</t>
  </si>
  <si>
    <t>Desplazamiento</t>
  </si>
  <si>
    <t xml:space="preserve">Desplazamiento maximo </t>
  </si>
  <si>
    <t>Referencia</t>
  </si>
  <si>
    <t>Diametro [mm]</t>
  </si>
  <si>
    <t>Peso [Kg/m]</t>
  </si>
  <si>
    <t>Resistencia [Ton]</t>
  </si>
  <si>
    <t>Cantidad [m]</t>
  </si>
  <si>
    <t>Cantidad necesaria</t>
  </si>
  <si>
    <t>Refuerzo de la punta de ala</t>
  </si>
  <si>
    <t>Cable de remolque filado [m] cada lado</t>
  </si>
  <si>
    <t>Calculo del Refuezo de las puntas de ala</t>
  </si>
  <si>
    <t>m punta de ala=</t>
  </si>
  <si>
    <t>De calculos</t>
  </si>
  <si>
    <t xml:space="preserve">Promedio </t>
  </si>
  <si>
    <t>de calculos</t>
  </si>
  <si>
    <r>
      <t>CALCULO DEL ANGULO DE DIVERGENCIA DE LOS CABLES DE REMOLQUE (</t>
    </r>
    <r>
      <rPr>
        <sz val="11"/>
        <color theme="1"/>
        <rFont val="Calibri"/>
        <family val="2"/>
      </rPr>
      <t>ϕ)</t>
    </r>
  </si>
  <si>
    <r>
      <t>1/2</t>
    </r>
    <r>
      <rPr>
        <sz val="11"/>
        <color theme="1"/>
        <rFont val="Calibri"/>
        <family val="2"/>
      </rPr>
      <t>ϕ=</t>
    </r>
  </si>
  <si>
    <t>CALCULO DE LA DISTANCIA ENTRE PORTONES</t>
  </si>
  <si>
    <t>Factor de Corrección</t>
  </si>
  <si>
    <t>Distancia entre portones corregido=</t>
  </si>
  <si>
    <t>Relacion entre el angulo de la bisagra y el angulo de ataque del porton</t>
  </si>
  <si>
    <t>Angulo de ataque optimo</t>
  </si>
  <si>
    <r>
      <t>P</t>
    </r>
    <r>
      <rPr>
        <sz val="11"/>
        <color theme="1"/>
        <rFont val="Calibri"/>
        <family val="2"/>
      </rPr>
      <t>Ø=32°</t>
    </r>
  </si>
  <si>
    <t>d=</t>
  </si>
  <si>
    <t>hA=</t>
  </si>
  <si>
    <t>hB=</t>
  </si>
  <si>
    <t>Equilibrio de fuerzas</t>
  </si>
  <si>
    <t>dpatente=</t>
  </si>
  <si>
    <t>[Kgf*cm]</t>
  </si>
  <si>
    <t>,</t>
  </si>
  <si>
    <r>
      <t>Calculo de la distancia (d) de aplicación de la fuerza (P</t>
    </r>
    <r>
      <rPr>
        <sz val="16"/>
        <color theme="1"/>
        <rFont val="Calibri"/>
        <family val="2"/>
      </rPr>
      <t>Ø)</t>
    </r>
  </si>
  <si>
    <t>Nombre</t>
  </si>
  <si>
    <t>Nombre científico</t>
  </si>
  <si>
    <t>Langostilla</t>
  </si>
  <si>
    <t>Munida gragaria/ Munida subrugosa</t>
  </si>
  <si>
    <t>Ss Pan. Inf.</t>
  </si>
  <si>
    <t>Ss Pan. Sup.</t>
  </si>
  <si>
    <t>Estándar</t>
  </si>
  <si>
    <t>Peso panel inferior</t>
  </si>
  <si>
    <t>Peso panel superior</t>
  </si>
  <si>
    <t>Modificado</t>
  </si>
  <si>
    <t>DYNAMIT</t>
  </si>
  <si>
    <t>Distancia entre portones</t>
  </si>
  <si>
    <t>Todas en Kgf</t>
  </si>
  <si>
    <t>RN estándar</t>
  </si>
  <si>
    <t>Resumen AV</t>
  </si>
  <si>
    <t>Prado y Dremiere</t>
  </si>
  <si>
    <t>RF Poca AV</t>
  </si>
  <si>
    <t>RF Mucha AV</t>
  </si>
  <si>
    <t>Rmarisquera</t>
  </si>
  <si>
    <t>Izzo (INIDEP)</t>
  </si>
  <si>
    <t>AV 4,35%</t>
  </si>
  <si>
    <t>AV 5%</t>
  </si>
  <si>
    <t>AV 6%</t>
  </si>
  <si>
    <t>AV 7%</t>
  </si>
  <si>
    <t>Suzuki (JICA1982)</t>
  </si>
  <si>
    <t xml:space="preserve">AV  </t>
  </si>
  <si>
    <t xml:space="preserve">Martini (ENP) </t>
  </si>
  <si>
    <t>AH Fridman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</si>
</sst>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6" formatCode="#\ ???/???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theme="5" tint="-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1"/>
      <name val="Arial"/>
      <family val="2"/>
    </font>
    <font>
      <sz val="8.8000000000000007"/>
      <color theme="1"/>
      <name val="Calibri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bscript"/>
      <sz val="11"/>
      <color theme="1"/>
      <name val="Arial"/>
      <family val="2"/>
    </font>
    <font>
      <sz val="12.1"/>
      <color theme="1"/>
      <name val="Calibri"/>
      <family val="2"/>
    </font>
    <font>
      <sz val="22"/>
      <color rgb="FFFF0000"/>
      <name val="Calibri"/>
      <family val="2"/>
      <scheme val="minor"/>
    </font>
    <font>
      <sz val="24"/>
      <color rgb="FFFF0000"/>
      <name val="Calibri"/>
      <family val="2"/>
      <scheme val="minor"/>
    </font>
    <font>
      <sz val="26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sz val="18"/>
      <color theme="1"/>
      <name val="Calibri"/>
      <family val="2"/>
    </font>
    <font>
      <vertAlign val="subscript"/>
      <sz val="18"/>
      <color theme="1"/>
      <name val="Calibri"/>
      <family val="2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bscript"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sz val="10"/>
      <color theme="1"/>
      <name val="Calibri"/>
      <family val="2"/>
    </font>
    <font>
      <vertAlign val="subscript"/>
      <sz val="10"/>
      <color theme="1"/>
      <name val="Calibri"/>
      <family val="2"/>
    </font>
    <font>
      <b/>
      <sz val="9"/>
      <color theme="1"/>
      <name val="Calibri"/>
      <family val="2"/>
      <scheme val="minor"/>
    </font>
    <font>
      <vertAlign val="subscript"/>
      <sz val="16"/>
      <color theme="1"/>
      <name val="Calibri"/>
      <family val="2"/>
      <scheme val="minor"/>
    </font>
    <font>
      <vertAlign val="subscript"/>
      <sz val="18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4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</font>
    <font>
      <sz val="16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EE5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5FFB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3" tint="0.39997558519241921"/>
      </bottom>
      <diagonal/>
    </border>
    <border>
      <left/>
      <right style="thin">
        <color theme="0"/>
      </right>
      <top style="thin">
        <color theme="0"/>
      </top>
      <bottom style="thin">
        <color theme="3" tint="0.3999755851924192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8" fillId="0" borderId="0" applyNumberFormat="0" applyFill="0" applyBorder="0" applyAlignment="0" applyProtection="0">
      <alignment vertical="top"/>
      <protection locked="0"/>
    </xf>
  </cellStyleXfs>
  <cellXfs count="94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2" borderId="0" xfId="0" applyFill="1"/>
    <xf numFmtId="0" fontId="0" fillId="3" borderId="0" xfId="0" applyFill="1"/>
    <xf numFmtId="0" fontId="0" fillId="3" borderId="6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9" xfId="0" applyFill="1" applyBorder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4" borderId="9" xfId="0" applyFill="1" applyBorder="1"/>
    <xf numFmtId="0" fontId="0" fillId="4" borderId="0" xfId="0" applyFill="1" applyBorder="1"/>
    <xf numFmtId="0" fontId="0" fillId="4" borderId="8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6" xfId="0" applyFill="1" applyBorder="1"/>
    <xf numFmtId="0" fontId="0" fillId="4" borderId="1" xfId="0" applyFill="1" applyBorder="1" applyAlignment="1">
      <alignment horizontal="center"/>
    </xf>
    <xf numFmtId="0" fontId="0" fillId="4" borderId="14" xfId="0" applyFill="1" applyBorder="1"/>
    <xf numFmtId="0" fontId="6" fillId="4" borderId="6" xfId="0" applyFont="1" applyFill="1" applyBorder="1"/>
    <xf numFmtId="0" fontId="6" fillId="4" borderId="12" xfId="0" applyFont="1" applyFill="1" applyBorder="1"/>
    <xf numFmtId="0" fontId="6" fillId="4" borderId="9" xfId="0" applyFont="1" applyFill="1" applyBorder="1"/>
    <xf numFmtId="0" fontId="6" fillId="4" borderId="5" xfId="0" applyFont="1" applyFill="1" applyBorder="1"/>
    <xf numFmtId="0" fontId="6" fillId="4" borderId="14" xfId="0" applyFont="1" applyFill="1" applyBorder="1"/>
    <xf numFmtId="0" fontId="0" fillId="3" borderId="6" xfId="0" applyFill="1" applyBorder="1"/>
    <xf numFmtId="0" fontId="0" fillId="3" borderId="5" xfId="0" applyFill="1" applyBorder="1"/>
    <xf numFmtId="0" fontId="0" fillId="2" borderId="1" xfId="0" applyFill="1" applyBorder="1"/>
    <xf numFmtId="0" fontId="0" fillId="2" borderId="4" xfId="0" applyFill="1" applyBorder="1"/>
    <xf numFmtId="0" fontId="0" fillId="2" borderId="2" xfId="0" applyFill="1" applyBorder="1"/>
    <xf numFmtId="0" fontId="0" fillId="2" borderId="9" xfId="0" applyFill="1" applyBorder="1"/>
    <xf numFmtId="0" fontId="0" fillId="2" borderId="6" xfId="0" applyFill="1" applyBorder="1"/>
    <xf numFmtId="0" fontId="0" fillId="2" borderId="0" xfId="0" applyFill="1" applyBorder="1"/>
    <xf numFmtId="0" fontId="0" fillId="6" borderId="0" xfId="0" applyFill="1"/>
    <xf numFmtId="0" fontId="0" fillId="7" borderId="0" xfId="0" applyFill="1"/>
    <xf numFmtId="0" fontId="0" fillId="7" borderId="1" xfId="0" applyFill="1" applyBorder="1"/>
    <xf numFmtId="0" fontId="0" fillId="7" borderId="4" xfId="0" applyFill="1" applyBorder="1"/>
    <xf numFmtId="0" fontId="0" fillId="7" borderId="2" xfId="0" applyFill="1" applyBorder="1"/>
    <xf numFmtId="0" fontId="8" fillId="7" borderId="1" xfId="0" applyFont="1" applyFill="1" applyBorder="1"/>
    <xf numFmtId="0" fontId="0" fillId="7" borderId="9" xfId="0" applyFill="1" applyBorder="1"/>
    <xf numFmtId="0" fontId="0" fillId="7" borderId="6" xfId="0" applyFill="1" applyBorder="1"/>
    <xf numFmtId="0" fontId="0" fillId="9" borderId="0" xfId="0" applyFill="1"/>
    <xf numFmtId="0" fontId="0" fillId="10" borderId="0" xfId="0" applyFill="1"/>
    <xf numFmtId="0" fontId="0" fillId="9" borderId="1" xfId="0" applyFill="1" applyBorder="1"/>
    <xf numFmtId="0" fontId="0" fillId="11" borderId="0" xfId="0" applyFill="1"/>
    <xf numFmtId="0" fontId="0" fillId="11" borderId="1" xfId="0" applyFill="1" applyBorder="1"/>
    <xf numFmtId="0" fontId="0" fillId="13" borderId="0" xfId="0" applyFill="1"/>
    <xf numFmtId="0" fontId="0" fillId="13" borderId="1" xfId="0" applyFill="1" applyBorder="1"/>
    <xf numFmtId="0" fontId="0" fillId="11" borderId="0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17" xfId="0" applyFill="1" applyBorder="1" applyAlignment="1">
      <alignment horizontal="right"/>
    </xf>
    <xf numFmtId="164" fontId="0" fillId="11" borderId="18" xfId="0" applyNumberFormat="1" applyFill="1" applyBorder="1" applyAlignment="1">
      <alignment horizontal="center"/>
    </xf>
    <xf numFmtId="0" fontId="0" fillId="6" borderId="1" xfId="0" applyFill="1" applyBorder="1"/>
    <xf numFmtId="0" fontId="0" fillId="14" borderId="0" xfId="0" applyFill="1"/>
    <xf numFmtId="0" fontId="0" fillId="14" borderId="1" xfId="0" applyFill="1" applyBorder="1"/>
    <xf numFmtId="0" fontId="0" fillId="14" borderId="9" xfId="0" applyFill="1" applyBorder="1"/>
    <xf numFmtId="0" fontId="0" fillId="14" borderId="0" xfId="0" applyFill="1" applyBorder="1"/>
    <xf numFmtId="0" fontId="0" fillId="14" borderId="6" xfId="0" applyFill="1" applyBorder="1"/>
    <xf numFmtId="0" fontId="0" fillId="14" borderId="5" xfId="0" applyFill="1" applyBorder="1"/>
    <xf numFmtId="0" fontId="0" fillId="14" borderId="8" xfId="0" applyFill="1" applyBorder="1"/>
    <xf numFmtId="0" fontId="0" fillId="14" borderId="7" xfId="0" applyFill="1" applyBorder="1"/>
    <xf numFmtId="0" fontId="0" fillId="14" borderId="11" xfId="0" applyFill="1" applyBorder="1"/>
    <xf numFmtId="0" fontId="0" fillId="14" borderId="16" xfId="0" applyFill="1" applyBorder="1"/>
    <xf numFmtId="0" fontId="1" fillId="14" borderId="5" xfId="0" applyFont="1" applyFill="1" applyBorder="1"/>
    <xf numFmtId="0" fontId="0" fillId="14" borderId="2" xfId="0" applyFill="1" applyBorder="1"/>
    <xf numFmtId="0" fontId="0" fillId="14" borderId="4" xfId="0" applyFill="1" applyBorder="1"/>
    <xf numFmtId="0" fontId="0" fillId="11" borderId="9" xfId="0" applyFill="1" applyBorder="1"/>
    <xf numFmtId="2" fontId="0" fillId="11" borderId="1" xfId="0" applyNumberFormat="1" applyFill="1" applyBorder="1"/>
    <xf numFmtId="0" fontId="0" fillId="0" borderId="0" xfId="0" applyFill="1"/>
    <xf numFmtId="0" fontId="0" fillId="0" borderId="0" xfId="0" applyFill="1" applyBorder="1" applyAlignment="1"/>
    <xf numFmtId="0" fontId="0" fillId="0" borderId="0" xfId="0" applyFill="1" applyBorder="1"/>
    <xf numFmtId="0" fontId="0" fillId="0" borderId="0" xfId="0" applyFill="1" applyAlignment="1"/>
    <xf numFmtId="0" fontId="12" fillId="11" borderId="1" xfId="0" applyFont="1" applyFill="1" applyBorder="1"/>
    <xf numFmtId="0" fontId="0" fillId="3" borderId="1" xfId="0" applyFill="1" applyBorder="1" applyAlignment="1"/>
    <xf numFmtId="0" fontId="0" fillId="3" borderId="1" xfId="0" applyFill="1" applyBorder="1"/>
    <xf numFmtId="0" fontId="0" fillId="15" borderId="0" xfId="0" applyFill="1"/>
    <xf numFmtId="0" fontId="0" fillId="15" borderId="6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3" xfId="0" applyFill="1" applyBorder="1"/>
    <xf numFmtId="0" fontId="0" fillId="15" borderId="9" xfId="0" applyFill="1" applyBorder="1"/>
    <xf numFmtId="0" fontId="0" fillId="15" borderId="1" xfId="0" applyFill="1" applyBorder="1"/>
    <xf numFmtId="0" fontId="0" fillId="3" borderId="0" xfId="0" applyFill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0" xfId="0" applyFill="1"/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2" borderId="4" xfId="0" applyFill="1" applyBorder="1"/>
    <xf numFmtId="0" fontId="0" fillId="3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20" fillId="4" borderId="0" xfId="0" applyFont="1" applyFill="1" applyAlignment="1"/>
    <xf numFmtId="0" fontId="21" fillId="4" borderId="6" xfId="0" applyFont="1" applyFill="1" applyBorder="1" applyAlignment="1"/>
    <xf numFmtId="0" fontId="21" fillId="4" borderId="9" xfId="0" applyFont="1" applyFill="1" applyBorder="1" applyAlignment="1"/>
    <xf numFmtId="0" fontId="21" fillId="4" borderId="6" xfId="0" applyFont="1" applyFill="1" applyBorder="1"/>
    <xf numFmtId="0" fontId="21" fillId="4" borderId="9" xfId="0" applyFont="1" applyFill="1" applyBorder="1"/>
    <xf numFmtId="0" fontId="0" fillId="3" borderId="0" xfId="0" applyFill="1" applyBorder="1" applyAlignment="1">
      <alignment horizontal="center"/>
    </xf>
    <xf numFmtId="0" fontId="0" fillId="3" borderId="0" xfId="0" applyFill="1" applyAlignment="1"/>
    <xf numFmtId="0" fontId="0" fillId="6" borderId="6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12" fillId="7" borderId="1" xfId="0" applyFont="1" applyFill="1" applyBorder="1"/>
    <xf numFmtId="0" fontId="12" fillId="15" borderId="1" xfId="0" applyFont="1" applyFill="1" applyBorder="1"/>
    <xf numFmtId="0" fontId="1" fillId="15" borderId="1" xfId="0" applyFont="1" applyFill="1" applyBorder="1"/>
    <xf numFmtId="164" fontId="0" fillId="2" borderId="1" xfId="0" applyNumberFormat="1" applyFill="1" applyBorder="1"/>
    <xf numFmtId="0" fontId="0" fillId="9" borderId="0" xfId="0" applyFill="1" applyAlignment="1"/>
    <xf numFmtId="0" fontId="0" fillId="9" borderId="6" xfId="0" applyFill="1" applyBorder="1"/>
    <xf numFmtId="0" fontId="0" fillId="7" borderId="0" xfId="0" applyFill="1" applyBorder="1"/>
    <xf numFmtId="0" fontId="8" fillId="7" borderId="0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4" xfId="0" applyFill="1" applyBorder="1"/>
    <xf numFmtId="0" fontId="11" fillId="6" borderId="6" xfId="0" applyFont="1" applyFill="1" applyBorder="1" applyAlignment="1"/>
    <xf numFmtId="0" fontId="11" fillId="6" borderId="9" xfId="0" applyFont="1" applyFill="1" applyBorder="1" applyAlignment="1"/>
    <xf numFmtId="0" fontId="0" fillId="6" borderId="6" xfId="0" applyFill="1" applyBorder="1"/>
    <xf numFmtId="0" fontId="0" fillId="11" borderId="18" xfId="0" applyFill="1" applyBorder="1" applyAlignment="1">
      <alignment horizontal="center"/>
    </xf>
    <xf numFmtId="1" fontId="0" fillId="9" borderId="6" xfId="0" applyNumberFormat="1" applyFill="1" applyBorder="1"/>
    <xf numFmtId="1" fontId="0" fillId="9" borderId="5" xfId="0" applyNumberFormat="1" applyFill="1" applyBorder="1"/>
    <xf numFmtId="1" fontId="0" fillId="9" borderId="1" xfId="0" applyNumberFormat="1" applyFill="1" applyBorder="1"/>
    <xf numFmtId="1" fontId="0" fillId="9" borderId="4" xfId="0" applyNumberFormat="1" applyFill="1" applyBorder="1"/>
    <xf numFmtId="1" fontId="0" fillId="9" borderId="14" xfId="0" applyNumberFormat="1" applyFill="1" applyBorder="1"/>
    <xf numFmtId="1" fontId="0" fillId="9" borderId="12" xfId="0" applyNumberFormat="1" applyFill="1" applyBorder="1"/>
    <xf numFmtId="0" fontId="7" fillId="7" borderId="0" xfId="0" applyFont="1" applyFill="1" applyBorder="1"/>
    <xf numFmtId="0" fontId="13" fillId="7" borderId="1" xfId="0" applyFont="1" applyFill="1" applyBorder="1"/>
    <xf numFmtId="0" fontId="27" fillId="8" borderId="1" xfId="0" applyFont="1" applyFill="1" applyBorder="1"/>
    <xf numFmtId="0" fontId="7" fillId="7" borderId="1" xfId="0" applyFont="1" applyFill="1" applyBorder="1"/>
    <xf numFmtId="165" fontId="7" fillId="8" borderId="1" xfId="0" applyNumberFormat="1" applyFont="1" applyFill="1" applyBorder="1"/>
    <xf numFmtId="165" fontId="27" fillId="8" borderId="1" xfId="0" applyNumberFormat="1" applyFont="1" applyFill="1" applyBorder="1"/>
    <xf numFmtId="165" fontId="8" fillId="8" borderId="1" xfId="0" applyNumberFormat="1" applyFont="1" applyFill="1" applyBorder="1"/>
    <xf numFmtId="165" fontId="32" fillId="8" borderId="1" xfId="0" applyNumberFormat="1" applyFont="1" applyFill="1" applyBorder="1"/>
    <xf numFmtId="0" fontId="32" fillId="8" borderId="1" xfId="0" applyFont="1" applyFill="1" applyBorder="1"/>
    <xf numFmtId="0" fontId="0" fillId="7" borderId="10" xfId="0" applyFill="1" applyBorder="1"/>
    <xf numFmtId="1" fontId="0" fillId="7" borderId="1" xfId="0" applyNumberFormat="1" applyFill="1" applyBorder="1"/>
    <xf numFmtId="0" fontId="0" fillId="11" borderId="0" xfId="0" applyFont="1" applyFill="1"/>
    <xf numFmtId="0" fontId="0" fillId="11" borderId="15" xfId="0" applyFont="1" applyFill="1" applyBorder="1"/>
    <xf numFmtId="0" fontId="0" fillId="11" borderId="0" xfId="0" applyFont="1" applyFill="1" applyBorder="1"/>
    <xf numFmtId="0" fontId="0" fillId="11" borderId="22" xfId="0" applyFont="1" applyFill="1" applyBorder="1"/>
    <xf numFmtId="0" fontId="12" fillId="11" borderId="22" xfId="0" applyFont="1" applyFill="1" applyBorder="1"/>
    <xf numFmtId="1" fontId="0" fillId="11" borderId="22" xfId="0" applyNumberFormat="1" applyFont="1" applyFill="1" applyBorder="1"/>
    <xf numFmtId="0" fontId="0" fillId="11" borderId="22" xfId="0" applyFill="1" applyBorder="1"/>
    <xf numFmtId="0" fontId="0" fillId="11" borderId="0" xfId="0" applyFill="1" applyBorder="1" applyAlignment="1"/>
    <xf numFmtId="0" fontId="25" fillId="0" borderId="0" xfId="0" applyFont="1" applyFill="1" applyAlignment="1"/>
    <xf numFmtId="0" fontId="0" fillId="11" borderId="17" xfId="0" applyFill="1" applyBorder="1"/>
    <xf numFmtId="0" fontId="0" fillId="11" borderId="0" xfId="0" applyFill="1" applyBorder="1" applyAlignment="1">
      <alignment horizontal="right"/>
    </xf>
    <xf numFmtId="0" fontId="0" fillId="16" borderId="0" xfId="0" applyFill="1"/>
    <xf numFmtId="0" fontId="0" fillId="16" borderId="1" xfId="0" applyFill="1" applyBorder="1"/>
    <xf numFmtId="0" fontId="0" fillId="16" borderId="9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14" borderId="6" xfId="0" applyFill="1" applyBorder="1" applyAlignment="1">
      <alignment horizontal="center"/>
    </xf>
    <xf numFmtId="0" fontId="0" fillId="14" borderId="9" xfId="0" applyFill="1" applyBorder="1" applyAlignment="1">
      <alignment horizontal="center"/>
    </xf>
    <xf numFmtId="0" fontId="1" fillId="14" borderId="6" xfId="0" applyFont="1" applyFill="1" applyBorder="1" applyAlignment="1">
      <alignment horizontal="center"/>
    </xf>
    <xf numFmtId="164" fontId="0" fillId="14" borderId="1" xfId="0" applyNumberFormat="1" applyFill="1" applyBorder="1"/>
    <xf numFmtId="0" fontId="0" fillId="14" borderId="0" xfId="0" applyFill="1" applyAlignment="1"/>
    <xf numFmtId="0" fontId="0" fillId="14" borderId="13" xfId="0" applyFill="1" applyBorder="1"/>
    <xf numFmtId="0" fontId="0" fillId="14" borderId="12" xfId="0" applyFill="1" applyBorder="1"/>
    <xf numFmtId="0" fontId="11" fillId="14" borderId="12" xfId="0" applyFont="1" applyFill="1" applyBorder="1"/>
    <xf numFmtId="0" fontId="1" fillId="14" borderId="6" xfId="0" applyFont="1" applyFill="1" applyBorder="1"/>
    <xf numFmtId="0" fontId="11" fillId="14" borderId="6" xfId="0" applyFont="1" applyFill="1" applyBorder="1"/>
    <xf numFmtId="0" fontId="11" fillId="14" borderId="13" xfId="0" applyFont="1" applyFill="1" applyBorder="1"/>
    <xf numFmtId="0" fontId="11" fillId="14" borderId="9" xfId="0" applyFont="1" applyFill="1" applyBorder="1"/>
    <xf numFmtId="2" fontId="0" fillId="14" borderId="1" xfId="0" applyNumberFormat="1" applyFill="1" applyBorder="1"/>
    <xf numFmtId="2" fontId="0" fillId="14" borderId="6" xfId="0" applyNumberFormat="1" applyFill="1" applyBorder="1"/>
    <xf numFmtId="0" fontId="29" fillId="14" borderId="0" xfId="0" applyFont="1" applyFill="1" applyBorder="1" applyAlignment="1">
      <alignment horizontal="center"/>
    </xf>
    <xf numFmtId="49" fontId="0" fillId="10" borderId="0" xfId="0" applyNumberFormat="1" applyFill="1"/>
    <xf numFmtId="0" fontId="0" fillId="14" borderId="9" xfId="0" applyNumberFormat="1" applyFill="1" applyBorder="1"/>
    <xf numFmtId="2" fontId="0" fillId="14" borderId="9" xfId="0" applyNumberFormat="1" applyFill="1" applyBorder="1"/>
    <xf numFmtId="0" fontId="0" fillId="14" borderId="30" xfId="0" applyFill="1" applyBorder="1"/>
    <xf numFmtId="0" fontId="0" fillId="14" borderId="26" xfId="0" applyFill="1" applyBorder="1"/>
    <xf numFmtId="2" fontId="0" fillId="14" borderId="26" xfId="0" applyNumberFormat="1" applyFill="1" applyBorder="1"/>
    <xf numFmtId="2" fontId="0" fillId="14" borderId="28" xfId="0" applyNumberFormat="1" applyFill="1" applyBorder="1"/>
    <xf numFmtId="2" fontId="0" fillId="14" borderId="10" xfId="0" applyNumberFormat="1" applyFill="1" applyBorder="1"/>
    <xf numFmtId="0" fontId="28" fillId="14" borderId="16" xfId="0" applyFont="1" applyFill="1" applyBorder="1"/>
    <xf numFmtId="2" fontId="28" fillId="14" borderId="13" xfId="0" applyNumberFormat="1" applyFont="1" applyFill="1" applyBorder="1"/>
    <xf numFmtId="0" fontId="44" fillId="14" borderId="35" xfId="0" applyFont="1" applyFill="1" applyBorder="1"/>
    <xf numFmtId="2" fontId="44" fillId="14" borderId="36" xfId="0" applyNumberFormat="1" applyFont="1" applyFill="1" applyBorder="1"/>
    <xf numFmtId="0" fontId="0" fillId="14" borderId="35" xfId="0" applyFill="1" applyBorder="1"/>
    <xf numFmtId="2" fontId="0" fillId="14" borderId="38" xfId="0" applyNumberFormat="1" applyFill="1" applyBorder="1"/>
    <xf numFmtId="164" fontId="0" fillId="14" borderId="6" xfId="0" applyNumberFormat="1" applyFill="1" applyBorder="1"/>
    <xf numFmtId="164" fontId="0" fillId="14" borderId="26" xfId="0" applyNumberFormat="1" applyFill="1" applyBorder="1"/>
    <xf numFmtId="164" fontId="0" fillId="14" borderId="2" xfId="0" applyNumberFormat="1" applyFill="1" applyBorder="1"/>
    <xf numFmtId="164" fontId="0" fillId="14" borderId="39" xfId="0" applyNumberFormat="1" applyFill="1" applyBorder="1"/>
    <xf numFmtId="0" fontId="0" fillId="14" borderId="39" xfId="0" applyFill="1" applyBorder="1" applyAlignment="1">
      <alignment horizontal="right"/>
    </xf>
    <xf numFmtId="0" fontId="0" fillId="14" borderId="0" xfId="0" applyFill="1" applyBorder="1" applyAlignment="1"/>
    <xf numFmtId="2" fontId="0" fillId="14" borderId="0" xfId="0" applyNumberFormat="1" applyFill="1"/>
    <xf numFmtId="164" fontId="20" fillId="14" borderId="1" xfId="0" applyNumberFormat="1" applyFont="1" applyFill="1" applyBorder="1"/>
    <xf numFmtId="164" fontId="20" fillId="14" borderId="1" xfId="0" applyNumberFormat="1" applyFont="1" applyFill="1" applyBorder="1" applyAlignment="1"/>
    <xf numFmtId="0" fontId="0" fillId="14" borderId="0" xfId="0" applyFill="1" applyAlignment="1">
      <alignment horizontal="left"/>
    </xf>
    <xf numFmtId="0" fontId="0" fillId="10" borderId="35" xfId="0" applyFill="1" applyBorder="1"/>
    <xf numFmtId="0" fontId="0" fillId="0" borderId="35" xfId="0" applyBorder="1"/>
    <xf numFmtId="12" fontId="0" fillId="10" borderId="35" xfId="0" applyNumberFormat="1" applyFill="1" applyBorder="1"/>
    <xf numFmtId="0" fontId="0" fillId="10" borderId="36" xfId="0" applyFill="1" applyBorder="1"/>
    <xf numFmtId="0" fontId="0" fillId="0" borderId="36" xfId="0" applyBorder="1"/>
    <xf numFmtId="12" fontId="0" fillId="10" borderId="36" xfId="0" applyNumberFormat="1" applyFill="1" applyBorder="1"/>
    <xf numFmtId="0" fontId="0" fillId="0" borderId="1" xfId="0" applyBorder="1"/>
    <xf numFmtId="0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9" fillId="14" borderId="5" xfId="0" applyFont="1" applyFill="1" applyBorder="1"/>
    <xf numFmtId="0" fontId="44" fillId="14" borderId="0" xfId="0" applyFont="1" applyFill="1" applyBorder="1"/>
    <xf numFmtId="2" fontId="44" fillId="14" borderId="0" xfId="0" applyNumberFormat="1" applyFont="1" applyFill="1" applyBorder="1"/>
    <xf numFmtId="1" fontId="0" fillId="14" borderId="1" xfId="0" applyNumberFormat="1" applyFill="1" applyBorder="1"/>
    <xf numFmtId="0" fontId="0" fillId="0" borderId="6" xfId="0" applyBorder="1"/>
    <xf numFmtId="0" fontId="0" fillId="14" borderId="6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2" fontId="0" fillId="15" borderId="1" xfId="0" applyNumberFormat="1" applyFill="1" applyBorder="1"/>
    <xf numFmtId="0" fontId="47" fillId="14" borderId="0" xfId="0" applyFont="1" applyFill="1" applyBorder="1" applyAlignment="1">
      <alignment horizontal="center"/>
    </xf>
    <xf numFmtId="164" fontId="20" fillId="14" borderId="0" xfId="0" applyNumberFormat="1" applyFont="1" applyFill="1" applyBorder="1"/>
    <xf numFmtId="0" fontId="0" fillId="11" borderId="0" xfId="0" applyFill="1" applyAlignment="1">
      <alignment horizontal="center"/>
    </xf>
    <xf numFmtId="0" fontId="30" fillId="16" borderId="0" xfId="0" applyFont="1" applyFill="1" applyAlignment="1">
      <alignment horizontal="center" vertical="center"/>
    </xf>
    <xf numFmtId="0" fontId="35" fillId="11" borderId="18" xfId="0" applyFont="1" applyFill="1" applyBorder="1" applyAlignment="1">
      <alignment horizontal="left"/>
    </xf>
    <xf numFmtId="0" fontId="25" fillId="11" borderId="0" xfId="0" applyFont="1" applyFill="1" applyAlignment="1">
      <alignment horizontal="center"/>
    </xf>
    <xf numFmtId="0" fontId="11" fillId="0" borderId="6" xfId="0" applyFont="1" applyBorder="1"/>
    <xf numFmtId="0" fontId="11" fillId="0" borderId="1" xfId="0" applyFont="1" applyBorder="1"/>
    <xf numFmtId="2" fontId="0" fillId="0" borderId="0" xfId="0" applyNumberFormat="1"/>
    <xf numFmtId="0" fontId="26" fillId="0" borderId="0" xfId="0" applyFont="1" applyAlignment="1">
      <alignment horizontal="center"/>
    </xf>
    <xf numFmtId="0" fontId="0" fillId="3" borderId="1" xfId="0" applyFill="1" applyBorder="1"/>
    <xf numFmtId="0" fontId="0" fillId="3" borderId="0" xfId="0" applyFill="1"/>
    <xf numFmtId="0" fontId="0" fillId="0" borderId="0" xfId="0"/>
    <xf numFmtId="164" fontId="0" fillId="11" borderId="1" xfId="0" applyNumberFormat="1" applyFill="1" applyBorder="1"/>
    <xf numFmtId="164" fontId="0" fillId="11" borderId="0" xfId="0" applyNumberFormat="1" applyFill="1"/>
    <xf numFmtId="0" fontId="0" fillId="11" borderId="16" xfId="0" applyFill="1" applyBorder="1"/>
    <xf numFmtId="2" fontId="0" fillId="11" borderId="0" xfId="0" applyNumberFormat="1" applyFill="1"/>
    <xf numFmtId="165" fontId="0" fillId="11" borderId="0" xfId="0" applyNumberFormat="1" applyFill="1"/>
    <xf numFmtId="0" fontId="0" fillId="11" borderId="6" xfId="0" applyFill="1" applyBorder="1"/>
    <xf numFmtId="0" fontId="13" fillId="11" borderId="6" xfId="0" applyFont="1" applyFill="1" applyBorder="1"/>
    <xf numFmtId="0" fontId="0" fillId="11" borderId="2" xfId="0" applyFill="1" applyBorder="1"/>
    <xf numFmtId="2" fontId="0" fillId="11" borderId="0" xfId="0" applyNumberFormat="1" applyFill="1" applyBorder="1"/>
    <xf numFmtId="0" fontId="0" fillId="11" borderId="8" xfId="0" applyFill="1" applyBorder="1"/>
    <xf numFmtId="0" fontId="0" fillId="11" borderId="12" xfId="0" applyFill="1" applyBorder="1"/>
    <xf numFmtId="0" fontId="0" fillId="11" borderId="11" xfId="0" applyFill="1" applyBorder="1"/>
    <xf numFmtId="0" fontId="0" fillId="11" borderId="13" xfId="0" applyFill="1" applyBorder="1"/>
    <xf numFmtId="0" fontId="12" fillId="11" borderId="6" xfId="0" applyFont="1" applyFill="1" applyBorder="1"/>
    <xf numFmtId="0" fontId="12" fillId="11" borderId="12" xfId="0" applyFont="1" applyFill="1" applyBorder="1"/>
    <xf numFmtId="0" fontId="0" fillId="11" borderId="0" xfId="0" applyFill="1" applyAlignment="1">
      <alignment horizontal="right"/>
    </xf>
    <xf numFmtId="0" fontId="13" fillId="11" borderId="1" xfId="0" applyFont="1" applyFill="1" applyBorder="1"/>
    <xf numFmtId="2" fontId="0" fillId="11" borderId="2" xfId="0" applyNumberFormat="1" applyFill="1" applyBorder="1"/>
    <xf numFmtId="0" fontId="20" fillId="11" borderId="0" xfId="0" applyFont="1" applyFill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/>
    <xf numFmtId="0" fontId="0" fillId="0" borderId="13" xfId="0" applyBorder="1"/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7" xfId="0" applyBorder="1"/>
    <xf numFmtId="0" fontId="0" fillId="0" borderId="14" xfId="0" applyBorder="1"/>
    <xf numFmtId="0" fontId="0" fillId="0" borderId="16" xfId="0" applyBorder="1"/>
    <xf numFmtId="164" fontId="0" fillId="0" borderId="1" xfId="0" applyNumberFormat="1" applyBorder="1"/>
    <xf numFmtId="0" fontId="0" fillId="0" borderId="0" xfId="0" applyBorder="1" applyAlignment="1">
      <alignment horizontal="center"/>
    </xf>
    <xf numFmtId="0" fontId="29" fillId="0" borderId="0" xfId="0" applyFont="1" applyAlignment="1">
      <alignment horizontal="center"/>
    </xf>
    <xf numFmtId="0" fontId="0" fillId="0" borderId="0" xfId="0"/>
    <xf numFmtId="0" fontId="0" fillId="0" borderId="1" xfId="0" applyBorder="1"/>
    <xf numFmtId="0" fontId="0" fillId="0" borderId="12" xfId="0" applyBorder="1"/>
    <xf numFmtId="0" fontId="11" fillId="0" borderId="8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0" fillId="0" borderId="16" xfId="0" applyBorder="1" applyAlignment="1">
      <alignment horizontal="center"/>
    </xf>
    <xf numFmtId="2" fontId="0" fillId="3" borderId="1" xfId="0" applyNumberFormat="1" applyFill="1" applyBorder="1"/>
    <xf numFmtId="0" fontId="0" fillId="3" borderId="8" xfId="0" applyFill="1" applyBorder="1"/>
    <xf numFmtId="0" fontId="0" fillId="2" borderId="8" xfId="0" applyFill="1" applyBorder="1"/>
    <xf numFmtId="0" fontId="0" fillId="2" borderId="11" xfId="0" applyFill="1" applyBorder="1"/>
    <xf numFmtId="0" fontId="0" fillId="2" borderId="5" xfId="0" applyFill="1" applyBorder="1"/>
    <xf numFmtId="0" fontId="0" fillId="2" borderId="12" xfId="0" applyFill="1" applyBorder="1"/>
    <xf numFmtId="0" fontId="0" fillId="2" borderId="13" xfId="0" applyFill="1" applyBorder="1"/>
    <xf numFmtId="2" fontId="0" fillId="11" borderId="22" xfId="0" applyNumberFormat="1" applyFont="1" applyFill="1" applyBorder="1"/>
    <xf numFmtId="0" fontId="0" fillId="7" borderId="8" xfId="0" applyFill="1" applyBorder="1"/>
    <xf numFmtId="0" fontId="0" fillId="7" borderId="11" xfId="0" applyFill="1" applyBorder="1"/>
    <xf numFmtId="0" fontId="0" fillId="7" borderId="5" xfId="0" applyFill="1" applyBorder="1"/>
    <xf numFmtId="0" fontId="0" fillId="7" borderId="3" xfId="0" applyFill="1" applyBorder="1"/>
    <xf numFmtId="2" fontId="0" fillId="7" borderId="1" xfId="0" applyNumberFormat="1" applyFill="1" applyBorder="1"/>
    <xf numFmtId="0" fontId="0" fillId="9" borderId="11" xfId="0" applyFill="1" applyBorder="1"/>
    <xf numFmtId="0" fontId="0" fillId="9" borderId="5" xfId="0" applyFill="1" applyBorder="1"/>
    <xf numFmtId="2" fontId="0" fillId="9" borderId="1" xfId="0" applyNumberFormat="1" applyFill="1" applyBorder="1"/>
    <xf numFmtId="2" fontId="0" fillId="2" borderId="1" xfId="0" applyNumberFormat="1" applyFill="1" applyBorder="1"/>
    <xf numFmtId="2" fontId="6" fillId="4" borderId="1" xfId="0" applyNumberFormat="1" applyFont="1" applyFill="1" applyBorder="1"/>
    <xf numFmtId="2" fontId="0" fillId="4" borderId="1" xfId="0" applyNumberFormat="1" applyFill="1" applyBorder="1"/>
    <xf numFmtId="2" fontId="0" fillId="4" borderId="1" xfId="0" applyNumberFormat="1" applyFill="1" applyBorder="1" applyAlignment="1">
      <alignment horizontal="center"/>
    </xf>
    <xf numFmtId="2" fontId="0" fillId="4" borderId="9" xfId="0" applyNumberFormat="1" applyFill="1" applyBorder="1" applyAlignment="1">
      <alignment horizontal="center"/>
    </xf>
    <xf numFmtId="2" fontId="0" fillId="3" borderId="9" xfId="0" applyNumberFormat="1" applyFill="1" applyBorder="1" applyAlignment="1">
      <alignment horizontal="center"/>
    </xf>
    <xf numFmtId="0" fontId="0" fillId="0" borderId="1" xfId="0" applyBorder="1"/>
    <xf numFmtId="0" fontId="0" fillId="17" borderId="6" xfId="0" applyFill="1" applyBorder="1" applyAlignment="1">
      <alignment horizontal="center"/>
    </xf>
    <xf numFmtId="0" fontId="0" fillId="17" borderId="8" xfId="0" applyFill="1" applyBorder="1" applyAlignment="1">
      <alignment horizontal="center"/>
    </xf>
    <xf numFmtId="0" fontId="0" fillId="17" borderId="5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17" borderId="11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0" fillId="17" borderId="1" xfId="0" applyFill="1" applyBorder="1"/>
    <xf numFmtId="0" fontId="0" fillId="17" borderId="6" xfId="0" applyFill="1" applyBorder="1"/>
    <xf numFmtId="0" fontId="0" fillId="17" borderId="2" xfId="0" applyFill="1" applyBorder="1"/>
    <xf numFmtId="0" fontId="0" fillId="17" borderId="4" xfId="0" applyFill="1" applyBorder="1"/>
    <xf numFmtId="0" fontId="0" fillId="17" borderId="11" xfId="0" applyFill="1" applyBorder="1"/>
    <xf numFmtId="0" fontId="0" fillId="17" borderId="8" xfId="0" applyFill="1" applyBorder="1"/>
    <xf numFmtId="0" fontId="0" fillId="17" borderId="5" xfId="0" applyFill="1" applyBorder="1"/>
    <xf numFmtId="0" fontId="0" fillId="17" borderId="9" xfId="0" applyFill="1" applyBorder="1"/>
    <xf numFmtId="0" fontId="0" fillId="0" borderId="0" xfId="0" applyBorder="1"/>
    <xf numFmtId="2" fontId="0" fillId="17" borderId="1" xfId="0" applyNumberFormat="1" applyFill="1" applyBorder="1"/>
    <xf numFmtId="0" fontId="0" fillId="17" borderId="7" xfId="0" applyFill="1" applyBorder="1"/>
    <xf numFmtId="0" fontId="0" fillId="17" borderId="14" xfId="0" applyFill="1" applyBorder="1"/>
    <xf numFmtId="0" fontId="0" fillId="17" borderId="0" xfId="0" applyFill="1" applyBorder="1"/>
    <xf numFmtId="165" fontId="0" fillId="11" borderId="1" xfId="0" applyNumberFormat="1" applyFill="1" applyBorder="1"/>
    <xf numFmtId="0" fontId="30" fillId="16" borderId="7" xfId="0" applyFont="1" applyFill="1" applyBorder="1" applyAlignment="1">
      <alignment horizontal="center" vertical="center"/>
    </xf>
    <xf numFmtId="0" fontId="30" fillId="16" borderId="0" xfId="0" applyFont="1" applyFill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17" borderId="0" xfId="0" applyFill="1" applyBorder="1" applyAlignment="1"/>
    <xf numFmtId="0" fontId="0" fillId="0" borderId="14" xfId="0" applyBorder="1"/>
    <xf numFmtId="0" fontId="0" fillId="0" borderId="10" xfId="0" applyBorder="1"/>
    <xf numFmtId="1" fontId="0" fillId="0" borderId="1" xfId="0" applyNumberFormat="1" applyBorder="1"/>
    <xf numFmtId="1" fontId="0" fillId="11" borderId="1" xfId="0" applyNumberFormat="1" applyFill="1" applyBorder="1"/>
    <xf numFmtId="2" fontId="0" fillId="0" borderId="1" xfId="0" applyNumberFormat="1" applyBorder="1" applyAlignment="1">
      <alignment horizontal="center"/>
    </xf>
    <xf numFmtId="1" fontId="0" fillId="17" borderId="1" xfId="0" applyNumberFormat="1" applyFill="1" applyBorder="1"/>
    <xf numFmtId="1" fontId="0" fillId="17" borderId="0" xfId="0" applyNumberFormat="1" applyFill="1" applyBorder="1"/>
    <xf numFmtId="0" fontId="1" fillId="0" borderId="1" xfId="0" applyFont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17" borderId="0" xfId="0" applyFill="1" applyBorder="1" applyAlignment="1">
      <alignment horizontal="right"/>
    </xf>
    <xf numFmtId="0" fontId="0" fillId="17" borderId="43" xfId="0" applyFill="1" applyBorder="1"/>
    <xf numFmtId="0" fontId="0" fillId="17" borderId="54" xfId="0" applyFill="1" applyBorder="1"/>
    <xf numFmtId="0" fontId="0" fillId="17" borderId="55" xfId="0" applyFill="1" applyBorder="1"/>
    <xf numFmtId="0" fontId="0" fillId="17" borderId="42" xfId="0" applyFill="1" applyBorder="1"/>
    <xf numFmtId="1" fontId="0" fillId="17" borderId="58" xfId="0" applyNumberFormat="1" applyFill="1" applyBorder="1"/>
    <xf numFmtId="0" fontId="0" fillId="17" borderId="59" xfId="0" applyFill="1" applyBorder="1"/>
    <xf numFmtId="0" fontId="0" fillId="17" borderId="46" xfId="0" applyFill="1" applyBorder="1"/>
    <xf numFmtId="0" fontId="12" fillId="0" borderId="1" xfId="0" applyFont="1" applyBorder="1"/>
    <xf numFmtId="0" fontId="13" fillId="0" borderId="1" xfId="0" applyFont="1" applyBorder="1"/>
    <xf numFmtId="0" fontId="0" fillId="0" borderId="41" xfId="0" applyBorder="1"/>
    <xf numFmtId="0" fontId="0" fillId="0" borderId="21" xfId="0" applyBorder="1"/>
    <xf numFmtId="0" fontId="0" fillId="0" borderId="50" xfId="0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52" xfId="0" applyBorder="1"/>
    <xf numFmtId="0" fontId="0" fillId="0" borderId="61" xfId="0" applyBorder="1"/>
    <xf numFmtId="0" fontId="0" fillId="0" borderId="55" xfId="0" applyBorder="1"/>
    <xf numFmtId="2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0" fontId="0" fillId="17" borderId="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17" borderId="1" xfId="0" applyFill="1" applyBorder="1"/>
    <xf numFmtId="0" fontId="0" fillId="11" borderId="0" xfId="0" applyFill="1"/>
    <xf numFmtId="0" fontId="0" fillId="0" borderId="10" xfId="0" applyBorder="1" applyAlignment="1">
      <alignment horizontal="center"/>
    </xf>
    <xf numFmtId="0" fontId="0" fillId="0" borderId="50" xfId="0" applyBorder="1"/>
    <xf numFmtId="2" fontId="0" fillId="0" borderId="6" xfId="0" applyNumberFormat="1" applyBorder="1"/>
    <xf numFmtId="2" fontId="0" fillId="0" borderId="9" xfId="0" applyNumberFormat="1" applyBorder="1"/>
    <xf numFmtId="2" fontId="0" fillId="0" borderId="64" xfId="0" applyNumberFormat="1" applyBorder="1"/>
    <xf numFmtId="2" fontId="0" fillId="0" borderId="65" xfId="0" applyNumberFormat="1" applyBorder="1"/>
    <xf numFmtId="2" fontId="0" fillId="0" borderId="66" xfId="0" applyNumberFormat="1" applyBorder="1"/>
    <xf numFmtId="2" fontId="0" fillId="0" borderId="68" xfId="0" applyNumberFormat="1" applyBorder="1"/>
    <xf numFmtId="0" fontId="0" fillId="0" borderId="8" xfId="0" applyBorder="1"/>
    <xf numFmtId="165" fontId="0" fillId="0" borderId="1" xfId="0" applyNumberFormat="1" applyBorder="1" applyAlignment="1">
      <alignment horizontal="center"/>
    </xf>
    <xf numFmtId="0" fontId="0" fillId="0" borderId="10" xfId="0" applyBorder="1" applyAlignment="1"/>
    <xf numFmtId="0" fontId="13" fillId="0" borderId="6" xfId="0" applyFont="1" applyBorder="1"/>
    <xf numFmtId="0" fontId="0" fillId="0" borderId="6" xfId="0" applyBorder="1" applyAlignment="1"/>
    <xf numFmtId="0" fontId="0" fillId="0" borderId="1" xfId="0" applyFill="1" applyBorder="1"/>
    <xf numFmtId="2" fontId="13" fillId="0" borderId="1" xfId="0" applyNumberFormat="1" applyFont="1" applyBorder="1"/>
    <xf numFmtId="0" fontId="0" fillId="0" borderId="1" xfId="0" applyBorder="1"/>
    <xf numFmtId="0" fontId="0" fillId="17" borderId="0" xfId="0" applyFill="1" applyBorder="1"/>
    <xf numFmtId="1" fontId="0" fillId="0" borderId="0" xfId="0" applyNumberFormat="1"/>
    <xf numFmtId="0" fontId="13" fillId="0" borderId="2" xfId="0" applyFont="1" applyBorder="1"/>
    <xf numFmtId="0" fontId="0" fillId="0" borderId="2" xfId="0" applyFill="1" applyBorder="1"/>
    <xf numFmtId="2" fontId="0" fillId="0" borderId="2" xfId="0" applyNumberFormat="1" applyBorder="1"/>
    <xf numFmtId="0" fontId="0" fillId="0" borderId="71" xfId="0" applyBorder="1"/>
    <xf numFmtId="0" fontId="13" fillId="0" borderId="72" xfId="0" applyFont="1" applyFill="1" applyBorder="1"/>
    <xf numFmtId="0" fontId="0" fillId="0" borderId="72" xfId="0" applyFill="1" applyBorder="1"/>
    <xf numFmtId="165" fontId="0" fillId="0" borderId="73" xfId="0" applyNumberFormat="1" applyBorder="1"/>
    <xf numFmtId="2" fontId="13" fillId="0" borderId="2" xfId="0" applyNumberFormat="1" applyFont="1" applyBorder="1"/>
    <xf numFmtId="0" fontId="0" fillId="0" borderId="17" xfId="0" applyBorder="1"/>
    <xf numFmtId="0" fontId="0" fillId="0" borderId="18" xfId="0" applyBorder="1"/>
    <xf numFmtId="2" fontId="0" fillId="0" borderId="18" xfId="0" applyNumberFormat="1" applyBorder="1"/>
    <xf numFmtId="0" fontId="0" fillId="0" borderId="19" xfId="0" applyBorder="1"/>
    <xf numFmtId="0" fontId="0" fillId="0" borderId="77" xfId="0" applyBorder="1"/>
    <xf numFmtId="0" fontId="0" fillId="0" borderId="20" xfId="0" applyBorder="1"/>
    <xf numFmtId="0" fontId="0" fillId="0" borderId="57" xfId="0" applyBorder="1"/>
    <xf numFmtId="0" fontId="0" fillId="0" borderId="20" xfId="0" applyBorder="1" applyAlignment="1"/>
    <xf numFmtId="0" fontId="0" fillId="0" borderId="78" xfId="0" applyBorder="1"/>
    <xf numFmtId="2" fontId="0" fillId="0" borderId="0" xfId="0" applyNumberFormat="1" applyBorder="1" applyAlignment="1">
      <alignment horizontal="center"/>
    </xf>
    <xf numFmtId="1" fontId="0" fillId="0" borderId="0" xfId="0" applyNumberFormat="1" applyBorder="1"/>
    <xf numFmtId="2" fontId="0" fillId="0" borderId="45" xfId="0" applyNumberFormat="1" applyBorder="1" applyAlignment="1">
      <alignment horizontal="center"/>
    </xf>
    <xf numFmtId="0" fontId="0" fillId="0" borderId="45" xfId="0" applyBorder="1" applyAlignment="1">
      <alignment horizontal="center"/>
    </xf>
    <xf numFmtId="2" fontId="0" fillId="0" borderId="52" xfId="0" applyNumberFormat="1" applyBorder="1"/>
    <xf numFmtId="0" fontId="0" fillId="0" borderId="47" xfId="0" applyBorder="1"/>
    <xf numFmtId="0" fontId="0" fillId="0" borderId="48" xfId="0" applyBorder="1"/>
    <xf numFmtId="2" fontId="0" fillId="0" borderId="48" xfId="0" applyNumberFormat="1" applyBorder="1"/>
    <xf numFmtId="0" fontId="0" fillId="0" borderId="49" xfId="0" applyBorder="1"/>
    <xf numFmtId="0" fontId="0" fillId="0" borderId="75" xfId="0" applyBorder="1" applyAlignment="1"/>
    <xf numFmtId="0" fontId="0" fillId="0" borderId="62" xfId="0" applyBorder="1"/>
    <xf numFmtId="0" fontId="0" fillId="0" borderId="63" xfId="0" applyBorder="1"/>
    <xf numFmtId="2" fontId="0" fillId="0" borderId="0" xfId="0" applyNumberFormat="1" applyBorder="1"/>
    <xf numFmtId="0" fontId="11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2" fillId="0" borderId="52" xfId="0" applyFont="1" applyBorder="1"/>
    <xf numFmtId="0" fontId="13" fillId="0" borderId="52" xfId="0" applyFont="1" applyBorder="1"/>
    <xf numFmtId="0" fontId="30" fillId="0" borderId="42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0" fillId="0" borderId="43" xfId="0" applyFont="1" applyBorder="1" applyAlignment="1">
      <alignment horizontal="center"/>
    </xf>
    <xf numFmtId="165" fontId="0" fillId="17" borderId="1" xfId="0" applyNumberFormat="1" applyFill="1" applyBorder="1"/>
    <xf numFmtId="164" fontId="0" fillId="0" borderId="0" xfId="0" applyNumberFormat="1" applyBorder="1"/>
    <xf numFmtId="0" fontId="0" fillId="18" borderId="0" xfId="0" applyFill="1" applyBorder="1"/>
    <xf numFmtId="2" fontId="0" fillId="18" borderId="0" xfId="0" applyNumberFormat="1" applyFill="1" applyBorder="1"/>
    <xf numFmtId="1" fontId="0" fillId="18" borderId="1" xfId="0" applyNumberFormat="1" applyFill="1" applyBorder="1"/>
    <xf numFmtId="0" fontId="0" fillId="0" borderId="50" xfId="0" applyFill="1" applyBorder="1"/>
    <xf numFmtId="0" fontId="0" fillId="0" borderId="0" xfId="0" applyBorder="1" applyAlignment="1"/>
    <xf numFmtId="0" fontId="0" fillId="0" borderId="2" xfId="0" applyBorder="1" applyAlignment="1"/>
    <xf numFmtId="0" fontId="0" fillId="0" borderId="4" xfId="0" applyBorder="1" applyAlignment="1"/>
    <xf numFmtId="165" fontId="12" fillId="0" borderId="1" xfId="0" applyNumberFormat="1" applyFont="1" applyBorder="1"/>
    <xf numFmtId="0" fontId="12" fillId="0" borderId="2" xfId="0" applyFont="1" applyBorder="1"/>
    <xf numFmtId="0" fontId="12" fillId="0" borderId="4" xfId="0" applyFont="1" applyBorder="1"/>
    <xf numFmtId="0" fontId="12" fillId="0" borderId="6" xfId="0" applyFont="1" applyBorder="1"/>
    <xf numFmtId="165" fontId="12" fillId="0" borderId="1" xfId="0" applyNumberFormat="1" applyFont="1" applyFill="1" applyBorder="1"/>
    <xf numFmtId="0" fontId="0" fillId="0" borderId="56" xfId="0" applyBorder="1"/>
    <xf numFmtId="164" fontId="0" fillId="0" borderId="2" xfId="0" applyNumberFormat="1" applyBorder="1"/>
    <xf numFmtId="0" fontId="58" fillId="0" borderId="0" xfId="1" applyAlignment="1" applyProtection="1"/>
    <xf numFmtId="0" fontId="0" fillId="0" borderId="44" xfId="0" applyBorder="1" applyAlignment="1">
      <alignment horizontal="center"/>
    </xf>
    <xf numFmtId="1" fontId="0" fillId="0" borderId="46" xfId="0" applyNumberFormat="1" applyBorder="1"/>
    <xf numFmtId="0" fontId="13" fillId="0" borderId="43" xfId="0" applyFont="1" applyBorder="1"/>
    <xf numFmtId="165" fontId="0" fillId="0" borderId="52" xfId="0" applyNumberFormat="1" applyBorder="1"/>
    <xf numFmtId="2" fontId="0" fillId="0" borderId="57" xfId="0" applyNumberFormat="1" applyBorder="1"/>
    <xf numFmtId="165" fontId="0" fillId="0" borderId="77" xfId="0" applyNumberFormat="1" applyBorder="1"/>
    <xf numFmtId="0" fontId="12" fillId="0" borderId="0" xfId="0" applyFont="1" applyBorder="1"/>
    <xf numFmtId="165" fontId="12" fillId="0" borderId="52" xfId="0" applyNumberFormat="1" applyFont="1" applyBorder="1"/>
    <xf numFmtId="165" fontId="12" fillId="0" borderId="52" xfId="0" applyNumberFormat="1" applyFont="1" applyFill="1" applyBorder="1"/>
    <xf numFmtId="0" fontId="0" fillId="17" borderId="42" xfId="0" applyFill="1" applyBorder="1" applyAlignment="1"/>
    <xf numFmtId="0" fontId="0" fillId="17" borderId="43" xfId="0" applyFill="1" applyBorder="1" applyAlignment="1"/>
    <xf numFmtId="0" fontId="0" fillId="17" borderId="44" xfId="0" applyFill="1" applyBorder="1" applyAlignment="1"/>
    <xf numFmtId="0" fontId="0" fillId="17" borderId="45" xfId="0" applyFill="1" applyBorder="1" applyAlignment="1"/>
    <xf numFmtId="0" fontId="0" fillId="17" borderId="46" xfId="0" applyFill="1" applyBorder="1" applyAlignment="1"/>
    <xf numFmtId="0" fontId="0" fillId="17" borderId="1" xfId="0" applyFill="1" applyBorder="1" applyAlignment="1"/>
    <xf numFmtId="165" fontId="0" fillId="0" borderId="57" xfId="0" applyNumberFormat="1" applyBorder="1"/>
    <xf numFmtId="1" fontId="0" fillId="0" borderId="45" xfId="0" applyNumberFormat="1" applyBorder="1"/>
    <xf numFmtId="1" fontId="0" fillId="18" borderId="57" xfId="0" applyNumberFormat="1" applyFill="1" applyBorder="1"/>
    <xf numFmtId="0" fontId="1" fillId="0" borderId="50" xfId="0" applyFont="1" applyBorder="1"/>
    <xf numFmtId="0" fontId="29" fillId="0" borderId="70" xfId="0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9" fontId="0" fillId="0" borderId="1" xfId="0" applyNumberFormat="1" applyBorder="1"/>
    <xf numFmtId="0" fontId="11" fillId="0" borderId="5" xfId="0" applyFont="1" applyBorder="1"/>
    <xf numFmtId="0" fontId="12" fillId="0" borderId="5" xfId="0" applyFont="1" applyBorder="1"/>
    <xf numFmtId="164" fontId="0" fillId="0" borderId="72" xfId="0" applyNumberFormat="1" applyBorder="1"/>
    <xf numFmtId="0" fontId="0" fillId="0" borderId="64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65" xfId="0" applyBorder="1"/>
    <xf numFmtId="164" fontId="0" fillId="0" borderId="65" xfId="0" applyNumberFormat="1" applyBorder="1"/>
    <xf numFmtId="164" fontId="0" fillId="0" borderId="66" xfId="0" applyNumberFormat="1" applyBorder="1"/>
    <xf numFmtId="164" fontId="0" fillId="0" borderId="71" xfId="0" applyNumberFormat="1" applyBorder="1"/>
    <xf numFmtId="164" fontId="0" fillId="0" borderId="80" xfId="0" applyNumberFormat="1" applyBorder="1"/>
    <xf numFmtId="0" fontId="0" fillId="0" borderId="17" xfId="0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82" xfId="0" applyBorder="1"/>
    <xf numFmtId="165" fontId="0" fillId="0" borderId="2" xfId="0" applyNumberFormat="1" applyBorder="1"/>
    <xf numFmtId="165" fontId="0" fillId="0" borderId="6" xfId="0" applyNumberFormat="1" applyBorder="1"/>
    <xf numFmtId="165" fontId="0" fillId="0" borderId="9" xfId="0" applyNumberFormat="1" applyBorder="1"/>
    <xf numFmtId="165" fontId="0" fillId="0" borderId="67" xfId="0" applyNumberFormat="1" applyBorder="1"/>
    <xf numFmtId="165" fontId="0" fillId="0" borderId="68" xfId="0" applyNumberFormat="1" applyBorder="1"/>
    <xf numFmtId="2" fontId="0" fillId="14" borderId="11" xfId="0" applyNumberFormat="1" applyFill="1" applyBorder="1"/>
    <xf numFmtId="0" fontId="0" fillId="14" borderId="86" xfId="0" applyFill="1" applyBorder="1"/>
    <xf numFmtId="2" fontId="0" fillId="14" borderId="80" xfId="0" applyNumberFormat="1" applyFill="1" applyBorder="1"/>
    <xf numFmtId="2" fontId="0" fillId="14" borderId="73" xfId="0" applyNumberFormat="1" applyFill="1" applyBorder="1"/>
    <xf numFmtId="2" fontId="0" fillId="14" borderId="7" xfId="0" applyNumberFormat="1" applyFill="1" applyBorder="1"/>
    <xf numFmtId="2" fontId="0" fillId="14" borderId="35" xfId="0" applyNumberFormat="1" applyFill="1" applyBorder="1"/>
    <xf numFmtId="0" fontId="0" fillId="14" borderId="72" xfId="0" applyFill="1" applyBorder="1"/>
    <xf numFmtId="0" fontId="0" fillId="14" borderId="70" xfId="0" applyFill="1" applyBorder="1"/>
    <xf numFmtId="0" fontId="0" fillId="0" borderId="1" xfId="0" applyBorder="1" applyAlignment="1">
      <alignment horizontal="center"/>
    </xf>
    <xf numFmtId="0" fontId="60" fillId="0" borderId="1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20" fillId="9" borderId="0" xfId="0" applyFont="1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2" xfId="0" applyFill="1" applyBorder="1" applyAlignment="1">
      <alignment horizontal="center" vertical="top"/>
    </xf>
    <xf numFmtId="0" fontId="0" fillId="4" borderId="4" xfId="0" applyFill="1" applyBorder="1" applyAlignment="1">
      <alignment horizontal="center" vertical="top"/>
    </xf>
    <xf numFmtId="0" fontId="0" fillId="3" borderId="6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18" fillId="4" borderId="0" xfId="0" applyFont="1" applyFill="1" applyAlignment="1">
      <alignment horizontal="center"/>
    </xf>
    <xf numFmtId="0" fontId="11" fillId="4" borderId="2" xfId="0" applyFont="1" applyFill="1" applyBorder="1" applyAlignment="1">
      <alignment horizontal="center" vertical="top"/>
    </xf>
    <xf numFmtId="0" fontId="11" fillId="4" borderId="4" xfId="0" applyFont="1" applyFill="1" applyBorder="1" applyAlignment="1">
      <alignment horizontal="center" vertical="top"/>
    </xf>
    <xf numFmtId="0" fontId="0" fillId="3" borderId="0" xfId="0" applyFill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20" fillId="6" borderId="0" xfId="0" applyFont="1" applyFill="1" applyAlignment="1">
      <alignment horizontal="center"/>
    </xf>
    <xf numFmtId="0" fontId="19" fillId="4" borderId="0" xfId="0" applyFont="1" applyFill="1" applyAlignment="1">
      <alignment horizontal="center"/>
    </xf>
    <xf numFmtId="0" fontId="16" fillId="4" borderId="0" xfId="0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14" xfId="0" applyFill="1" applyBorder="1" applyAlignment="1">
      <alignment horizontal="center"/>
    </xf>
    <xf numFmtId="0" fontId="24" fillId="3" borderId="7" xfId="0" applyFont="1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0" fontId="17" fillId="9" borderId="0" xfId="0" applyFont="1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17" fillId="2" borderId="0" xfId="0" applyFont="1" applyFill="1" applyAlignment="1">
      <alignment horizontal="center"/>
    </xf>
    <xf numFmtId="0" fontId="0" fillId="9" borderId="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31" fillId="7" borderId="0" xfId="0" applyFont="1" applyFill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33" fillId="11" borderId="0" xfId="0" applyFont="1" applyFill="1" applyAlignment="1">
      <alignment horizontal="center"/>
    </xf>
    <xf numFmtId="0" fontId="0" fillId="11" borderId="23" xfId="0" applyFill="1" applyBorder="1" applyAlignment="1">
      <alignment horizontal="center"/>
    </xf>
    <xf numFmtId="0" fontId="26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39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52" xfId="0" applyFont="1" applyBorder="1" applyAlignment="1">
      <alignment horizontal="center"/>
    </xf>
    <xf numFmtId="0" fontId="0" fillId="0" borderId="52" xfId="0" applyBorder="1" applyAlignment="1">
      <alignment horizontal="center"/>
    </xf>
    <xf numFmtId="0" fontId="29" fillId="0" borderId="41" xfId="0" applyFont="1" applyBorder="1" applyAlignment="1">
      <alignment horizontal="center"/>
    </xf>
    <xf numFmtId="0" fontId="29" fillId="0" borderId="20" xfId="0" applyFont="1" applyBorder="1" applyAlignment="1">
      <alignment horizontal="center"/>
    </xf>
    <xf numFmtId="0" fontId="0" fillId="14" borderId="1" xfId="0" applyFill="1" applyBorder="1" applyAlignment="1">
      <alignment horizontal="left"/>
    </xf>
    <xf numFmtId="0" fontId="0" fillId="14" borderId="1" xfId="0" applyFill="1" applyBorder="1" applyAlignment="1">
      <alignment horizontal="center" vertical="center"/>
    </xf>
    <xf numFmtId="0" fontId="0" fillId="0" borderId="1" xfId="0" applyBorder="1"/>
    <xf numFmtId="0" fontId="0" fillId="14" borderId="26" xfId="0" applyFill="1" applyBorder="1" applyAlignment="1">
      <alignment horizontal="center"/>
    </xf>
    <xf numFmtId="0" fontId="12" fillId="14" borderId="1" xfId="0" applyFont="1" applyFill="1" applyBorder="1" applyAlignment="1">
      <alignment horizontal="center"/>
    </xf>
    <xf numFmtId="0" fontId="30" fillId="14" borderId="0" xfId="0" applyFont="1" applyFill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4" borderId="26" xfId="0" applyFill="1" applyBorder="1" applyAlignment="1">
      <alignment horizontal="left"/>
    </xf>
    <xf numFmtId="0" fontId="0" fillId="14" borderId="2" xfId="0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47" fillId="14" borderId="1" xfId="0" applyFont="1" applyFill="1" applyBorder="1" applyAlignment="1">
      <alignment horizontal="center"/>
    </xf>
    <xf numFmtId="0" fontId="0" fillId="14" borderId="0" xfId="0" applyFill="1" applyAlignment="1">
      <alignment horizontal="right"/>
    </xf>
    <xf numFmtId="0" fontId="29" fillId="14" borderId="0" xfId="0" applyFont="1" applyFill="1" applyBorder="1" applyAlignment="1">
      <alignment horizontal="center" vertical="center"/>
    </xf>
    <xf numFmtId="0" fontId="30" fillId="14" borderId="0" xfId="0" applyFont="1" applyFill="1" applyBorder="1" applyAlignment="1">
      <alignment horizontal="center" vertical="center"/>
    </xf>
    <xf numFmtId="0" fontId="0" fillId="14" borderId="2" xfId="0" applyNumberFormat="1" applyFill="1" applyBorder="1" applyAlignment="1">
      <alignment horizontal="center"/>
    </xf>
    <xf numFmtId="0" fontId="0" fillId="14" borderId="4" xfId="0" applyNumberFormat="1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3" xfId="0" applyFill="1" applyBorder="1" applyAlignment="1">
      <alignment horizontal="center"/>
    </xf>
    <xf numFmtId="0" fontId="30" fillId="14" borderId="0" xfId="0" applyFont="1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0" fillId="14" borderId="9" xfId="0" applyFill="1" applyBorder="1" applyAlignment="1">
      <alignment horizontal="center"/>
    </xf>
    <xf numFmtId="0" fontId="0" fillId="14" borderId="10" xfId="0" applyFill="1" applyBorder="1" applyAlignment="1">
      <alignment horizontal="center"/>
    </xf>
    <xf numFmtId="0" fontId="25" fillId="14" borderId="0" xfId="0" applyFont="1" applyFill="1" applyAlignment="1">
      <alignment horizontal="center"/>
    </xf>
    <xf numFmtId="0" fontId="12" fillId="14" borderId="26" xfId="0" applyFont="1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17" borderId="50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50" xfId="0" applyFill="1" applyBorder="1" applyAlignment="1">
      <alignment horizontal="right"/>
    </xf>
    <xf numFmtId="0" fontId="0" fillId="17" borderId="1" xfId="0" applyFill="1" applyBorder="1" applyAlignment="1">
      <alignment horizontal="right"/>
    </xf>
    <xf numFmtId="0" fontId="30" fillId="17" borderId="8" xfId="0" applyFont="1" applyFill="1" applyBorder="1" applyAlignment="1">
      <alignment horizontal="center"/>
    </xf>
    <xf numFmtId="0" fontId="30" fillId="17" borderId="10" xfId="0" applyFont="1" applyFill="1" applyBorder="1" applyAlignment="1">
      <alignment horizontal="center"/>
    </xf>
    <xf numFmtId="0" fontId="30" fillId="17" borderId="12" xfId="0" applyFont="1" applyFill="1" applyBorder="1" applyAlignment="1">
      <alignment horizontal="center"/>
    </xf>
    <xf numFmtId="0" fontId="30" fillId="17" borderId="7" xfId="0" applyFont="1" applyFill="1" applyBorder="1" applyAlignment="1">
      <alignment horizontal="center"/>
    </xf>
    <xf numFmtId="0" fontId="30" fillId="17" borderId="0" xfId="0" applyFont="1" applyFill="1" applyBorder="1" applyAlignment="1">
      <alignment horizontal="center"/>
    </xf>
    <xf numFmtId="0" fontId="30" fillId="17" borderId="14" xfId="0" applyFont="1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0" fontId="0" fillId="17" borderId="0" xfId="0" applyFill="1" applyBorder="1"/>
    <xf numFmtId="0" fontId="0" fillId="17" borderId="2" xfId="0" applyFill="1" applyBorder="1" applyAlignment="1">
      <alignment horizontal="center"/>
    </xf>
    <xf numFmtId="0" fontId="0" fillId="17" borderId="51" xfId="0" applyFill="1" applyBorder="1" applyAlignment="1">
      <alignment horizontal="center"/>
    </xf>
    <xf numFmtId="0" fontId="0" fillId="17" borderId="6" xfId="0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0" fillId="17" borderId="20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29" fillId="0" borderId="8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17" borderId="8" xfId="0" applyFont="1" applyFill="1" applyBorder="1" applyAlignment="1">
      <alignment horizontal="center"/>
    </xf>
    <xf numFmtId="0" fontId="29" fillId="17" borderId="10" xfId="0" applyFont="1" applyFill="1" applyBorder="1" applyAlignment="1">
      <alignment horizontal="center"/>
    </xf>
    <xf numFmtId="0" fontId="29" fillId="17" borderId="12" xfId="0" applyFont="1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0" fillId="17" borderId="53" xfId="0" applyFill="1" applyBorder="1" applyAlignment="1">
      <alignment horizontal="center"/>
    </xf>
    <xf numFmtId="0" fontId="0" fillId="17" borderId="56" xfId="0" applyFill="1" applyBorder="1" applyAlignment="1">
      <alignment horizontal="right"/>
    </xf>
    <xf numFmtId="0" fontId="0" fillId="17" borderId="57" xfId="0" applyFill="1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17" borderId="47" xfId="0" applyFill="1" applyBorder="1" applyAlignment="1">
      <alignment horizontal="center"/>
    </xf>
    <xf numFmtId="0" fontId="0" fillId="17" borderId="48" xfId="0" applyFill="1" applyBorder="1" applyAlignment="1">
      <alignment horizontal="center"/>
    </xf>
    <xf numFmtId="0" fontId="0" fillId="17" borderId="49" xfId="0" applyFill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17" borderId="1" xfId="0" applyFill="1" applyBorder="1"/>
    <xf numFmtId="0" fontId="0" fillId="0" borderId="41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2" fontId="0" fillId="16" borderId="1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30" fillId="16" borderId="0" xfId="0" applyFont="1" applyFill="1" applyAlignment="1">
      <alignment horizontal="center" vertical="center"/>
    </xf>
    <xf numFmtId="0" fontId="0" fillId="11" borderId="17" xfId="0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0" fontId="0" fillId="11" borderId="1" xfId="0" applyFill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25" fillId="11" borderId="0" xfId="0" applyFont="1" applyFill="1" applyAlignment="1">
      <alignment horizontal="center"/>
    </xf>
    <xf numFmtId="0" fontId="0" fillId="11" borderId="26" xfId="0" applyNumberFormat="1" applyFill="1" applyBorder="1" applyAlignment="1">
      <alignment horizontal="center"/>
    </xf>
    <xf numFmtId="0" fontId="35" fillId="11" borderId="17" xfId="0" applyFont="1" applyFill="1" applyBorder="1" applyAlignment="1">
      <alignment horizontal="center"/>
    </xf>
    <xf numFmtId="0" fontId="35" fillId="11" borderId="18" xfId="0" applyFont="1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3" xfId="0" applyFill="1" applyBorder="1" applyAlignment="1">
      <alignment horizontal="left"/>
    </xf>
    <xf numFmtId="0" fontId="0" fillId="11" borderId="4" xfId="0" applyFill="1" applyBorder="1" applyAlignment="1">
      <alignment horizontal="left"/>
    </xf>
    <xf numFmtId="0" fontId="30" fillId="11" borderId="0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11" fillId="11" borderId="2" xfId="0" applyFont="1" applyFill="1" applyBorder="1" applyAlignment="1">
      <alignment horizontal="left"/>
    </xf>
    <xf numFmtId="0" fontId="11" fillId="11" borderId="3" xfId="0" applyFont="1" applyFill="1" applyBorder="1" applyAlignment="1">
      <alignment horizontal="left"/>
    </xf>
    <xf numFmtId="0" fontId="11" fillId="11" borderId="4" xfId="0" applyFont="1" applyFill="1" applyBorder="1" applyAlignment="1">
      <alignment horizontal="left"/>
    </xf>
    <xf numFmtId="0" fontId="30" fillId="16" borderId="7" xfId="0" applyFont="1" applyFill="1" applyBorder="1" applyAlignment="1">
      <alignment horizontal="center" vertical="center"/>
    </xf>
    <xf numFmtId="0" fontId="30" fillId="16" borderId="0" xfId="0" applyFont="1" applyFill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/>
    </xf>
    <xf numFmtId="0" fontId="30" fillId="16" borderId="8" xfId="0" applyFont="1" applyFill="1" applyBorder="1" applyAlignment="1">
      <alignment horizontal="center" vertical="center"/>
    </xf>
    <xf numFmtId="0" fontId="30" fillId="16" borderId="10" xfId="0" applyFont="1" applyFill="1" applyBorder="1" applyAlignment="1">
      <alignment horizontal="center" vertical="center"/>
    </xf>
    <xf numFmtId="0" fontId="30" fillId="16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1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25" fillId="11" borderId="17" xfId="0" applyFont="1" applyFill="1" applyBorder="1" applyAlignment="1">
      <alignment horizontal="center"/>
    </xf>
    <xf numFmtId="0" fontId="25" fillId="11" borderId="18" xfId="0" applyFont="1" applyFill="1" applyBorder="1" applyAlignment="1">
      <alignment horizontal="center"/>
    </xf>
    <xf numFmtId="0" fontId="25" fillId="11" borderId="19" xfId="0" applyFont="1" applyFill="1" applyBorder="1" applyAlignment="1">
      <alignment horizontal="center"/>
    </xf>
    <xf numFmtId="0" fontId="12" fillId="11" borderId="0" xfId="0" applyFont="1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right"/>
    </xf>
    <xf numFmtId="0" fontId="0" fillId="11" borderId="1" xfId="0" applyFill="1" applyBorder="1" applyAlignment="1">
      <alignment horizontal="right"/>
    </xf>
    <xf numFmtId="0" fontId="25" fillId="0" borderId="20" xfId="0" applyFont="1" applyBorder="1" applyAlignment="1">
      <alignment horizontal="center"/>
    </xf>
    <xf numFmtId="0" fontId="29" fillId="0" borderId="21" xfId="0" applyFont="1" applyBorder="1" applyAlignment="1">
      <alignment horizontal="center"/>
    </xf>
    <xf numFmtId="165" fontId="0" fillId="0" borderId="1" xfId="0" applyNumberFormat="1" applyBorder="1"/>
    <xf numFmtId="0" fontId="20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2" fontId="0" fillId="0" borderId="17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19" borderId="17" xfId="0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2" fontId="0" fillId="19" borderId="44" xfId="0" applyNumberFormat="1" applyFill="1" applyBorder="1" applyAlignment="1">
      <alignment horizontal="center"/>
    </xf>
    <xf numFmtId="2" fontId="0" fillId="19" borderId="46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20" fillId="0" borderId="79" xfId="0" applyFont="1" applyBorder="1" applyAlignment="1">
      <alignment horizontal="center"/>
    </xf>
    <xf numFmtId="0" fontId="20" fillId="0" borderId="59" xfId="0" applyFon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47" fillId="0" borderId="62" xfId="0" applyFont="1" applyBorder="1" applyAlignment="1">
      <alignment horizontal="center"/>
    </xf>
    <xf numFmtId="0" fontId="47" fillId="0" borderId="10" xfId="0" applyFont="1" applyBorder="1" applyAlignment="1">
      <alignment horizontal="center"/>
    </xf>
    <xf numFmtId="0" fontId="47" fillId="0" borderId="63" xfId="0" applyFont="1" applyBorder="1" applyAlignment="1">
      <alignment horizontal="center"/>
    </xf>
    <xf numFmtId="0" fontId="29" fillId="0" borderId="6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30" fillId="0" borderId="41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81" xfId="0" applyFont="1" applyBorder="1" applyAlignment="1">
      <alignment horizontal="center"/>
    </xf>
    <xf numFmtId="0" fontId="30" fillId="0" borderId="60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21" xfId="0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20" fillId="0" borderId="41" xfId="0" applyFon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56" xfId="0" applyBorder="1" applyAlignment="1">
      <alignment horizontal="left"/>
    </xf>
    <xf numFmtId="0" fontId="0" fillId="0" borderId="57" xfId="0" applyBorder="1" applyAlignment="1">
      <alignment horizontal="left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43" xfId="0" applyFont="1" applyBorder="1" applyAlignment="1">
      <alignment horizontal="center"/>
    </xf>
    <xf numFmtId="0" fontId="25" fillId="0" borderId="50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50" xfId="0" applyBorder="1"/>
    <xf numFmtId="0" fontId="0" fillId="0" borderId="57" xfId="0" applyBorder="1" applyAlignment="1">
      <alignment horizontal="center"/>
    </xf>
    <xf numFmtId="0" fontId="0" fillId="0" borderId="56" xfId="0" applyBorder="1" applyAlignment="1">
      <alignment horizontal="center"/>
    </xf>
    <xf numFmtId="0" fontId="25" fillId="0" borderId="21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30" fillId="0" borderId="42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0" fillId="0" borderId="43" xfId="0" applyFont="1" applyBorder="1" applyAlignment="1">
      <alignment horizontal="center"/>
    </xf>
    <xf numFmtId="0" fontId="0" fillId="0" borderId="56" xfId="0" applyBorder="1"/>
    <xf numFmtId="0" fontId="0" fillId="0" borderId="57" xfId="0" applyBorder="1"/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42" xfId="0" applyBorder="1" applyAlignment="1">
      <alignment horizontal="center"/>
    </xf>
    <xf numFmtId="0" fontId="11" fillId="0" borderId="43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51" xfId="0" applyBorder="1"/>
    <xf numFmtId="0" fontId="0" fillId="0" borderId="6" xfId="0" applyBorder="1"/>
    <xf numFmtId="0" fontId="25" fillId="0" borderId="62" xfId="0" applyFont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0" fillId="0" borderId="53" xfId="0" applyBorder="1" applyAlignment="1">
      <alignment horizontal="center"/>
    </xf>
    <xf numFmtId="0" fontId="30" fillId="0" borderId="50" xfId="0" applyFont="1" applyBorder="1"/>
    <xf numFmtId="0" fontId="30" fillId="0" borderId="1" xfId="0" applyFont="1" applyBorder="1"/>
    <xf numFmtId="0" fontId="0" fillId="0" borderId="75" xfId="0" applyBorder="1" applyAlignment="1">
      <alignment horizontal="center"/>
    </xf>
    <xf numFmtId="0" fontId="0" fillId="0" borderId="1" xfId="0" applyBorder="1" applyAlignment="1">
      <alignment horizontal="left"/>
    </xf>
    <xf numFmtId="0" fontId="29" fillId="0" borderId="42" xfId="0" applyFont="1" applyBorder="1" applyAlignment="1">
      <alignment horizontal="center"/>
    </xf>
    <xf numFmtId="0" fontId="0" fillId="0" borderId="6" xfId="0" applyBorder="1" applyAlignment="1">
      <alignment horizontal="left"/>
    </xf>
    <xf numFmtId="0" fontId="1" fillId="0" borderId="67" xfId="0" applyFont="1" applyBorder="1" applyAlignment="1">
      <alignment horizontal="left"/>
    </xf>
    <xf numFmtId="0" fontId="1" fillId="0" borderId="69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13" fillId="0" borderId="1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3" borderId="0" xfId="0" applyFill="1" applyAlignment="1">
      <alignment horizontal="center" wrapText="1"/>
    </xf>
    <xf numFmtId="0" fontId="0" fillId="13" borderId="1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/>
    <xf numFmtId="13" fontId="0" fillId="10" borderId="26" xfId="0" applyNumberFormat="1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3" borderId="0" xfId="0" applyFill="1"/>
    <xf numFmtId="164" fontId="0" fillId="0" borderId="53" xfId="0" applyNumberFormat="1" applyBorder="1"/>
    <xf numFmtId="164" fontId="0" fillId="0" borderId="79" xfId="0" applyNumberFormat="1" applyBorder="1"/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64" xfId="0" applyBorder="1"/>
    <xf numFmtId="0" fontId="0" fillId="0" borderId="66" xfId="0" applyBorder="1"/>
    <xf numFmtId="164" fontId="0" fillId="0" borderId="0" xfId="0" applyNumberFormat="1"/>
    <xf numFmtId="0" fontId="0" fillId="0" borderId="71" xfId="0" applyFill="1" applyBorder="1" applyAlignment="1">
      <alignment horizontal="center" vertical="center"/>
    </xf>
    <xf numFmtId="0" fontId="0" fillId="0" borderId="72" xfId="0" applyFill="1" applyBorder="1" applyAlignment="1">
      <alignment horizontal="center" vertical="center"/>
    </xf>
    <xf numFmtId="0" fontId="0" fillId="0" borderId="73" xfId="0" applyFill="1" applyBorder="1" applyAlignment="1">
      <alignment horizontal="center" vertical="center"/>
    </xf>
    <xf numFmtId="0" fontId="0" fillId="17" borderId="14" xfId="0" applyFill="1" applyBorder="1" applyAlignment="1"/>
    <xf numFmtId="165" fontId="0" fillId="17" borderId="1" xfId="0" applyNumberFormat="1" applyFill="1" applyBorder="1" applyAlignment="1">
      <alignment horizontal="right"/>
    </xf>
    <xf numFmtId="0" fontId="0" fillId="17" borderId="11" xfId="0" applyFill="1" applyBorder="1" applyAlignment="1">
      <alignment horizontal="right"/>
    </xf>
    <xf numFmtId="0" fontId="0" fillId="17" borderId="13" xfId="0" applyFill="1" applyBorder="1" applyAlignment="1">
      <alignment horizontal="right"/>
    </xf>
    <xf numFmtId="0" fontId="30" fillId="20" borderId="8" xfId="0" applyFont="1" applyFill="1" applyBorder="1" applyAlignment="1">
      <alignment horizontal="center"/>
    </xf>
    <xf numFmtId="0" fontId="30" fillId="20" borderId="10" xfId="0" applyFont="1" applyFill="1" applyBorder="1" applyAlignment="1">
      <alignment horizontal="center"/>
    </xf>
    <xf numFmtId="0" fontId="30" fillId="20" borderId="12" xfId="0" applyFont="1" applyFill="1" applyBorder="1" applyAlignment="1">
      <alignment horizontal="center"/>
    </xf>
    <xf numFmtId="0" fontId="0" fillId="20" borderId="0" xfId="0" applyFill="1" applyBorder="1"/>
    <xf numFmtId="0" fontId="29" fillId="20" borderId="1" xfId="0" applyFont="1" applyFill="1" applyBorder="1" applyAlignment="1">
      <alignment horizontal="center"/>
    </xf>
    <xf numFmtId="0" fontId="0" fillId="20" borderId="7" xfId="0" applyFill="1" applyBorder="1"/>
    <xf numFmtId="0" fontId="0" fillId="20" borderId="14" xfId="0" applyFill="1" applyBorder="1"/>
    <xf numFmtId="0" fontId="0" fillId="20" borderId="1" xfId="0" applyFill="1" applyBorder="1"/>
    <xf numFmtId="2" fontId="0" fillId="20" borderId="1" xfId="0" applyNumberFormat="1" applyFill="1" applyBorder="1"/>
    <xf numFmtId="0" fontId="0" fillId="20" borderId="2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10" fontId="0" fillId="20" borderId="14" xfId="0" applyNumberFormat="1" applyFill="1" applyBorder="1"/>
    <xf numFmtId="0" fontId="0" fillId="20" borderId="11" xfId="0" applyFill="1" applyBorder="1"/>
    <xf numFmtId="0" fontId="0" fillId="20" borderId="16" xfId="0" applyFill="1" applyBorder="1"/>
    <xf numFmtId="10" fontId="0" fillId="20" borderId="13" xfId="0" applyNumberFormat="1" applyFill="1" applyBorder="1"/>
    <xf numFmtId="0" fontId="0" fillId="20" borderId="13" xfId="0" applyFill="1" applyBorder="1"/>
    <xf numFmtId="0" fontId="29" fillId="20" borderId="8" xfId="0" applyFont="1" applyFill="1" applyBorder="1" applyAlignment="1">
      <alignment horizontal="center"/>
    </xf>
    <xf numFmtId="0" fontId="29" fillId="20" borderId="10" xfId="0" applyFont="1" applyFill="1" applyBorder="1" applyAlignment="1">
      <alignment horizontal="center"/>
    </xf>
    <xf numFmtId="0" fontId="29" fillId="20" borderId="12" xfId="0" applyFont="1" applyFill="1" applyBorder="1" applyAlignment="1">
      <alignment horizontal="center"/>
    </xf>
    <xf numFmtId="0" fontId="25" fillId="20" borderId="8" xfId="0" applyFont="1" applyFill="1" applyBorder="1" applyAlignment="1">
      <alignment horizontal="center"/>
    </xf>
    <xf numFmtId="0" fontId="25" fillId="20" borderId="10" xfId="0" applyFont="1" applyFill="1" applyBorder="1" applyAlignment="1">
      <alignment horizontal="center"/>
    </xf>
    <xf numFmtId="0" fontId="0" fillId="20" borderId="12" xfId="0" applyFill="1" applyBorder="1"/>
    <xf numFmtId="0" fontId="0" fillId="20" borderId="0" xfId="0" applyFill="1"/>
    <xf numFmtId="0" fontId="0" fillId="20" borderId="1" xfId="0" applyFill="1" applyBorder="1"/>
    <xf numFmtId="165" fontId="0" fillId="20" borderId="1" xfId="0" applyNumberFormat="1" applyFill="1" applyBorder="1"/>
    <xf numFmtId="1" fontId="0" fillId="20" borderId="1" xfId="0" applyNumberFormat="1" applyFill="1" applyBorder="1"/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0" xfId="0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2" fontId="0" fillId="20" borderId="9" xfId="0" applyNumberFormat="1" applyFill="1" applyBorder="1" applyAlignment="1">
      <alignment horizontal="center"/>
    </xf>
    <xf numFmtId="0" fontId="0" fillId="20" borderId="6" xfId="0" applyFill="1" applyBorder="1"/>
    <xf numFmtId="0" fontId="1" fillId="20" borderId="6" xfId="0" applyFont="1" applyFill="1" applyBorder="1"/>
    <xf numFmtId="0" fontId="1" fillId="20" borderId="12" xfId="0" applyFont="1" applyFill="1" applyBorder="1"/>
    <xf numFmtId="0" fontId="0" fillId="20" borderId="5" xfId="0" applyFill="1" applyBorder="1"/>
    <xf numFmtId="0" fontId="0" fillId="20" borderId="9" xfId="0" applyFill="1" applyBorder="1"/>
    <xf numFmtId="0" fontId="0" fillId="20" borderId="4" xfId="0" applyFill="1" applyBorder="1"/>
    <xf numFmtId="0" fontId="0" fillId="20" borderId="1" xfId="0" applyFill="1" applyBorder="1" applyAlignment="1">
      <alignment horizontal="center"/>
    </xf>
    <xf numFmtId="0" fontId="0" fillId="20" borderId="10" xfId="0" applyFill="1" applyBorder="1"/>
    <xf numFmtId="0" fontId="47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 vertical="center"/>
    </xf>
    <xf numFmtId="0" fontId="0" fillId="20" borderId="0" xfId="0" applyFill="1" applyAlignment="1">
      <alignment horizontal="center"/>
    </xf>
    <xf numFmtId="0" fontId="11" fillId="20" borderId="6" xfId="0" applyFont="1" applyFill="1" applyBorder="1"/>
    <xf numFmtId="0" fontId="11" fillId="20" borderId="5" xfId="0" applyFont="1" applyFill="1" applyBorder="1"/>
    <xf numFmtId="0" fontId="11" fillId="20" borderId="9" xfId="0" applyFont="1" applyFill="1" applyBorder="1"/>
    <xf numFmtId="0" fontId="11" fillId="17" borderId="8" xfId="0" applyFont="1" applyFill="1" applyBorder="1" applyAlignment="1">
      <alignment horizontal="right"/>
    </xf>
    <xf numFmtId="0" fontId="11" fillId="17" borderId="12" xfId="0" applyFont="1" applyFill="1" applyBorder="1" applyAlignment="1">
      <alignment horizontal="right"/>
    </xf>
    <xf numFmtId="0" fontId="0" fillId="20" borderId="8" xfId="0" applyFill="1" applyBorder="1"/>
    <xf numFmtId="1" fontId="0" fillId="20" borderId="9" xfId="0" applyNumberFormat="1" applyFill="1" applyBorder="1"/>
    <xf numFmtId="2" fontId="0" fillId="20" borderId="0" xfId="0" applyNumberFormat="1" applyFill="1" applyBorder="1"/>
    <xf numFmtId="2" fontId="0" fillId="20" borderId="14" xfId="0" applyNumberFormat="1" applyFill="1" applyBorder="1"/>
    <xf numFmtId="0" fontId="0" fillId="20" borderId="0" xfId="0" applyFill="1" applyBorder="1" applyAlignment="1">
      <alignment horizontal="right"/>
    </xf>
    <xf numFmtId="1" fontId="0" fillId="20" borderId="0" xfId="0" applyNumberFormat="1" applyFill="1" applyBorder="1"/>
    <xf numFmtId="1" fontId="0" fillId="20" borderId="14" xfId="0" applyNumberFormat="1" applyFill="1" applyBorder="1"/>
    <xf numFmtId="0" fontId="11" fillId="20" borderId="6" xfId="0" applyFont="1" applyFill="1" applyBorder="1" applyAlignment="1"/>
    <xf numFmtId="0" fontId="0" fillId="20" borderId="41" xfId="0" applyFill="1" applyBorder="1"/>
    <xf numFmtId="0" fontId="0" fillId="20" borderId="20" xfId="0" applyFill="1" applyBorder="1" applyAlignment="1">
      <alignment horizontal="center"/>
    </xf>
    <xf numFmtId="0" fontId="0" fillId="20" borderId="21" xfId="0" applyFill="1" applyBorder="1"/>
    <xf numFmtId="0" fontId="0" fillId="20" borderId="42" xfId="0" applyFill="1" applyBorder="1"/>
    <xf numFmtId="0" fontId="0" fillId="20" borderId="0" xfId="0" applyFill="1" applyBorder="1" applyAlignment="1">
      <alignment horizontal="center"/>
    </xf>
    <xf numFmtId="0" fontId="0" fillId="20" borderId="43" xfId="0" applyFill="1" applyBorder="1"/>
    <xf numFmtId="165" fontId="0" fillId="20" borderId="1" xfId="0" applyNumberFormat="1" applyFill="1" applyBorder="1" applyAlignment="1">
      <alignment horizontal="center"/>
    </xf>
    <xf numFmtId="0" fontId="0" fillId="20" borderId="44" xfId="0" applyFill="1" applyBorder="1"/>
    <xf numFmtId="0" fontId="0" fillId="20" borderId="45" xfId="0" applyFill="1" applyBorder="1"/>
    <xf numFmtId="0" fontId="0" fillId="20" borderId="17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0" fontId="0" fillId="20" borderId="46" xfId="0" applyFill="1" applyBorder="1"/>
    <xf numFmtId="0" fontId="11" fillId="11" borderId="1" xfId="0" applyFont="1" applyFill="1" applyBorder="1"/>
    <xf numFmtId="0" fontId="11" fillId="11" borderId="1" xfId="0" applyFont="1" applyFill="1" applyBorder="1" applyAlignment="1"/>
    <xf numFmtId="2" fontId="0" fillId="11" borderId="2" xfId="0" applyNumberFormat="1" applyFill="1" applyBorder="1" applyAlignment="1">
      <alignment horizontal="center"/>
    </xf>
    <xf numFmtId="2" fontId="0" fillId="11" borderId="4" xfId="0" applyNumberForma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1" borderId="4" xfId="0" applyNumberFormat="1" applyFill="1" applyBorder="1" applyAlignment="1">
      <alignment horizontal="center"/>
    </xf>
    <xf numFmtId="0" fontId="26" fillId="20" borderId="0" xfId="0" applyFont="1" applyFill="1" applyAlignment="1">
      <alignment horizontal="center"/>
    </xf>
    <xf numFmtId="0" fontId="0" fillId="20" borderId="1" xfId="0" applyFill="1" applyBorder="1" applyAlignment="1"/>
    <xf numFmtId="0" fontId="0" fillId="20" borderId="0" xfId="0" applyFill="1" applyAlignment="1"/>
    <xf numFmtId="0" fontId="1" fillId="20" borderId="1" xfId="0" applyFont="1" applyFill="1" applyBorder="1" applyAlignment="1">
      <alignment horizontal="center"/>
    </xf>
    <xf numFmtId="0" fontId="0" fillId="20" borderId="0" xfId="0" applyFill="1" applyAlignment="1">
      <alignment horizontal="center"/>
    </xf>
    <xf numFmtId="0" fontId="26" fillId="20" borderId="0" xfId="0" applyFont="1" applyFill="1" applyAlignment="1"/>
    <xf numFmtId="0" fontId="26" fillId="20" borderId="0" xfId="0" applyFont="1" applyFill="1"/>
    <xf numFmtId="0" fontId="0" fillId="20" borderId="0" xfId="0" applyFont="1" applyFill="1" applyBorder="1" applyAlignment="1"/>
    <xf numFmtId="0" fontId="12" fillId="20" borderId="28" xfId="0" applyFont="1" applyFill="1" applyBorder="1" applyAlignment="1">
      <alignment horizontal="center" vertical="center"/>
    </xf>
    <xf numFmtId="0" fontId="0" fillId="20" borderId="28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31" xfId="0" applyFill="1" applyBorder="1" applyAlignment="1">
      <alignment horizontal="center"/>
    </xf>
    <xf numFmtId="0" fontId="0" fillId="20" borderId="32" xfId="0" applyFill="1" applyBorder="1" applyAlignment="1">
      <alignment horizontal="center"/>
    </xf>
    <xf numFmtId="0" fontId="1" fillId="20" borderId="28" xfId="0" applyFont="1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8" xfId="0" applyFill="1" applyBorder="1" applyAlignment="1">
      <alignment horizontal="center"/>
    </xf>
    <xf numFmtId="0" fontId="0" fillId="20" borderId="35" xfId="0" applyFill="1" applyBorder="1" applyAlignment="1">
      <alignment horizontal="center"/>
    </xf>
    <xf numFmtId="0" fontId="0" fillId="20" borderId="34" xfId="0" applyFill="1" applyBorder="1" applyAlignment="1">
      <alignment horizontal="center" vertical="center"/>
    </xf>
    <xf numFmtId="0" fontId="0" fillId="20" borderId="27" xfId="0" applyFill="1" applyBorder="1" applyAlignment="1">
      <alignment horizontal="center"/>
    </xf>
    <xf numFmtId="0" fontId="0" fillId="20" borderId="33" xfId="0" applyFill="1" applyBorder="1" applyAlignment="1">
      <alignment horizontal="center"/>
    </xf>
    <xf numFmtId="0" fontId="0" fillId="20" borderId="34" xfId="0" applyFill="1" applyBorder="1" applyAlignment="1">
      <alignment horizontal="center"/>
    </xf>
    <xf numFmtId="0" fontId="0" fillId="20" borderId="9" xfId="0" applyFill="1" applyBorder="1" applyAlignment="1">
      <alignment horizontal="center"/>
    </xf>
    <xf numFmtId="0" fontId="0" fillId="20" borderId="27" xfId="0" applyFill="1" applyBorder="1" applyAlignment="1">
      <alignment horizontal="center" vertical="center"/>
    </xf>
    <xf numFmtId="0" fontId="0" fillId="20" borderId="27" xfId="0" applyFill="1" applyBorder="1" applyAlignment="1">
      <alignment horizontal="center"/>
    </xf>
    <xf numFmtId="1" fontId="26" fillId="20" borderId="30" xfId="0" applyNumberFormat="1" applyFont="1" applyFill="1" applyBorder="1" applyAlignment="1">
      <alignment horizontal="center"/>
    </xf>
    <xf numFmtId="0" fontId="39" fillId="20" borderId="28" xfId="0" applyFont="1" applyFill="1" applyBorder="1" applyAlignment="1">
      <alignment horizontal="center" vertical="center"/>
    </xf>
    <xf numFmtId="0" fontId="0" fillId="20" borderId="26" xfId="0" applyFill="1" applyBorder="1"/>
    <xf numFmtId="0" fontId="0" fillId="20" borderId="36" xfId="0" applyFill="1" applyBorder="1" applyAlignment="1">
      <alignment horizontal="center"/>
    </xf>
    <xf numFmtId="2" fontId="0" fillId="20" borderId="35" xfId="0" applyNumberFormat="1" applyFill="1" applyBorder="1" applyAlignment="1">
      <alignment horizontal="center"/>
    </xf>
    <xf numFmtId="2" fontId="0" fillId="20" borderId="36" xfId="0" applyNumberFormat="1" applyFill="1" applyBorder="1" applyAlignment="1">
      <alignment horizontal="center"/>
    </xf>
    <xf numFmtId="0" fontId="26" fillId="20" borderId="28" xfId="0" applyFont="1" applyFill="1" applyBorder="1" applyAlignment="1">
      <alignment horizontal="center" vertical="center"/>
    </xf>
    <xf numFmtId="0" fontId="26" fillId="20" borderId="26" xfId="0" applyFont="1" applyFill="1" applyBorder="1" applyAlignment="1">
      <alignment horizontal="center" vertical="center"/>
    </xf>
    <xf numFmtId="1" fontId="30" fillId="20" borderId="6" xfId="0" applyNumberFormat="1" applyFont="1" applyFill="1" applyBorder="1" applyAlignment="1">
      <alignment horizontal="center" vertical="center"/>
    </xf>
    <xf numFmtId="1" fontId="26" fillId="20" borderId="37" xfId="0" applyNumberFormat="1" applyFont="1" applyFill="1" applyBorder="1" applyAlignment="1">
      <alignment horizontal="center"/>
    </xf>
    <xf numFmtId="0" fontId="26" fillId="20" borderId="35" xfId="0" applyFont="1" applyFill="1" applyBorder="1" applyAlignment="1">
      <alignment horizontal="center" vertical="center"/>
    </xf>
    <xf numFmtId="0" fontId="39" fillId="20" borderId="37" xfId="0" applyFont="1" applyFill="1" applyBorder="1" applyAlignment="1">
      <alignment horizontal="center" vertical="center"/>
    </xf>
    <xf numFmtId="0" fontId="26" fillId="20" borderId="37" xfId="0" applyFont="1" applyFill="1" applyBorder="1" applyAlignment="1">
      <alignment horizontal="center" vertical="center"/>
    </xf>
    <xf numFmtId="1" fontId="30" fillId="20" borderId="5" xfId="0" applyNumberFormat="1" applyFont="1" applyFill="1" applyBorder="1" applyAlignment="1">
      <alignment horizontal="center" vertical="center"/>
    </xf>
    <xf numFmtId="1" fontId="26" fillId="20" borderId="34" xfId="0" applyNumberFormat="1" applyFont="1" applyFill="1" applyBorder="1" applyAlignment="1">
      <alignment horizontal="center"/>
    </xf>
    <xf numFmtId="0" fontId="39" fillId="20" borderId="27" xfId="0" applyFont="1" applyFill="1" applyBorder="1" applyAlignment="1">
      <alignment horizontal="center" vertical="center"/>
    </xf>
    <xf numFmtId="2" fontId="0" fillId="20" borderId="26" xfId="0" applyNumberFormat="1" applyFill="1" applyBorder="1"/>
    <xf numFmtId="0" fontId="26" fillId="20" borderId="27" xfId="0" applyFont="1" applyFill="1" applyBorder="1" applyAlignment="1">
      <alignment horizontal="center" vertical="center"/>
    </xf>
    <xf numFmtId="1" fontId="30" fillId="20" borderId="9" xfId="0" applyNumberFormat="1" applyFont="1" applyFill="1" applyBorder="1" applyAlignment="1">
      <alignment horizontal="center" vertical="center"/>
    </xf>
    <xf numFmtId="1" fontId="26" fillId="20" borderId="27" xfId="0" applyNumberFormat="1" applyFont="1" applyFill="1" applyBorder="1" applyAlignment="1">
      <alignment horizontal="center"/>
    </xf>
    <xf numFmtId="2" fontId="0" fillId="20" borderId="26" xfId="0" applyNumberFormat="1" applyFill="1" applyBorder="1" applyAlignment="1">
      <alignment horizontal="center"/>
    </xf>
    <xf numFmtId="0" fontId="11" fillId="20" borderId="39" xfId="0" applyFont="1" applyFill="1" applyBorder="1" applyAlignment="1">
      <alignment horizontal="center"/>
    </xf>
    <xf numFmtId="0" fontId="11" fillId="20" borderId="32" xfId="0" applyFont="1" applyFill="1" applyBorder="1" applyAlignment="1">
      <alignment horizontal="center"/>
    </xf>
    <xf numFmtId="0" fontId="0" fillId="20" borderId="38" xfId="0" applyFill="1" applyBorder="1" applyAlignment="1">
      <alignment horizontal="center"/>
    </xf>
    <xf numFmtId="0" fontId="11" fillId="20" borderId="33" xfId="0" applyFont="1" applyFill="1" applyBorder="1" applyAlignment="1">
      <alignment horizontal="center"/>
    </xf>
    <xf numFmtId="0" fontId="11" fillId="20" borderId="34" xfId="0" applyFont="1" applyFill="1" applyBorder="1" applyAlignment="1">
      <alignment horizontal="center"/>
    </xf>
    <xf numFmtId="0" fontId="0" fillId="20" borderId="26" xfId="0" applyFill="1" applyBorder="1" applyAlignment="1"/>
    <xf numFmtId="164" fontId="41" fillId="20" borderId="26" xfId="0" applyNumberFormat="1" applyFont="1" applyFill="1" applyBorder="1" applyAlignment="1">
      <alignment horizontal="center"/>
    </xf>
    <xf numFmtId="0" fontId="11" fillId="20" borderId="1" xfId="0" applyFont="1" applyFill="1" applyBorder="1"/>
    <xf numFmtId="0" fontId="41" fillId="20" borderId="39" xfId="0" applyFont="1" applyFill="1" applyBorder="1" applyAlignment="1">
      <alignment horizontal="center" vertical="center"/>
    </xf>
    <xf numFmtId="0" fontId="41" fillId="20" borderId="32" xfId="0" applyFont="1" applyFill="1" applyBorder="1" applyAlignment="1">
      <alignment horizontal="center" vertical="center"/>
    </xf>
    <xf numFmtId="12" fontId="0" fillId="20" borderId="26" xfId="0" applyNumberFormat="1" applyFill="1" applyBorder="1"/>
    <xf numFmtId="0" fontId="27" fillId="20" borderId="26" xfId="0" applyFont="1" applyFill="1" applyBorder="1"/>
    <xf numFmtId="0" fontId="41" fillId="20" borderId="0" xfId="0" applyFont="1" applyFill="1" applyBorder="1" applyAlignment="1">
      <alignment horizontal="center" vertical="center"/>
    </xf>
    <xf numFmtId="0" fontId="41" fillId="20" borderId="30" xfId="0" applyFont="1" applyFill="1" applyBorder="1" applyAlignment="1">
      <alignment horizontal="center" vertical="center"/>
    </xf>
    <xf numFmtId="0" fontId="7" fillId="20" borderId="26" xfId="0" applyFont="1" applyFill="1" applyBorder="1"/>
    <xf numFmtId="0" fontId="41" fillId="20" borderId="33" xfId="0" applyFont="1" applyFill="1" applyBorder="1" applyAlignment="1">
      <alignment horizontal="center" vertical="center"/>
    </xf>
    <xf numFmtId="0" fontId="41" fillId="20" borderId="34" xfId="0" applyFont="1" applyFill="1" applyBorder="1" applyAlignment="1">
      <alignment horizontal="center" vertical="center"/>
    </xf>
    <xf numFmtId="2" fontId="0" fillId="20" borderId="26" xfId="0" applyNumberFormat="1" applyFill="1" applyBorder="1" applyAlignment="1">
      <alignment horizontal="center"/>
    </xf>
    <xf numFmtId="0" fontId="25" fillId="20" borderId="28" xfId="0" applyFont="1" applyFill="1" applyBorder="1" applyAlignment="1">
      <alignment horizontal="center" vertical="center"/>
    </xf>
    <xf numFmtId="0" fontId="25" fillId="20" borderId="37" xfId="0" applyFont="1" applyFill="1" applyBorder="1" applyAlignment="1">
      <alignment horizontal="center" vertical="center"/>
    </xf>
    <xf numFmtId="0" fontId="25" fillId="20" borderId="27" xfId="0" applyFont="1" applyFill="1" applyBorder="1" applyAlignment="1">
      <alignment horizontal="center" vertical="center"/>
    </xf>
    <xf numFmtId="0" fontId="11" fillId="20" borderId="40" xfId="0" applyFont="1" applyFill="1" applyBorder="1" applyAlignment="1">
      <alignment horizontal="center"/>
    </xf>
    <xf numFmtId="0" fontId="41" fillId="20" borderId="31" xfId="0" applyFont="1" applyFill="1" applyBorder="1" applyAlignment="1">
      <alignment horizontal="center" vertical="center"/>
    </xf>
    <xf numFmtId="164" fontId="41" fillId="20" borderId="35" xfId="0" applyNumberFormat="1" applyFont="1" applyFill="1" applyBorder="1" applyAlignment="1">
      <alignment horizontal="center"/>
    </xf>
    <xf numFmtId="0" fontId="41" fillId="20" borderId="40" xfId="0" applyFont="1" applyFill="1" applyBorder="1" applyAlignment="1">
      <alignment horizontal="center" vertical="center"/>
    </xf>
    <xf numFmtId="0" fontId="30" fillId="20" borderId="0" xfId="0" applyFont="1" applyFill="1" applyAlignment="1">
      <alignment horizontal="center"/>
    </xf>
    <xf numFmtId="1" fontId="30" fillId="20" borderId="11" xfId="0" applyNumberFormat="1" applyFont="1" applyFill="1" applyBorder="1" applyAlignment="1">
      <alignment horizontal="center" vertical="center"/>
    </xf>
    <xf numFmtId="166" fontId="0" fillId="20" borderId="26" xfId="0" applyNumberFormat="1" applyFill="1" applyBorder="1"/>
    <xf numFmtId="0" fontId="0" fillId="20" borderId="0" xfId="0" applyNumberFormat="1" applyFill="1"/>
    <xf numFmtId="0" fontId="26" fillId="20" borderId="0" xfId="0" applyFont="1" applyFill="1" applyAlignment="1">
      <alignment horizontal="center" vertical="center"/>
    </xf>
    <xf numFmtId="0" fontId="11" fillId="20" borderId="0" xfId="0" applyFont="1" applyFill="1" applyBorder="1" applyAlignment="1">
      <alignment horizontal="center"/>
    </xf>
    <xf numFmtId="164" fontId="41" fillId="20" borderId="0" xfId="0" applyNumberFormat="1" applyFont="1" applyFill="1" applyBorder="1" applyAlignment="1">
      <alignment horizontal="center"/>
    </xf>
    <xf numFmtId="0" fontId="41" fillId="20" borderId="29" xfId="0" applyFont="1" applyFill="1" applyBorder="1" applyAlignment="1">
      <alignment horizontal="center" vertical="center"/>
    </xf>
    <xf numFmtId="1" fontId="26" fillId="20" borderId="83" xfId="0" applyNumberFormat="1" applyFont="1" applyFill="1" applyBorder="1" applyAlignment="1">
      <alignment horizontal="center" vertical="center"/>
    </xf>
    <xf numFmtId="1" fontId="26" fillId="20" borderId="84" xfId="0" applyNumberFormat="1" applyFont="1" applyFill="1" applyBorder="1" applyAlignment="1">
      <alignment horizontal="center" vertical="center"/>
    </xf>
    <xf numFmtId="1" fontId="26" fillId="20" borderId="85" xfId="0" applyNumberFormat="1" applyFont="1" applyFill="1" applyBorder="1" applyAlignment="1">
      <alignment horizontal="center" vertical="center"/>
    </xf>
    <xf numFmtId="0" fontId="25" fillId="20" borderId="0" xfId="0" applyFont="1" applyFill="1" applyAlignment="1">
      <alignment horizontal="center"/>
    </xf>
    <xf numFmtId="0" fontId="40" fillId="20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12" fontId="0" fillId="20" borderId="1" xfId="0" applyNumberFormat="1" applyFill="1" applyBorder="1"/>
    <xf numFmtId="0" fontId="11" fillId="20" borderId="31" xfId="0" applyFont="1" applyFill="1" applyBorder="1" applyAlignment="1">
      <alignment horizontal="center"/>
    </xf>
    <xf numFmtId="0" fontId="13" fillId="20" borderId="6" xfId="0" applyFont="1" applyFill="1" applyBorder="1" applyAlignment="1">
      <alignment horizontal="center"/>
    </xf>
    <xf numFmtId="0" fontId="13" fillId="20" borderId="5" xfId="0" applyFont="1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3" xfId="0" applyFill="1" applyBorder="1" applyAlignment="1">
      <alignment horizontal="center"/>
    </xf>
    <xf numFmtId="0" fontId="51" fillId="20" borderId="1" xfId="0" applyFont="1" applyFill="1" applyBorder="1" applyAlignment="1">
      <alignment horizontal="center"/>
    </xf>
    <xf numFmtId="0" fontId="12" fillId="20" borderId="1" xfId="0" applyFont="1" applyFill="1" applyBorder="1"/>
    <xf numFmtId="0" fontId="1" fillId="20" borderId="1" xfId="0" applyFont="1" applyFill="1" applyBorder="1"/>
    <xf numFmtId="0" fontId="0" fillId="20" borderId="5" xfId="0" applyFill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0" fillId="20" borderId="3" xfId="0" applyFill="1" applyBorder="1" applyAlignment="1">
      <alignment horizontal="center" vertical="center"/>
    </xf>
    <xf numFmtId="0" fontId="13" fillId="20" borderId="9" xfId="0" applyFont="1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0" fontId="13" fillId="20" borderId="1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colors>
    <mruColors>
      <color rgb="FFFEE5A0"/>
      <color rgb="FFFFFF99"/>
      <color rgb="FFE5FFB7"/>
      <color rgb="FFFEEBD6"/>
      <color rgb="FFB9880F"/>
      <color rgb="FFA1A127"/>
      <color rgb="FFBDC171"/>
      <color rgb="FFF0F1D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plotArea>
      <c:layout>
        <c:manualLayout>
          <c:layoutTarget val="inner"/>
          <c:xMode val="edge"/>
          <c:yMode val="edge"/>
          <c:x val="0.10775248604487818"/>
          <c:y val="9.1996909477224525E-2"/>
          <c:w val="0.69606086651140464"/>
          <c:h val="0.77784436036404714"/>
        </c:manualLayout>
      </c:layout>
      <c:lineChart>
        <c:grouping val="standard"/>
        <c:ser>
          <c:idx val="0"/>
          <c:order val="0"/>
          <c:tx>
            <c:v>P150HP(PF)</c:v>
          </c:tx>
          <c:cat>
            <c:numRef>
              <c:f>'Potencia Disponible Arrastre OK'!$B$123:$B$131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OK'!$C$123:$C$131</c:f>
              <c:numCache>
                <c:formatCode>0.00</c:formatCode>
                <c:ptCount val="9"/>
                <c:pt idx="0">
                  <c:v>4183.4475000000002</c:v>
                </c:pt>
                <c:pt idx="1">
                  <c:v>2788.9650000000001</c:v>
                </c:pt>
                <c:pt idx="2">
                  <c:v>2091.7237500000001</c:v>
                </c:pt>
                <c:pt idx="3">
                  <c:v>1673.3790000000001</c:v>
                </c:pt>
                <c:pt idx="4">
                  <c:v>1394.4825000000001</c:v>
                </c:pt>
                <c:pt idx="5">
                  <c:v>1195.2707142857143</c:v>
                </c:pt>
                <c:pt idx="6">
                  <c:v>1045.8618750000001</c:v>
                </c:pt>
                <c:pt idx="7">
                  <c:v>929.65500000000009</c:v>
                </c:pt>
                <c:pt idx="8">
                  <c:v>836.68950000000007</c:v>
                </c:pt>
              </c:numCache>
            </c:numRef>
          </c:val>
        </c:ser>
        <c:ser>
          <c:idx val="1"/>
          <c:order val="1"/>
          <c:tx>
            <c:v>P180HP(PF)</c:v>
          </c:tx>
          <c:cat>
            <c:numRef>
              <c:f>'Potencia Disponible Arrastre OK'!$B$123:$B$131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OK'!$D$123:$D$131</c:f>
              <c:numCache>
                <c:formatCode>0.00</c:formatCode>
                <c:ptCount val="9"/>
                <c:pt idx="0">
                  <c:v>5014.5935624999993</c:v>
                </c:pt>
                <c:pt idx="1">
                  <c:v>3343.062375</c:v>
                </c:pt>
                <c:pt idx="2">
                  <c:v>2507.2967812499996</c:v>
                </c:pt>
                <c:pt idx="3">
                  <c:v>2005.8374250000004</c:v>
                </c:pt>
                <c:pt idx="4">
                  <c:v>1671.5311875</c:v>
                </c:pt>
                <c:pt idx="5">
                  <c:v>1432.7410178571429</c:v>
                </c:pt>
                <c:pt idx="6">
                  <c:v>1253.6483906249998</c:v>
                </c:pt>
                <c:pt idx="7">
                  <c:v>1114.3541250000001</c:v>
                </c:pt>
                <c:pt idx="8">
                  <c:v>1002.9187125000002</c:v>
                </c:pt>
              </c:numCache>
            </c:numRef>
          </c:val>
        </c:ser>
        <c:ser>
          <c:idx val="2"/>
          <c:order val="2"/>
          <c:tx>
            <c:v>P150HP(PV)</c:v>
          </c:tx>
          <c:cat>
            <c:numRef>
              <c:f>'Potencia Disponible Arrastre OK'!$B$123:$B$131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OK'!$E$123:$E$131</c:f>
              <c:numCache>
                <c:formatCode>0.00</c:formatCode>
                <c:ptCount val="9"/>
                <c:pt idx="0">
                  <c:v>5429.4932812499992</c:v>
                </c:pt>
                <c:pt idx="1">
                  <c:v>3619.6621874999996</c:v>
                </c:pt>
                <c:pt idx="2">
                  <c:v>2714.7466406249996</c:v>
                </c:pt>
                <c:pt idx="3">
                  <c:v>2171.7973124999999</c:v>
                </c:pt>
                <c:pt idx="4">
                  <c:v>1809.8310937499998</c:v>
                </c:pt>
                <c:pt idx="5">
                  <c:v>1551.2837946428569</c:v>
                </c:pt>
                <c:pt idx="6">
                  <c:v>1357.3733203124998</c:v>
                </c:pt>
                <c:pt idx="7">
                  <c:v>1206.5540624999999</c:v>
                </c:pt>
                <c:pt idx="8">
                  <c:v>1085.8986562499999</c:v>
                </c:pt>
              </c:numCache>
            </c:numRef>
          </c:val>
        </c:ser>
        <c:ser>
          <c:idx val="3"/>
          <c:order val="3"/>
          <c:tx>
            <c:v>P180HP(PV)</c:v>
          </c:tx>
          <c:cat>
            <c:numRef>
              <c:f>'Potencia Disponible Arrastre OK'!$B$123:$B$131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OK'!$F$123:$F$131</c:f>
              <c:numCache>
                <c:formatCode>0.00</c:formatCode>
                <c:ptCount val="9"/>
                <c:pt idx="0">
                  <c:v>6510.1066874999997</c:v>
                </c:pt>
                <c:pt idx="1">
                  <c:v>4340.0711249999995</c:v>
                </c:pt>
                <c:pt idx="2">
                  <c:v>3255.0533437499998</c:v>
                </c:pt>
                <c:pt idx="3">
                  <c:v>2604.0426749999997</c:v>
                </c:pt>
                <c:pt idx="4">
                  <c:v>2170.0355624999997</c:v>
                </c:pt>
                <c:pt idx="5">
                  <c:v>1860.030482142857</c:v>
                </c:pt>
                <c:pt idx="6">
                  <c:v>1627.5266718749999</c:v>
                </c:pt>
                <c:pt idx="7">
                  <c:v>1446.6903749999997</c:v>
                </c:pt>
                <c:pt idx="8">
                  <c:v>1302.0213374999998</c:v>
                </c:pt>
              </c:numCache>
            </c:numRef>
          </c:val>
        </c:ser>
        <c:ser>
          <c:idx val="4"/>
          <c:order val="4"/>
          <c:tx>
            <c:strRef>
              <c:f>'Potencia Disponible Arrastre OK'!$I$120:$I$122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OK'!$I$123:$I$131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OK'!$J$120:$J$122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OK'!$J$123:$J$131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65070592"/>
        <c:axId val="60227584"/>
      </c:lineChart>
      <c:catAx>
        <c:axId val="65070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rPr lang="es-ES"/>
                  <a:t>Velocidad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0227584"/>
        <c:crosses val="autoZero"/>
        <c:auto val="1"/>
        <c:lblAlgn val="ctr"/>
        <c:lblOffset val="100"/>
      </c:catAx>
      <c:valAx>
        <c:axId val="602275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rPr lang="es-ES"/>
                  <a:t>P [Kgf]</a:t>
                </a:r>
              </a:p>
            </c:rich>
          </c:tx>
          <c:layout/>
        </c:title>
        <c:numFmt formatCode="0.00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5070592"/>
        <c:crossesAt val="1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chart>
    <c:plotArea>
      <c:layout>
        <c:manualLayout>
          <c:layoutTarget val="inner"/>
          <c:xMode val="edge"/>
          <c:yMode val="edge"/>
          <c:x val="9.7299891455476795E-2"/>
          <c:y val="5.1500493384618484E-2"/>
          <c:w val="0.67329478006120602"/>
          <c:h val="0.77906760376180595"/>
        </c:manualLayout>
      </c:layout>
      <c:lineChart>
        <c:grouping val="standard"/>
        <c:ser>
          <c:idx val="0"/>
          <c:order val="0"/>
          <c:tx>
            <c:v>Tiro 150 HP [Kgf]</c:v>
          </c:tx>
          <c:cat>
            <c:numRef>
              <c:f>'Potencia Disponible Arrastre OK'!$G$171:$G$179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OK'!$K$171:$K$179</c:f>
              <c:numCache>
                <c:formatCode>0.000</c:formatCode>
                <c:ptCount val="9"/>
                <c:pt idx="0">
                  <c:v>1969.8443579766536</c:v>
                </c:pt>
                <c:pt idx="1">
                  <c:v>1313.2295719844358</c:v>
                </c:pt>
                <c:pt idx="2">
                  <c:v>984.92217898832678</c:v>
                </c:pt>
                <c:pt idx="3">
                  <c:v>787.93774319066142</c:v>
                </c:pt>
                <c:pt idx="4">
                  <c:v>656.61478599221778</c:v>
                </c:pt>
                <c:pt idx="5">
                  <c:v>562.8126737076152</c:v>
                </c:pt>
                <c:pt idx="6">
                  <c:v>492.46108949416333</c:v>
                </c:pt>
                <c:pt idx="7">
                  <c:v>437.74319066147848</c:v>
                </c:pt>
                <c:pt idx="8">
                  <c:v>393.96887159533065</c:v>
                </c:pt>
              </c:numCache>
            </c:numRef>
          </c:val>
        </c:ser>
        <c:ser>
          <c:idx val="1"/>
          <c:order val="1"/>
          <c:tx>
            <c:v>Tiro 180 HP [Kgf]</c:v>
          </c:tx>
          <c:cat>
            <c:numRef>
              <c:f>'Potencia Disponible Arrastre OK'!$G$171:$G$179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OK'!$L$171:$L$179</c:f>
              <c:numCache>
                <c:formatCode>0.000</c:formatCode>
                <c:ptCount val="9"/>
                <c:pt idx="0">
                  <c:v>2363.8132295719843</c:v>
                </c:pt>
                <c:pt idx="1">
                  <c:v>1575.8754863813228</c:v>
                </c:pt>
                <c:pt idx="2">
                  <c:v>1181.9066147859921</c:v>
                </c:pt>
                <c:pt idx="3">
                  <c:v>945.52529182879368</c:v>
                </c:pt>
                <c:pt idx="4">
                  <c:v>787.93774319066131</c:v>
                </c:pt>
                <c:pt idx="5">
                  <c:v>675.37520844913831</c:v>
                </c:pt>
                <c:pt idx="6">
                  <c:v>590.95330739299595</c:v>
                </c:pt>
                <c:pt idx="7">
                  <c:v>525.29182879377413</c:v>
                </c:pt>
                <c:pt idx="8">
                  <c:v>472.76264591439673</c:v>
                </c:pt>
              </c:numCache>
            </c:numRef>
          </c:val>
        </c:ser>
        <c:ser>
          <c:idx val="2"/>
          <c:order val="2"/>
          <c:tx>
            <c:strRef>
              <c:f>'Potencia Disponible Arrastre OK'!$I$168:$I$170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OK'!$I$171:$I$179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3"/>
          <c:order val="3"/>
          <c:tx>
            <c:strRef>
              <c:f>'Potencia Disponible Arrastre OK'!$J$168:$J$170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OK'!$J$171:$J$179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60265600"/>
        <c:axId val="60267520"/>
      </c:lineChart>
      <c:catAx>
        <c:axId val="60265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Velocidad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60267520"/>
        <c:crosses val="autoZero"/>
        <c:auto val="1"/>
        <c:lblAlgn val="ctr"/>
        <c:lblOffset val="100"/>
      </c:catAx>
      <c:valAx>
        <c:axId val="602675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Tiro [Kgf]</a:t>
                </a:r>
              </a:p>
            </c:rich>
          </c:tx>
          <c:layout/>
        </c:title>
        <c:numFmt formatCode="0" sourceLinked="0"/>
        <c:tickLblPos val="nextTo"/>
        <c:crossAx val="602656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T150HP (PF)</c:v>
          </c:tx>
          <c:cat>
            <c:numRef>
              <c:f>'Potencia Disponible Arrastre OK'!$A$272:$A$280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OK'!$E$272:$E$280</c:f>
              <c:numCache>
                <c:formatCode>0</c:formatCode>
                <c:ptCount val="9"/>
                <c:pt idx="0">
                  <c:v>4064.155448094868</c:v>
                </c:pt>
                <c:pt idx="1">
                  <c:v>2709.4369653965787</c:v>
                </c:pt>
                <c:pt idx="2">
                  <c:v>2032.077724047434</c:v>
                </c:pt>
                <c:pt idx="3">
                  <c:v>1625.6621792379472</c:v>
                </c:pt>
                <c:pt idx="4">
                  <c:v>1354.7184826982891</c:v>
                </c:pt>
                <c:pt idx="5">
                  <c:v>1161.1872708842479</c:v>
                </c:pt>
                <c:pt idx="6">
                  <c:v>1016.038862023717</c:v>
                </c:pt>
                <c:pt idx="7">
                  <c:v>903.14565513219281</c:v>
                </c:pt>
                <c:pt idx="8">
                  <c:v>812.83108961897358</c:v>
                </c:pt>
              </c:numCache>
            </c:numRef>
          </c:val>
        </c:ser>
        <c:ser>
          <c:idx val="1"/>
          <c:order val="1"/>
          <c:tx>
            <c:v>T150HP (PV+T)</c:v>
          </c:tx>
          <c:cat>
            <c:numRef>
              <c:f>'Potencia Disponible Arrastre OK'!$A$272:$A$280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OK'!$F$272:$F$280</c:f>
              <c:numCache>
                <c:formatCode>0</c:formatCode>
                <c:ptCount val="9"/>
                <c:pt idx="0">
                  <c:v>4600.9306959564547</c:v>
                </c:pt>
                <c:pt idx="1">
                  <c:v>3067.2871306376364</c:v>
                </c:pt>
                <c:pt idx="2">
                  <c:v>2300.4653479782273</c:v>
                </c:pt>
                <c:pt idx="3">
                  <c:v>1840.3722783825815</c:v>
                </c:pt>
                <c:pt idx="4">
                  <c:v>1533.643565318818</c:v>
                </c:pt>
                <c:pt idx="5">
                  <c:v>1314.5516274161298</c:v>
                </c:pt>
                <c:pt idx="6">
                  <c:v>1150.2326739891137</c:v>
                </c:pt>
                <c:pt idx="7">
                  <c:v>1022.4290435458787</c:v>
                </c:pt>
                <c:pt idx="8">
                  <c:v>920.18613919129075</c:v>
                </c:pt>
              </c:numCache>
            </c:numRef>
          </c:val>
        </c:ser>
        <c:ser>
          <c:idx val="2"/>
          <c:order val="2"/>
          <c:tx>
            <c:v>T180HP (PF)</c:v>
          </c:tx>
          <c:cat>
            <c:numRef>
              <c:f>'Potencia Disponible Arrastre OK'!$A$272:$A$280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OK'!$G$272:$G$280</c:f>
              <c:numCache>
                <c:formatCode>0</c:formatCode>
                <c:ptCount val="9"/>
                <c:pt idx="0">
                  <c:v>4876.9865377138412</c:v>
                </c:pt>
                <c:pt idx="1">
                  <c:v>3251.3243584758943</c:v>
                </c:pt>
                <c:pt idx="2">
                  <c:v>2438.4932688569206</c:v>
                </c:pt>
                <c:pt idx="3">
                  <c:v>1950.7946150855362</c:v>
                </c:pt>
                <c:pt idx="4">
                  <c:v>1625.6621792379467</c:v>
                </c:pt>
                <c:pt idx="5">
                  <c:v>1393.4247250610974</c:v>
                </c:pt>
                <c:pt idx="6">
                  <c:v>1219.2466344284603</c:v>
                </c:pt>
                <c:pt idx="7">
                  <c:v>1083.7747861586313</c:v>
                </c:pt>
                <c:pt idx="8">
                  <c:v>975.39730754276809</c:v>
                </c:pt>
              </c:numCache>
            </c:numRef>
          </c:val>
        </c:ser>
        <c:ser>
          <c:idx val="3"/>
          <c:order val="3"/>
          <c:tx>
            <c:v>T180HP (PV+T)</c:v>
          </c:tx>
          <c:cat>
            <c:numRef>
              <c:f>'Potencia Disponible Arrastre OK'!$A$272:$A$280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OK'!$H$272:$H$280</c:f>
              <c:numCache>
                <c:formatCode>0</c:formatCode>
                <c:ptCount val="9"/>
                <c:pt idx="0">
                  <c:v>5521.1168351477445</c:v>
                </c:pt>
                <c:pt idx="1">
                  <c:v>3680.744556765163</c:v>
                </c:pt>
                <c:pt idx="2">
                  <c:v>2760.5584175738722</c:v>
                </c:pt>
                <c:pt idx="3">
                  <c:v>2208.4467340590977</c:v>
                </c:pt>
                <c:pt idx="4">
                  <c:v>1840.3722783825813</c:v>
                </c:pt>
                <c:pt idx="5">
                  <c:v>1577.4619528993555</c:v>
                </c:pt>
                <c:pt idx="6">
                  <c:v>1380.2792087869361</c:v>
                </c:pt>
                <c:pt idx="7">
                  <c:v>1226.9148522550543</c:v>
                </c:pt>
                <c:pt idx="8">
                  <c:v>1104.2233670295489</c:v>
                </c:pt>
              </c:numCache>
            </c:numRef>
          </c:val>
        </c:ser>
        <c:ser>
          <c:idx val="4"/>
          <c:order val="4"/>
          <c:tx>
            <c:strRef>
              <c:f>'Potencia Disponible Arrastre OK'!$C$269:$C$271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OK'!$C$272:$C$280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OK'!$D$269:$D$271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OK'!$D$272:$D$280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67936640"/>
        <c:axId val="67938560"/>
      </c:lineChart>
      <c:catAx>
        <c:axId val="679366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t>Velocidad</a:t>
                </a:r>
                <a:r>
                  <a:rPr baseline="0"/>
                  <a:t> [Nudos]</a:t>
                </a:r>
                <a:endParaRPr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7938560"/>
        <c:crosses val="autoZero"/>
        <c:auto val="1"/>
        <c:lblAlgn val="ctr"/>
        <c:lblOffset val="100"/>
      </c:catAx>
      <c:valAx>
        <c:axId val="6793856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t>Tiro</a:t>
                </a:r>
                <a:r>
                  <a:rPr baseline="0"/>
                  <a:t> (Kgf)</a:t>
                </a:r>
                <a:endParaRPr/>
              </a:p>
            </c:rich>
          </c:tx>
          <c:layout/>
        </c:title>
        <c:numFmt formatCode="0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793664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'Potencia Disponible Arrastre OK'!$D$296</c:f>
              <c:strCache>
                <c:ptCount val="1"/>
                <c:pt idx="0">
                  <c:v>Fridman</c:v>
                </c:pt>
              </c:strCache>
            </c:strRef>
          </c:tx>
          <c:cat>
            <c:numRef>
              <c:f>'Potencia Disponible Arrastre OK'!$A$300:$A$308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OK'!$D$300:$D$308</c:f>
              <c:numCache>
                <c:formatCode>General</c:formatCode>
                <c:ptCount val="9"/>
                <c:pt idx="0">
                  <c:v>1395</c:v>
                </c:pt>
                <c:pt idx="1">
                  <c:v>1342.5</c:v>
                </c:pt>
                <c:pt idx="2">
                  <c:v>1290</c:v>
                </c:pt>
                <c:pt idx="3">
                  <c:v>1237.5</c:v>
                </c:pt>
                <c:pt idx="4">
                  <c:v>1185</c:v>
                </c:pt>
                <c:pt idx="5">
                  <c:v>1132.5</c:v>
                </c:pt>
                <c:pt idx="6">
                  <c:v>1080</c:v>
                </c:pt>
                <c:pt idx="7">
                  <c:v>1027.5</c:v>
                </c:pt>
                <c:pt idx="8">
                  <c:v>975</c:v>
                </c:pt>
              </c:numCache>
            </c:numRef>
          </c:val>
        </c:ser>
        <c:ser>
          <c:idx val="1"/>
          <c:order val="1"/>
          <c:tx>
            <c:strRef>
              <c:f>'Potencia Disponible Arrastre OK'!$E$296</c:f>
              <c:strCache>
                <c:ptCount val="1"/>
                <c:pt idx="0">
                  <c:v>Prado, Dremiere</c:v>
                </c:pt>
              </c:strCache>
            </c:strRef>
          </c:tx>
          <c:cat>
            <c:numRef>
              <c:f>'Potencia Disponible Arrastre OK'!$A$300:$A$308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OK'!$E$300:$E$308</c:f>
              <c:numCache>
                <c:formatCode>0</c:formatCode>
                <c:ptCount val="9"/>
                <c:pt idx="0">
                  <c:v>3824.9718750000006</c:v>
                </c:pt>
                <c:pt idx="1">
                  <c:v>2549.9812500000003</c:v>
                </c:pt>
                <c:pt idx="2">
                  <c:v>1912.4859375000003</c:v>
                </c:pt>
                <c:pt idx="3">
                  <c:v>1529.9887499999998</c:v>
                </c:pt>
                <c:pt idx="4">
                  <c:v>1274.9906250000001</c:v>
                </c:pt>
                <c:pt idx="5">
                  <c:v>1092.8491071428573</c:v>
                </c:pt>
                <c:pt idx="6">
                  <c:v>956.24296875000016</c:v>
                </c:pt>
                <c:pt idx="7">
                  <c:v>849.99374999999998</c:v>
                </c:pt>
                <c:pt idx="8">
                  <c:v>764.99437499999988</c:v>
                </c:pt>
              </c:numCache>
            </c:numRef>
          </c:val>
        </c:ser>
        <c:ser>
          <c:idx val="2"/>
          <c:order val="2"/>
          <c:tx>
            <c:strRef>
              <c:f>'Potencia Disponible Arrastre OK'!$F$296</c:f>
              <c:strCache>
                <c:ptCount val="1"/>
                <c:pt idx="0">
                  <c:v>Koyama</c:v>
                </c:pt>
              </c:strCache>
            </c:strRef>
          </c:tx>
          <c:cat>
            <c:numRef>
              <c:f>'Potencia Disponible Arrastre OK'!$A$300:$A$308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OK'!$F$300:$F$308</c:f>
              <c:numCache>
                <c:formatCode>0</c:formatCode>
                <c:ptCount val="9"/>
                <c:pt idx="0">
                  <c:v>2382.3529411764707</c:v>
                </c:pt>
                <c:pt idx="1">
                  <c:v>1577.922077922078</c:v>
                </c:pt>
                <c:pt idx="2">
                  <c:v>1179.6116504854369</c:v>
                </c:pt>
                <c:pt idx="3">
                  <c:v>941.86046511627899</c:v>
                </c:pt>
                <c:pt idx="4">
                  <c:v>783.87096774193549</c:v>
                </c:pt>
                <c:pt idx="5">
                  <c:v>671.27071823204415</c:v>
                </c:pt>
                <c:pt idx="6">
                  <c:v>586.95652173913049</c:v>
                </c:pt>
                <c:pt idx="7">
                  <c:v>521.45922746781116</c:v>
                </c:pt>
                <c:pt idx="8">
                  <c:v>469.11196911196913</c:v>
                </c:pt>
              </c:numCache>
            </c:numRef>
          </c:val>
        </c:ser>
        <c:ser>
          <c:idx val="5"/>
          <c:order val="3"/>
          <c:tx>
            <c:strRef>
              <c:f>'Potencia Disponible Arrastre OK'!$G$296</c:f>
              <c:strCache>
                <c:ptCount val="1"/>
                <c:pt idx="0">
                  <c:v>Nomura</c:v>
                </c:pt>
              </c:strCache>
            </c:strRef>
          </c:tx>
          <c:val>
            <c:numRef>
              <c:f>'Potencia Disponible Arrastre OK'!$G$300:$G$308</c:f>
              <c:numCache>
                <c:formatCode>0</c:formatCode>
                <c:ptCount val="9"/>
                <c:pt idx="0">
                  <c:v>2150.6322957198445</c:v>
                </c:pt>
                <c:pt idx="1">
                  <c:v>1433.7548638132298</c:v>
                </c:pt>
                <c:pt idx="2">
                  <c:v>1075.3161478599222</c:v>
                </c:pt>
                <c:pt idx="3">
                  <c:v>860.25291828793775</c:v>
                </c:pt>
                <c:pt idx="4">
                  <c:v>716.87743190661479</c:v>
                </c:pt>
                <c:pt idx="5">
                  <c:v>614.46637020566982</c:v>
                </c:pt>
                <c:pt idx="6">
                  <c:v>537.65807392996101</c:v>
                </c:pt>
                <c:pt idx="7">
                  <c:v>477.91828793774312</c:v>
                </c:pt>
                <c:pt idx="8">
                  <c:v>430.12645914396882</c:v>
                </c:pt>
              </c:numCache>
            </c:numRef>
          </c:val>
        </c:ser>
        <c:ser>
          <c:idx val="3"/>
          <c:order val="4"/>
          <c:tx>
            <c:strRef>
              <c:f>'Potencia Disponible Arrastre OK'!$H$296</c:f>
              <c:strCache>
                <c:ptCount val="1"/>
                <c:pt idx="0">
                  <c:v>Hamuro </c:v>
                </c:pt>
              </c:strCache>
            </c:strRef>
          </c:tx>
          <c:cat>
            <c:numRef>
              <c:f>'Potencia Disponible Arrastre OK'!$A$300:$A$308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OK'!$H$300:$H$308</c:f>
              <c:numCache>
                <c:formatCode>0</c:formatCode>
                <c:ptCount val="9"/>
                <c:pt idx="0">
                  <c:v>4064.155448094868</c:v>
                </c:pt>
                <c:pt idx="1">
                  <c:v>2709.4369653965787</c:v>
                </c:pt>
                <c:pt idx="2">
                  <c:v>2032.077724047434</c:v>
                </c:pt>
                <c:pt idx="3">
                  <c:v>1625.6621792379472</c:v>
                </c:pt>
                <c:pt idx="4">
                  <c:v>1354.7184826982891</c:v>
                </c:pt>
                <c:pt idx="5">
                  <c:v>1161.1872708842479</c:v>
                </c:pt>
                <c:pt idx="6">
                  <c:v>1016.038862023717</c:v>
                </c:pt>
                <c:pt idx="7">
                  <c:v>903.14565513219281</c:v>
                </c:pt>
                <c:pt idx="8">
                  <c:v>812.83108961897358</c:v>
                </c:pt>
              </c:numCache>
            </c:numRef>
          </c:val>
        </c:ser>
        <c:ser>
          <c:idx val="4"/>
          <c:order val="5"/>
          <c:tx>
            <c:strRef>
              <c:f>'Potencia Disponible Arrastre OK'!$I$296</c:f>
              <c:strCache>
                <c:ptCount val="1"/>
                <c:pt idx="0">
                  <c:v>Promedio</c:v>
                </c:pt>
              </c:strCache>
            </c:strRef>
          </c:tx>
          <c:cat>
            <c:numRef>
              <c:f>'Potencia Disponible Arrastre OK'!$A$300:$A$308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OK'!$I$300:$I$308</c:f>
              <c:numCache>
                <c:formatCode>0</c:formatCode>
                <c:ptCount val="9"/>
                <c:pt idx="0">
                  <c:v>2763.4225119982366</c:v>
                </c:pt>
                <c:pt idx="1">
                  <c:v>1922.7190314263776</c:v>
                </c:pt>
                <c:pt idx="2">
                  <c:v>1497.8982919785587</c:v>
                </c:pt>
                <c:pt idx="3">
                  <c:v>1239.0528625284328</c:v>
                </c:pt>
                <c:pt idx="4">
                  <c:v>1063.0915014693678</c:v>
                </c:pt>
                <c:pt idx="5">
                  <c:v>934.45469329296395</c:v>
                </c:pt>
                <c:pt idx="6">
                  <c:v>835.37928528856173</c:v>
                </c:pt>
                <c:pt idx="7">
                  <c:v>756.00338410754944</c:v>
                </c:pt>
                <c:pt idx="8">
                  <c:v>690.41277857498233</c:v>
                </c:pt>
              </c:numCache>
            </c:numRef>
          </c:val>
        </c:ser>
        <c:ser>
          <c:idx val="6"/>
          <c:order val="6"/>
          <c:tx>
            <c:strRef>
              <c:f>'Potencia Disponible Arrastre OK'!$B$297:$B$299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OK'!$B$300:$B$308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7"/>
          <c:order val="7"/>
          <c:tx>
            <c:strRef>
              <c:f>'Potencia Disponible Arrastre OK'!$C$297:$C$299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OK'!$C$300:$C$308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67887104"/>
        <c:axId val="67889024"/>
      </c:lineChart>
      <c:catAx>
        <c:axId val="67887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t>Velocidad</a:t>
                </a:r>
                <a:r>
                  <a:rPr baseline="0"/>
                  <a:t> [Nudos]</a:t>
                </a:r>
                <a:endParaRPr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7889024"/>
        <c:crosses val="autoZero"/>
        <c:auto val="1"/>
        <c:lblAlgn val="ctr"/>
        <c:lblOffset val="100"/>
      </c:catAx>
      <c:valAx>
        <c:axId val="6788902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t>Tiro</a:t>
                </a:r>
                <a:r>
                  <a:rPr baseline="0"/>
                  <a:t> [KgF]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7887104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'Potencia Disponible Arrastre OK'!$D$315</c:f>
              <c:strCache>
                <c:ptCount val="1"/>
                <c:pt idx="0">
                  <c:v>Fridman</c:v>
                </c:pt>
              </c:strCache>
            </c:strRef>
          </c:tx>
          <c:val>
            <c:numRef>
              <c:f>'Potencia Disponible Arrastre OK'!$D$319:$D$327</c:f>
              <c:numCache>
                <c:formatCode>0</c:formatCode>
                <c:ptCount val="9"/>
                <c:pt idx="0">
                  <c:v>2145</c:v>
                </c:pt>
                <c:pt idx="1">
                  <c:v>2092.5</c:v>
                </c:pt>
                <c:pt idx="2">
                  <c:v>2040</c:v>
                </c:pt>
                <c:pt idx="3">
                  <c:v>1987.5</c:v>
                </c:pt>
                <c:pt idx="4">
                  <c:v>1935</c:v>
                </c:pt>
                <c:pt idx="5">
                  <c:v>1882.5</c:v>
                </c:pt>
                <c:pt idx="6">
                  <c:v>1830</c:v>
                </c:pt>
                <c:pt idx="7">
                  <c:v>1777.5</c:v>
                </c:pt>
                <c:pt idx="8">
                  <c:v>1725</c:v>
                </c:pt>
              </c:numCache>
            </c:numRef>
          </c:val>
        </c:ser>
        <c:ser>
          <c:idx val="1"/>
          <c:order val="1"/>
          <c:tx>
            <c:strRef>
              <c:f>'Potencia Disponible Arrastre OK'!$E$315</c:f>
              <c:strCache>
                <c:ptCount val="1"/>
                <c:pt idx="0">
                  <c:v>Prado, Dremiere</c:v>
                </c:pt>
              </c:strCache>
            </c:strRef>
          </c:tx>
          <c:val>
            <c:numRef>
              <c:f>'Potencia Disponible Arrastre OK'!$E$319:$E$327</c:f>
              <c:numCache>
                <c:formatCode>0</c:formatCode>
                <c:ptCount val="9"/>
                <c:pt idx="0">
                  <c:v>5252.2171875000004</c:v>
                </c:pt>
                <c:pt idx="1">
                  <c:v>3501.4781250000001</c:v>
                </c:pt>
                <c:pt idx="2">
                  <c:v>2626.1085937500002</c:v>
                </c:pt>
                <c:pt idx="3">
                  <c:v>2100.8868750000001</c:v>
                </c:pt>
                <c:pt idx="4">
                  <c:v>1750.7390625</c:v>
                </c:pt>
                <c:pt idx="5">
                  <c:v>1500.6334821428572</c:v>
                </c:pt>
                <c:pt idx="6">
                  <c:v>1313.0542968750001</c:v>
                </c:pt>
                <c:pt idx="7">
                  <c:v>1167.159375</c:v>
                </c:pt>
                <c:pt idx="8">
                  <c:v>1050.4434375000001</c:v>
                </c:pt>
              </c:numCache>
            </c:numRef>
          </c:val>
        </c:ser>
        <c:ser>
          <c:idx val="2"/>
          <c:order val="2"/>
          <c:tx>
            <c:strRef>
              <c:f>'Potencia Disponible Arrastre OK'!$F$315</c:f>
              <c:strCache>
                <c:ptCount val="1"/>
                <c:pt idx="0">
                  <c:v>Koyama</c:v>
                </c:pt>
              </c:strCache>
            </c:strRef>
          </c:tx>
          <c:val>
            <c:numRef>
              <c:f>'Potencia Disponible Arrastre OK'!$F$319:$F$327</c:f>
              <c:numCache>
                <c:formatCode>0</c:formatCode>
                <c:ptCount val="9"/>
                <c:pt idx="0">
                  <c:v>1985.2941176470588</c:v>
                </c:pt>
                <c:pt idx="1">
                  <c:v>1314.9350649350649</c:v>
                </c:pt>
                <c:pt idx="2">
                  <c:v>983.009708737864</c:v>
                </c:pt>
                <c:pt idx="3">
                  <c:v>784.88372093023258</c:v>
                </c:pt>
                <c:pt idx="4">
                  <c:v>653.22580645161293</c:v>
                </c:pt>
                <c:pt idx="5">
                  <c:v>559.39226519337012</c:v>
                </c:pt>
                <c:pt idx="6">
                  <c:v>489.13043478260875</c:v>
                </c:pt>
                <c:pt idx="7">
                  <c:v>434.54935622317595</c:v>
                </c:pt>
                <c:pt idx="8">
                  <c:v>390.92664092664097</c:v>
                </c:pt>
              </c:numCache>
            </c:numRef>
          </c:val>
        </c:ser>
        <c:ser>
          <c:idx val="5"/>
          <c:order val="3"/>
          <c:tx>
            <c:strRef>
              <c:f>'Potencia Disponible Arrastre OK'!$G$315</c:f>
              <c:strCache>
                <c:ptCount val="1"/>
                <c:pt idx="0">
                  <c:v>Nomura</c:v>
                </c:pt>
              </c:strCache>
            </c:strRef>
          </c:tx>
          <c:val>
            <c:numRef>
              <c:f>'Potencia Disponible Arrastre OK'!$G$319:$G$327</c:f>
              <c:numCache>
                <c:formatCode>0</c:formatCode>
                <c:ptCount val="9"/>
                <c:pt idx="0">
                  <c:v>4600.9306959564547</c:v>
                </c:pt>
                <c:pt idx="1">
                  <c:v>3067.2871306376364</c:v>
                </c:pt>
                <c:pt idx="2">
                  <c:v>2300.4653479782273</c:v>
                </c:pt>
                <c:pt idx="3">
                  <c:v>1840.3722783825815</c:v>
                </c:pt>
                <c:pt idx="4">
                  <c:v>1533.643565318818</c:v>
                </c:pt>
                <c:pt idx="5">
                  <c:v>1314.5516274161298</c:v>
                </c:pt>
                <c:pt idx="6">
                  <c:v>1150.2326739891137</c:v>
                </c:pt>
                <c:pt idx="7">
                  <c:v>1022.4290435458787</c:v>
                </c:pt>
                <c:pt idx="8">
                  <c:v>920.18613919129075</c:v>
                </c:pt>
              </c:numCache>
            </c:numRef>
          </c:val>
        </c:ser>
        <c:ser>
          <c:idx val="3"/>
          <c:order val="4"/>
          <c:tx>
            <c:strRef>
              <c:f>'Potencia Disponible Arrastre OK'!$H$315</c:f>
              <c:strCache>
                <c:ptCount val="1"/>
                <c:pt idx="0">
                  <c:v>Hamuro </c:v>
                </c:pt>
              </c:strCache>
            </c:strRef>
          </c:tx>
          <c:val>
            <c:numRef>
              <c:f>'Potencia Disponible Arrastre OK'!$H$319:$H$327</c:f>
              <c:numCache>
                <c:formatCode>0</c:formatCode>
                <c:ptCount val="9"/>
                <c:pt idx="0">
                  <c:v>4600.9306959564547</c:v>
                </c:pt>
                <c:pt idx="1">
                  <c:v>3067.2871306376364</c:v>
                </c:pt>
                <c:pt idx="2">
                  <c:v>2300.4653479782273</c:v>
                </c:pt>
                <c:pt idx="3">
                  <c:v>1840.3722783825815</c:v>
                </c:pt>
                <c:pt idx="4">
                  <c:v>1533.643565318818</c:v>
                </c:pt>
                <c:pt idx="5">
                  <c:v>1314.5516274161298</c:v>
                </c:pt>
                <c:pt idx="6">
                  <c:v>1150.2326739891137</c:v>
                </c:pt>
                <c:pt idx="7">
                  <c:v>1022.4290435458787</c:v>
                </c:pt>
                <c:pt idx="8">
                  <c:v>920.18613919129075</c:v>
                </c:pt>
              </c:numCache>
            </c:numRef>
          </c:val>
        </c:ser>
        <c:ser>
          <c:idx val="4"/>
          <c:order val="5"/>
          <c:tx>
            <c:strRef>
              <c:f>'Potencia Disponible Arrastre OK'!$I$315</c:f>
              <c:strCache>
                <c:ptCount val="1"/>
                <c:pt idx="0">
                  <c:v>Promedio</c:v>
                </c:pt>
              </c:strCache>
            </c:strRef>
          </c:tx>
          <c:val>
            <c:numRef>
              <c:f>'Potencia Disponible Arrastre OK'!$I$319:$I$327</c:f>
              <c:numCache>
                <c:formatCode>0</c:formatCode>
                <c:ptCount val="9"/>
                <c:pt idx="0">
                  <c:v>3716.8745394119933</c:v>
                </c:pt>
                <c:pt idx="1">
                  <c:v>2608.6974902420675</c:v>
                </c:pt>
                <c:pt idx="2">
                  <c:v>2050.0097996888639</c:v>
                </c:pt>
                <c:pt idx="3">
                  <c:v>1710.8030305390791</c:v>
                </c:pt>
                <c:pt idx="4">
                  <c:v>1481.2503999178498</c:v>
                </c:pt>
                <c:pt idx="5">
                  <c:v>1314.3258004336974</c:v>
                </c:pt>
                <c:pt idx="6">
                  <c:v>1186.5300159271671</c:v>
                </c:pt>
                <c:pt idx="7">
                  <c:v>1084.8133636629868</c:v>
                </c:pt>
                <c:pt idx="8">
                  <c:v>1001.3484713618445</c:v>
                </c:pt>
              </c:numCache>
            </c:numRef>
          </c:val>
        </c:ser>
        <c:ser>
          <c:idx val="6"/>
          <c:order val="6"/>
          <c:tx>
            <c:strRef>
              <c:f>'Potencia Disponible Arrastre OK'!$B$316:$B$318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OK'!$B$319:$B$327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7"/>
          <c:order val="7"/>
          <c:tx>
            <c:strRef>
              <c:f>'Potencia Disponible Arrastre OK'!$C$316:$C$318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OK'!$C$319:$C$327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68001152"/>
        <c:axId val="68011520"/>
      </c:lineChart>
      <c:catAx>
        <c:axId val="68001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t>Velocidad</a:t>
                </a:r>
                <a:r>
                  <a:rPr baseline="0"/>
                  <a:t> [Nudos]</a:t>
                </a:r>
                <a:endParaRPr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8011520"/>
        <c:crosses val="autoZero"/>
        <c:auto val="1"/>
        <c:lblAlgn val="ctr"/>
        <c:lblOffset val="100"/>
      </c:catAx>
      <c:valAx>
        <c:axId val="680115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t>Fuerza</a:t>
                </a:r>
                <a:r>
                  <a:rPr baseline="0"/>
                  <a:t> [Kgf]</a:t>
                </a:r>
                <a:endParaRPr/>
              </a:p>
            </c:rich>
          </c:tx>
          <c:layout/>
        </c:title>
        <c:numFmt formatCode="0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68001152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Fridman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OK'!$D$342:$D$350</c:f>
              <c:numCache>
                <c:formatCode>0</c:formatCode>
                <c:ptCount val="9"/>
                <c:pt idx="0">
                  <c:v>1674.0000000000002</c:v>
                </c:pt>
                <c:pt idx="1">
                  <c:v>1610.9999999999998</c:v>
                </c:pt>
                <c:pt idx="2">
                  <c:v>1548</c:v>
                </c:pt>
                <c:pt idx="3">
                  <c:v>1485</c:v>
                </c:pt>
                <c:pt idx="4">
                  <c:v>1422</c:v>
                </c:pt>
                <c:pt idx="5">
                  <c:v>1359.0000000000002</c:v>
                </c:pt>
                <c:pt idx="6">
                  <c:v>1296</c:v>
                </c:pt>
                <c:pt idx="7">
                  <c:v>1233</c:v>
                </c:pt>
                <c:pt idx="8">
                  <c:v>1170</c:v>
                </c:pt>
              </c:numCache>
            </c:numRef>
          </c:val>
        </c:ser>
        <c:ser>
          <c:idx val="1"/>
          <c:order val="1"/>
          <c:tx>
            <c:v>Prado y Dremier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OK'!$E$342:$E$350</c:f>
              <c:numCache>
                <c:formatCode>0</c:formatCode>
                <c:ptCount val="9"/>
                <c:pt idx="0">
                  <c:v>4589.9662500000004</c:v>
                </c:pt>
                <c:pt idx="1">
                  <c:v>3059.9775000000004</c:v>
                </c:pt>
                <c:pt idx="2">
                  <c:v>2294.9831250000002</c:v>
                </c:pt>
                <c:pt idx="3">
                  <c:v>1835.9865000000002</c:v>
                </c:pt>
                <c:pt idx="4">
                  <c:v>1529.9887500000002</c:v>
                </c:pt>
                <c:pt idx="5">
                  <c:v>1311.4189285714285</c:v>
                </c:pt>
                <c:pt idx="6">
                  <c:v>1147.4915625000001</c:v>
                </c:pt>
                <c:pt idx="7">
                  <c:v>1019.9925000000002</c:v>
                </c:pt>
                <c:pt idx="8">
                  <c:v>917.9932500000001</c:v>
                </c:pt>
              </c:numCache>
            </c:numRef>
          </c:val>
        </c:ser>
        <c:ser>
          <c:idx val="2"/>
          <c:order val="2"/>
          <c:tx>
            <c:v>Koyama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OK'!$F$342:$F$350</c:f>
              <c:numCache>
                <c:formatCode>0</c:formatCode>
                <c:ptCount val="9"/>
                <c:pt idx="0">
                  <c:v>1985.2941176470588</c:v>
                </c:pt>
                <c:pt idx="1">
                  <c:v>1314.9350649350649</c:v>
                </c:pt>
                <c:pt idx="2">
                  <c:v>983.009708737864</c:v>
                </c:pt>
                <c:pt idx="3">
                  <c:v>784.88372093023258</c:v>
                </c:pt>
                <c:pt idx="4">
                  <c:v>653.22580645161293</c:v>
                </c:pt>
                <c:pt idx="5">
                  <c:v>559.39226519337012</c:v>
                </c:pt>
                <c:pt idx="6">
                  <c:v>489.13043478260875</c:v>
                </c:pt>
                <c:pt idx="7">
                  <c:v>434.54935622317595</c:v>
                </c:pt>
                <c:pt idx="8">
                  <c:v>390.92664092664097</c:v>
                </c:pt>
              </c:numCache>
            </c:numRef>
          </c:val>
        </c:ser>
        <c:ser>
          <c:idx val="3"/>
          <c:order val="3"/>
          <c:tx>
            <c:v>Hamuro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OK'!$H$342:$H$350</c:f>
              <c:numCache>
                <c:formatCode>0</c:formatCode>
                <c:ptCount val="9"/>
                <c:pt idx="0">
                  <c:v>4876.9865377138412</c:v>
                </c:pt>
                <c:pt idx="1">
                  <c:v>3251.3243584758943</c:v>
                </c:pt>
                <c:pt idx="2">
                  <c:v>2438.4932688569206</c:v>
                </c:pt>
                <c:pt idx="3">
                  <c:v>1950.7946150855362</c:v>
                </c:pt>
                <c:pt idx="4">
                  <c:v>1625.6621792379467</c:v>
                </c:pt>
                <c:pt idx="5">
                  <c:v>1393.4247250610974</c:v>
                </c:pt>
                <c:pt idx="6">
                  <c:v>1219.2466344284603</c:v>
                </c:pt>
                <c:pt idx="7">
                  <c:v>1083.7747861586313</c:v>
                </c:pt>
                <c:pt idx="8">
                  <c:v>975.39730754276809</c:v>
                </c:pt>
              </c:numCache>
            </c:numRef>
          </c:val>
        </c:ser>
        <c:ser>
          <c:idx val="4"/>
          <c:order val="4"/>
          <c:tx>
            <c:strRef>
              <c:f>'Potencia Disponible Arrastre OK'!$G$338</c:f>
              <c:strCache>
                <c:ptCount val="1"/>
                <c:pt idx="0">
                  <c:v>Nomura</c:v>
                </c:pt>
              </c:strCache>
            </c:strRef>
          </c:tx>
          <c:val>
            <c:numRef>
              <c:f>'Potencia Disponible Arrastre OK'!$G$342:$G$350</c:f>
              <c:numCache>
                <c:formatCode>0</c:formatCode>
                <c:ptCount val="9"/>
                <c:pt idx="0">
                  <c:v>4876.9865377138412</c:v>
                </c:pt>
                <c:pt idx="1">
                  <c:v>3251.3243584758943</c:v>
                </c:pt>
                <c:pt idx="2">
                  <c:v>2438.4932688569206</c:v>
                </c:pt>
                <c:pt idx="3">
                  <c:v>1950.7946150855362</c:v>
                </c:pt>
                <c:pt idx="4">
                  <c:v>1625.6621792379467</c:v>
                </c:pt>
                <c:pt idx="5">
                  <c:v>1393.4247250610974</c:v>
                </c:pt>
                <c:pt idx="6">
                  <c:v>1219.2466344284603</c:v>
                </c:pt>
                <c:pt idx="7">
                  <c:v>1083.7747861586313</c:v>
                </c:pt>
                <c:pt idx="8">
                  <c:v>975.39730754276809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OK'!$I$338</c:f>
              <c:strCache>
                <c:ptCount val="1"/>
                <c:pt idx="0">
                  <c:v>Promedio</c:v>
                </c:pt>
              </c:strCache>
            </c:strRef>
          </c:tx>
          <c:val>
            <c:numRef>
              <c:f>'Potencia Disponible Arrastre OK'!$I$342:$I$350</c:f>
              <c:numCache>
                <c:formatCode>0</c:formatCode>
                <c:ptCount val="9"/>
                <c:pt idx="0">
                  <c:v>3600.6466886149487</c:v>
                </c:pt>
                <c:pt idx="1">
                  <c:v>2497.712256377371</c:v>
                </c:pt>
                <c:pt idx="2">
                  <c:v>1940.595874290341</c:v>
                </c:pt>
                <c:pt idx="3">
                  <c:v>1601.491890220261</c:v>
                </c:pt>
                <c:pt idx="4">
                  <c:v>1371.3077829855013</c:v>
                </c:pt>
                <c:pt idx="5">
                  <c:v>1203.3321287773986</c:v>
                </c:pt>
                <c:pt idx="6">
                  <c:v>1074.2230532279059</c:v>
                </c:pt>
                <c:pt idx="7">
                  <c:v>971.01828570808777</c:v>
                </c:pt>
                <c:pt idx="8">
                  <c:v>885.94290120243545</c:v>
                </c:pt>
              </c:numCache>
            </c:numRef>
          </c:val>
        </c:ser>
        <c:ser>
          <c:idx val="6"/>
          <c:order val="6"/>
          <c:tx>
            <c:strRef>
              <c:f>'Potencia Disponible Arrastre OK'!$B$339:$B$341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OK'!$B$342:$B$350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7"/>
          <c:order val="7"/>
          <c:tx>
            <c:strRef>
              <c:f>'Potencia Disponible Arrastre OK'!$C$339:$C$341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OK'!$C$342:$C$350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70614016"/>
        <c:axId val="70640768"/>
      </c:lineChart>
      <c:catAx>
        <c:axId val="70614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t>Velocidad</a:t>
                </a:r>
                <a:r>
                  <a:rPr baseline="0"/>
                  <a:t> [Nudos]</a:t>
                </a:r>
                <a:endParaRPr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640768"/>
        <c:crosses val="autoZero"/>
        <c:auto val="1"/>
        <c:lblAlgn val="ctr"/>
        <c:lblOffset val="100"/>
      </c:catAx>
      <c:valAx>
        <c:axId val="706407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t>Fuerza</a:t>
                </a:r>
                <a:r>
                  <a:rPr baseline="0"/>
                  <a:t> [Kgf]</a:t>
                </a:r>
                <a:endParaRPr/>
              </a:p>
            </c:rich>
          </c:tx>
          <c:layout/>
        </c:title>
        <c:numFmt formatCode="0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614016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Fridman</c:v>
          </c:tx>
          <c:cat>
            <c:numRef>
              <c:f>'Potencia Disponible Arrastre OK'!$A$362:$A$370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OK'!$D$362:$D$370</c:f>
              <c:numCache>
                <c:formatCode>0</c:formatCode>
                <c:ptCount val="9"/>
                <c:pt idx="0">
                  <c:v>2574</c:v>
                </c:pt>
                <c:pt idx="1">
                  <c:v>2511</c:v>
                </c:pt>
                <c:pt idx="2">
                  <c:v>2448</c:v>
                </c:pt>
                <c:pt idx="3">
                  <c:v>2385</c:v>
                </c:pt>
                <c:pt idx="4">
                  <c:v>2322</c:v>
                </c:pt>
                <c:pt idx="5">
                  <c:v>2259</c:v>
                </c:pt>
                <c:pt idx="6">
                  <c:v>2196</c:v>
                </c:pt>
                <c:pt idx="7">
                  <c:v>2133</c:v>
                </c:pt>
                <c:pt idx="8">
                  <c:v>2070</c:v>
                </c:pt>
              </c:numCache>
            </c:numRef>
          </c:val>
        </c:ser>
        <c:ser>
          <c:idx val="1"/>
          <c:order val="1"/>
          <c:tx>
            <c:v>Prado y Dremier</c:v>
          </c:tx>
          <c:cat>
            <c:numRef>
              <c:f>'Potencia Disponible Arrastre OK'!$A$362:$A$370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OK'!$E$362:$E$370</c:f>
              <c:numCache>
                <c:formatCode>0</c:formatCode>
                <c:ptCount val="9"/>
                <c:pt idx="0">
                  <c:v>6302.6606249999995</c:v>
                </c:pt>
                <c:pt idx="1">
                  <c:v>4201.7737500000003</c:v>
                </c:pt>
                <c:pt idx="2">
                  <c:v>3151.3303124999998</c:v>
                </c:pt>
                <c:pt idx="3">
                  <c:v>2521.0642499999999</c:v>
                </c:pt>
                <c:pt idx="4">
                  <c:v>2100.8868750000001</c:v>
                </c:pt>
                <c:pt idx="5">
                  <c:v>1800.7601785714285</c:v>
                </c:pt>
                <c:pt idx="6">
                  <c:v>1575.6651562499999</c:v>
                </c:pt>
                <c:pt idx="7">
                  <c:v>1400.5912499999999</c:v>
                </c:pt>
                <c:pt idx="8">
                  <c:v>1260.532125</c:v>
                </c:pt>
              </c:numCache>
            </c:numRef>
          </c:val>
        </c:ser>
        <c:ser>
          <c:idx val="2"/>
          <c:order val="2"/>
          <c:tx>
            <c:v>Koyama</c:v>
          </c:tx>
          <c:cat>
            <c:numRef>
              <c:f>'Potencia Disponible Arrastre OK'!$A$362:$A$370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OK'!$F$362:$F$370</c:f>
              <c:numCache>
                <c:formatCode>0</c:formatCode>
                <c:ptCount val="9"/>
                <c:pt idx="0">
                  <c:v>2382.3529411764707</c:v>
                </c:pt>
                <c:pt idx="1">
                  <c:v>1577.922077922078</c:v>
                </c:pt>
                <c:pt idx="2">
                  <c:v>1179.6116504854369</c:v>
                </c:pt>
                <c:pt idx="3">
                  <c:v>941.86046511627899</c:v>
                </c:pt>
                <c:pt idx="4">
                  <c:v>783.87096774193549</c:v>
                </c:pt>
                <c:pt idx="5">
                  <c:v>671.27071823204415</c:v>
                </c:pt>
                <c:pt idx="6">
                  <c:v>586.95652173913049</c:v>
                </c:pt>
                <c:pt idx="7">
                  <c:v>521.45922746781116</c:v>
                </c:pt>
                <c:pt idx="8">
                  <c:v>469.11196911196913</c:v>
                </c:pt>
              </c:numCache>
            </c:numRef>
          </c:val>
        </c:ser>
        <c:ser>
          <c:idx val="4"/>
          <c:order val="3"/>
          <c:tx>
            <c:strRef>
              <c:f>'Potencia Disponible Arrastre OK'!$G$358</c:f>
              <c:strCache>
                <c:ptCount val="1"/>
                <c:pt idx="0">
                  <c:v>Nomura</c:v>
                </c:pt>
              </c:strCache>
            </c:strRef>
          </c:tx>
          <c:val>
            <c:numRef>
              <c:f>'Potencia Disponible Arrastre OK'!$G$362:$G$370</c:f>
              <c:numCache>
                <c:formatCode>0</c:formatCode>
                <c:ptCount val="9"/>
                <c:pt idx="0">
                  <c:v>5521.1168351477445</c:v>
                </c:pt>
                <c:pt idx="1">
                  <c:v>3680.744556765163</c:v>
                </c:pt>
                <c:pt idx="2">
                  <c:v>2760.5584175738722</c:v>
                </c:pt>
                <c:pt idx="3">
                  <c:v>2208.4467340590977</c:v>
                </c:pt>
                <c:pt idx="4">
                  <c:v>1840.3722783825813</c:v>
                </c:pt>
                <c:pt idx="5">
                  <c:v>1577.4619528993555</c:v>
                </c:pt>
                <c:pt idx="6">
                  <c:v>1380.2792087869361</c:v>
                </c:pt>
                <c:pt idx="7">
                  <c:v>1226.9148522550543</c:v>
                </c:pt>
                <c:pt idx="8">
                  <c:v>1104.2233670295489</c:v>
                </c:pt>
              </c:numCache>
            </c:numRef>
          </c:val>
        </c:ser>
        <c:ser>
          <c:idx val="3"/>
          <c:order val="4"/>
          <c:tx>
            <c:v>Hamuro</c:v>
          </c:tx>
          <c:cat>
            <c:numRef>
              <c:f>'Potencia Disponible Arrastre OK'!$A$362:$A$370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OK'!$H$362:$H$370</c:f>
              <c:numCache>
                <c:formatCode>0</c:formatCode>
                <c:ptCount val="9"/>
                <c:pt idx="0">
                  <c:v>5521.1168351477445</c:v>
                </c:pt>
                <c:pt idx="1">
                  <c:v>3680.744556765163</c:v>
                </c:pt>
                <c:pt idx="2">
                  <c:v>2760.5584175738722</c:v>
                </c:pt>
                <c:pt idx="3">
                  <c:v>2208.4467340590977</c:v>
                </c:pt>
                <c:pt idx="4">
                  <c:v>1840.3722783825813</c:v>
                </c:pt>
                <c:pt idx="5">
                  <c:v>1577.4619528993555</c:v>
                </c:pt>
                <c:pt idx="6">
                  <c:v>1380.2792087869361</c:v>
                </c:pt>
                <c:pt idx="7">
                  <c:v>1226.9148522550543</c:v>
                </c:pt>
                <c:pt idx="8">
                  <c:v>1104.2233670295489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OK'!$I$358</c:f>
              <c:strCache>
                <c:ptCount val="1"/>
                <c:pt idx="0">
                  <c:v>Promedio</c:v>
                </c:pt>
              </c:strCache>
            </c:strRef>
          </c:tx>
          <c:val>
            <c:numRef>
              <c:f>'Potencia Disponible Arrastre OK'!$I$362:$I$370</c:f>
              <c:numCache>
                <c:formatCode>0</c:formatCode>
                <c:ptCount val="9"/>
                <c:pt idx="0">
                  <c:v>4460.2494472943918</c:v>
                </c:pt>
                <c:pt idx="1">
                  <c:v>3130.4369882904807</c:v>
                </c:pt>
                <c:pt idx="2">
                  <c:v>2460.0117596266364</c:v>
                </c:pt>
                <c:pt idx="3">
                  <c:v>2052.9636366468949</c:v>
                </c:pt>
                <c:pt idx="4">
                  <c:v>1777.5004799014198</c:v>
                </c:pt>
                <c:pt idx="5">
                  <c:v>1577.1909605204369</c:v>
                </c:pt>
                <c:pt idx="6">
                  <c:v>1423.8360191126008</c:v>
                </c:pt>
                <c:pt idx="7">
                  <c:v>1301.7760363955838</c:v>
                </c:pt>
                <c:pt idx="8">
                  <c:v>1201.6181656342135</c:v>
                </c:pt>
              </c:numCache>
            </c:numRef>
          </c:val>
        </c:ser>
        <c:ser>
          <c:idx val="6"/>
          <c:order val="6"/>
          <c:tx>
            <c:strRef>
              <c:f>'Potencia Disponible Arrastre OK'!$B$359:$B$361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OK'!$B$362:$B$370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7"/>
          <c:order val="7"/>
          <c:tx>
            <c:strRef>
              <c:f>'Potencia Disponible Arrastre OK'!$C$359:$C$361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OK'!$C$362:$C$370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70684032"/>
        <c:axId val="70706688"/>
      </c:lineChart>
      <c:catAx>
        <c:axId val="70684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t>Velocidad</a:t>
                </a:r>
                <a:r>
                  <a:rPr baseline="0"/>
                  <a:t> [Nudos]</a:t>
                </a:r>
                <a:endParaRPr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706688"/>
        <c:crosses val="autoZero"/>
        <c:auto val="1"/>
        <c:lblAlgn val="ctr"/>
        <c:lblOffset val="100"/>
      </c:catAx>
      <c:valAx>
        <c:axId val="7070668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t>Fuerza</a:t>
                </a:r>
                <a:r>
                  <a:rPr baseline="0"/>
                  <a:t> [Kgf]</a:t>
                </a:r>
              </a:p>
            </c:rich>
          </c:tx>
          <c:layout/>
        </c:title>
        <c:numFmt formatCode="0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684032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093779369350264"/>
          <c:y val="3.3010262495456792E-2"/>
          <c:w val="0.58334386064457511"/>
          <c:h val="0.73604717969841138"/>
        </c:manualLayout>
      </c:layout>
      <c:lineChart>
        <c:grouping val="standard"/>
        <c:ser>
          <c:idx val="0"/>
          <c:order val="0"/>
          <c:tx>
            <c:v>150 HP FT(PF) [Kgf]</c:v>
          </c:tx>
          <c:cat>
            <c:numRef>
              <c:f>'Potencia Disponible Arrastre OK'!$B$22:$B$30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OK'!$L$11:$L$19</c:f>
              <c:numCache>
                <c:formatCode>General</c:formatCode>
                <c:ptCount val="9"/>
                <c:pt idx="0">
                  <c:v>1395</c:v>
                </c:pt>
                <c:pt idx="1">
                  <c:v>1342.5</c:v>
                </c:pt>
                <c:pt idx="2">
                  <c:v>1290</c:v>
                </c:pt>
                <c:pt idx="3">
                  <c:v>1237.5</c:v>
                </c:pt>
                <c:pt idx="4">
                  <c:v>1185</c:v>
                </c:pt>
                <c:pt idx="5">
                  <c:v>1132.5</c:v>
                </c:pt>
                <c:pt idx="6">
                  <c:v>1080</c:v>
                </c:pt>
                <c:pt idx="7">
                  <c:v>1027.5</c:v>
                </c:pt>
                <c:pt idx="8">
                  <c:v>975</c:v>
                </c:pt>
              </c:numCache>
            </c:numRef>
          </c:val>
        </c:ser>
        <c:ser>
          <c:idx val="1"/>
          <c:order val="1"/>
          <c:tx>
            <c:v>150 HP FT (PV+T) [Kgf]</c:v>
          </c:tx>
          <c:cat>
            <c:numRef>
              <c:f>'Potencia Disponible Arrastre OK'!$B$22:$B$30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OK'!$M$11:$M$19</c:f>
              <c:numCache>
                <c:formatCode>General</c:formatCode>
                <c:ptCount val="9"/>
                <c:pt idx="0">
                  <c:v>2145</c:v>
                </c:pt>
                <c:pt idx="1">
                  <c:v>2092.5</c:v>
                </c:pt>
                <c:pt idx="2">
                  <c:v>2040</c:v>
                </c:pt>
                <c:pt idx="3">
                  <c:v>1987.5</c:v>
                </c:pt>
                <c:pt idx="4">
                  <c:v>1935</c:v>
                </c:pt>
                <c:pt idx="5">
                  <c:v>1882.5</c:v>
                </c:pt>
                <c:pt idx="6">
                  <c:v>1830</c:v>
                </c:pt>
                <c:pt idx="7">
                  <c:v>1777.5</c:v>
                </c:pt>
                <c:pt idx="8">
                  <c:v>1725</c:v>
                </c:pt>
              </c:numCache>
            </c:numRef>
          </c:val>
        </c:ser>
        <c:ser>
          <c:idx val="2"/>
          <c:order val="2"/>
          <c:tx>
            <c:v>180 HP FT(PF) [Kgf]</c:v>
          </c:tx>
          <c:cat>
            <c:numRef>
              <c:f>'Potencia Disponible Arrastre OK'!$B$22:$B$30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OK'!$N$11:$N$19</c:f>
              <c:numCache>
                <c:formatCode>General</c:formatCode>
                <c:ptCount val="9"/>
                <c:pt idx="0">
                  <c:v>1674.0000000000002</c:v>
                </c:pt>
                <c:pt idx="1">
                  <c:v>1610.9999999999998</c:v>
                </c:pt>
                <c:pt idx="2">
                  <c:v>1548</c:v>
                </c:pt>
                <c:pt idx="3">
                  <c:v>1485</c:v>
                </c:pt>
                <c:pt idx="4">
                  <c:v>1422</c:v>
                </c:pt>
                <c:pt idx="5">
                  <c:v>1359.0000000000002</c:v>
                </c:pt>
                <c:pt idx="6">
                  <c:v>1296</c:v>
                </c:pt>
                <c:pt idx="7">
                  <c:v>1233</c:v>
                </c:pt>
                <c:pt idx="8">
                  <c:v>1170</c:v>
                </c:pt>
              </c:numCache>
            </c:numRef>
          </c:val>
        </c:ser>
        <c:ser>
          <c:idx val="3"/>
          <c:order val="3"/>
          <c:tx>
            <c:v>180 HP FT(PV+T) [Kgf]</c:v>
          </c:tx>
          <c:cat>
            <c:numRef>
              <c:f>'Potencia Disponible Arrastre OK'!$B$22:$B$30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OK'!$O$11:$O$19</c:f>
              <c:numCache>
                <c:formatCode>General</c:formatCode>
                <c:ptCount val="9"/>
                <c:pt idx="0">
                  <c:v>2574</c:v>
                </c:pt>
                <c:pt idx="1">
                  <c:v>2511</c:v>
                </c:pt>
                <c:pt idx="2">
                  <c:v>2448</c:v>
                </c:pt>
                <c:pt idx="3">
                  <c:v>2385</c:v>
                </c:pt>
                <c:pt idx="4">
                  <c:v>2322</c:v>
                </c:pt>
                <c:pt idx="5">
                  <c:v>2259</c:v>
                </c:pt>
                <c:pt idx="6">
                  <c:v>2196</c:v>
                </c:pt>
                <c:pt idx="7">
                  <c:v>2133</c:v>
                </c:pt>
                <c:pt idx="8">
                  <c:v>2070</c:v>
                </c:pt>
              </c:numCache>
            </c:numRef>
          </c:val>
        </c:ser>
        <c:ser>
          <c:idx val="4"/>
          <c:order val="4"/>
          <c:tx>
            <c:strRef>
              <c:f>'Potencia Disponible Arrastre OK'!$J$8:$J$10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OK'!$J$11:$J$19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OK'!$K$8:$K$10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OK'!$K$11:$K$19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dropLines/>
        <c:marker val="1"/>
        <c:axId val="70751360"/>
        <c:axId val="70753280"/>
      </c:lineChart>
      <c:catAx>
        <c:axId val="7075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lang="es-ES"/>
                </a:pPr>
                <a:r>
                  <a:rPr lang="es-ES"/>
                  <a:t>Velocidad</a:t>
                </a:r>
                <a:r>
                  <a:rPr lang="es-ES" baseline="0"/>
                  <a:t> [Nudos]</a:t>
                </a:r>
                <a:endParaRPr lang="es-ES"/>
              </a:p>
            </c:rich>
          </c:tx>
          <c:layout/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753280"/>
        <c:crosses val="autoZero"/>
        <c:auto val="1"/>
        <c:lblAlgn val="ctr"/>
        <c:lblOffset val="100"/>
      </c:catAx>
      <c:valAx>
        <c:axId val="707532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 lang="es-ES"/>
                </a:pPr>
                <a:r>
                  <a:rPr lang="es-ES"/>
                  <a:t>FT</a:t>
                </a:r>
                <a:r>
                  <a:rPr lang="es-ES" baseline="0"/>
                  <a:t> [Kgf]</a:t>
                </a:r>
                <a:endParaRPr lang="es-ES"/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lang="es-ES"/>
            </a:pPr>
            <a:endParaRPr lang="en-US"/>
          </a:p>
        </c:txPr>
        <c:crossAx val="70751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3817402335770765"/>
          <c:y val="0.12665054345491877"/>
          <c:w val="0.24922253997290772"/>
          <c:h val="0.65265477616825496"/>
        </c:manualLayout>
      </c:layout>
      <c:txPr>
        <a:bodyPr/>
        <a:lstStyle/>
        <a:p>
          <a:pPr>
            <a:defRPr lang="es-ES"/>
          </a:pPr>
          <a:endParaRPr lang="en-US"/>
        </a:p>
      </c:txPr>
    </c:legend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7.6016752639871704E-2"/>
          <c:y val="4.6191731192805972E-2"/>
          <c:w val="0.71929720955938192"/>
          <c:h val="0.85530660284134608"/>
        </c:manualLayout>
      </c:layout>
      <c:lineChart>
        <c:grouping val="standard"/>
        <c:ser>
          <c:idx val="0"/>
          <c:order val="0"/>
          <c:tx>
            <c:strRef>
              <c:f>'Potencia Disponible Arrastre OK'!$D$213:$D$215</c:f>
              <c:strCache>
                <c:ptCount val="1"/>
                <c:pt idx="0">
                  <c:v>Modificada RN FAO A3 [Kgf]</c:v>
                </c:pt>
              </c:strCache>
            </c:strRef>
          </c:tx>
          <c:cat>
            <c:numRef>
              <c:f>'Potencia Disponible Arrastre OK'!$A$216:$A$224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OK'!$E$216:$E$224</c:f>
              <c:numCache>
                <c:formatCode>0</c:formatCode>
                <c:ptCount val="9"/>
                <c:pt idx="0">
                  <c:v>2150.6322957198445</c:v>
                </c:pt>
                <c:pt idx="1">
                  <c:v>1433.7548638132298</c:v>
                </c:pt>
                <c:pt idx="2">
                  <c:v>1075.3161478599222</c:v>
                </c:pt>
                <c:pt idx="3">
                  <c:v>860.25291828793775</c:v>
                </c:pt>
                <c:pt idx="4">
                  <c:v>716.87743190661479</c:v>
                </c:pt>
                <c:pt idx="5">
                  <c:v>614.46637020566982</c:v>
                </c:pt>
                <c:pt idx="6">
                  <c:v>537.65807392996101</c:v>
                </c:pt>
                <c:pt idx="7">
                  <c:v>477.91828793774312</c:v>
                </c:pt>
                <c:pt idx="8">
                  <c:v>430.12645914396882</c:v>
                </c:pt>
              </c:numCache>
            </c:numRef>
          </c:val>
        </c:ser>
        <c:ser>
          <c:idx val="1"/>
          <c:order val="1"/>
          <c:tx>
            <c:strRef>
              <c:f>'Potencia Disponible Arrastre OK'!$E$213:$E$215</c:f>
              <c:strCache>
                <c:ptCount val="1"/>
                <c:pt idx="0">
                  <c:v>150 HP RN [KgF]</c:v>
                </c:pt>
              </c:strCache>
            </c:strRef>
          </c:tx>
          <c:cat>
            <c:numRef>
              <c:f>'Potencia Disponible Arrastre OK'!$A$216:$A$224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OK'!$F$216:$F$224</c:f>
              <c:numCache>
                <c:formatCode>0</c:formatCode>
                <c:ptCount val="9"/>
                <c:pt idx="0">
                  <c:v>2580.7587548638135</c:v>
                </c:pt>
                <c:pt idx="1">
                  <c:v>1720.5058365758757</c:v>
                </c:pt>
                <c:pt idx="2">
                  <c:v>1290.3793774319067</c:v>
                </c:pt>
                <c:pt idx="3">
                  <c:v>1032.3035019455253</c:v>
                </c:pt>
                <c:pt idx="4">
                  <c:v>860.25291828793775</c:v>
                </c:pt>
                <c:pt idx="5">
                  <c:v>737.35964424680378</c:v>
                </c:pt>
                <c:pt idx="6">
                  <c:v>645.18968871595325</c:v>
                </c:pt>
                <c:pt idx="7">
                  <c:v>573.50194552529172</c:v>
                </c:pt>
                <c:pt idx="8">
                  <c:v>516.15175097276256</c:v>
                </c:pt>
              </c:numCache>
            </c:numRef>
          </c:val>
        </c:ser>
        <c:ser>
          <c:idx val="2"/>
          <c:order val="2"/>
          <c:tx>
            <c:strRef>
              <c:f>'Potencia Disponible Arrastre OK'!$C$213:$C$215</c:f>
              <c:strCache>
                <c:ptCount val="1"/>
                <c:pt idx="0">
                  <c:v>Estandar RN FAO A3 [Kgf]</c:v>
                </c:pt>
              </c:strCache>
            </c:strRef>
          </c:tx>
          <c:val>
            <c:numRef>
              <c:f>'Potencia Disponible Arrastre OK'!$C$216:$C$224</c:f>
              <c:numCache>
                <c:formatCode>0.00</c:formatCode>
                <c:ptCount val="9"/>
                <c:pt idx="0">
                  <c:v>422.36322657644956</c:v>
                </c:pt>
                <c:pt idx="1">
                  <c:v>631.52956087214341</c:v>
                </c:pt>
                <c:pt idx="2">
                  <c:v>914.90100549547947</c:v>
                </c:pt>
                <c:pt idx="3">
                  <c:v>1266.3281776772249</c:v>
                </c:pt>
                <c:pt idx="4">
                  <c:v>1680.3228964186867</c:v>
                </c:pt>
                <c:pt idx="5">
                  <c:v>2151.9716405847998</c:v>
                </c:pt>
                <c:pt idx="6">
                  <c:v>2676.8622527857369</c:v>
                </c:pt>
                <c:pt idx="7">
                  <c:v>3251.0215826380531</c:v>
                </c:pt>
                <c:pt idx="8">
                  <c:v>3870.8622108292311</c:v>
                </c:pt>
              </c:numCache>
            </c:numRef>
          </c:val>
        </c:ser>
        <c:ser>
          <c:idx val="3"/>
          <c:order val="3"/>
          <c:tx>
            <c:strRef>
              <c:f>'Potencia Disponible Arrastre OK'!$D$213:$D$215</c:f>
              <c:strCache>
                <c:ptCount val="1"/>
                <c:pt idx="0">
                  <c:v>Modificada RN FAO A3 [Kgf]</c:v>
                </c:pt>
              </c:strCache>
            </c:strRef>
          </c:tx>
          <c:val>
            <c:numRef>
              <c:f>'Potencia Disponible Arrastre OK'!$D$216:$D$224</c:f>
              <c:numCache>
                <c:formatCode>0.00</c:formatCode>
                <c:ptCount val="9"/>
                <c:pt idx="0">
                  <c:v>413.44914989192739</c:v>
                </c:pt>
                <c:pt idx="1">
                  <c:v>618.20097878939919</c:v>
                </c:pt>
                <c:pt idx="2">
                  <c:v>895.5918014536428</c:v>
                </c:pt>
                <c:pt idx="3">
                  <c:v>1239.6020193061838</c:v>
                </c:pt>
                <c:pt idx="4">
                  <c:v>1644.8592807179402</c:v>
                </c:pt>
                <c:pt idx="5">
                  <c:v>2106.5537655899047</c:v>
                </c:pt>
                <c:pt idx="6">
                  <c:v>2620.3664361668261</c:v>
                </c:pt>
                <c:pt idx="7">
                  <c:v>3182.4079963522054</c:v>
                </c:pt>
                <c:pt idx="8">
                  <c:v>3789.1667401741761</c:v>
                </c:pt>
              </c:numCache>
            </c:numRef>
          </c:val>
        </c:ser>
        <c:marker val="1"/>
        <c:axId val="70807552"/>
        <c:axId val="70809088"/>
      </c:lineChart>
      <c:catAx>
        <c:axId val="70807552"/>
        <c:scaling>
          <c:orientation val="minMax"/>
        </c:scaling>
        <c:axPos val="b"/>
        <c:numFmt formatCode="General" sourceLinked="1"/>
        <c:tickLblPos val="nextTo"/>
        <c:crossAx val="70809088"/>
        <c:crosses val="autoZero"/>
        <c:auto val="1"/>
        <c:lblAlgn val="ctr"/>
        <c:lblOffset val="100"/>
      </c:catAx>
      <c:valAx>
        <c:axId val="70809088"/>
        <c:scaling>
          <c:orientation val="minMax"/>
        </c:scaling>
        <c:axPos val="l"/>
        <c:majorGridlines/>
        <c:numFmt formatCode="0" sourceLinked="1"/>
        <c:tickLblPos val="nextTo"/>
        <c:crossAx val="70807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Comparación</a:t>
            </a:r>
            <a:r>
              <a:rPr lang="en-US" baseline="0"/>
              <a:t> FTiro y RN de máximas y mínimas (estándar)</a:t>
            </a:r>
            <a:endParaRPr lang="en-US"/>
          </a:p>
        </c:rich>
      </c:tx>
      <c:layout>
        <c:manualLayout>
          <c:xMode val="edge"/>
          <c:yMode val="edge"/>
          <c:x val="1.0827047262777982E-3"/>
          <c:y val="0"/>
        </c:manualLayout>
      </c:layout>
    </c:title>
    <c:plotArea>
      <c:layout>
        <c:manualLayout>
          <c:layoutTarget val="inner"/>
          <c:xMode val="edge"/>
          <c:yMode val="edge"/>
          <c:x val="0.10344892476288835"/>
          <c:y val="8.9104311219529483E-2"/>
          <c:w val="0.74304196560868607"/>
          <c:h val="0.78954597778959368"/>
        </c:manualLayout>
      </c:layout>
      <c:lineChart>
        <c:grouping val="standard"/>
        <c:ser>
          <c:idx val="0"/>
          <c:order val="0"/>
          <c:tx>
            <c:v>BP Wfishing máxima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OK'!$L$103:$L$111</c:f>
              <c:numCache>
                <c:formatCode>0.00</c:formatCode>
                <c:ptCount val="9"/>
                <c:pt idx="0">
                  <c:v>7192.4962499999983</c:v>
                </c:pt>
                <c:pt idx="1">
                  <c:v>4794.9974999999986</c:v>
                </c:pt>
                <c:pt idx="2">
                  <c:v>3596.2481249999992</c:v>
                </c:pt>
                <c:pt idx="3">
                  <c:v>2876.9984999999992</c:v>
                </c:pt>
                <c:pt idx="4">
                  <c:v>2397.4987499999993</c:v>
                </c:pt>
                <c:pt idx="5">
                  <c:v>2054.9989285714282</c:v>
                </c:pt>
                <c:pt idx="6">
                  <c:v>1798.1240624999996</c:v>
                </c:pt>
                <c:pt idx="7">
                  <c:v>1598.3324999999995</c:v>
                </c:pt>
                <c:pt idx="8">
                  <c:v>1438.4992499999996</c:v>
                </c:pt>
              </c:numCache>
            </c:numRef>
          </c:val>
        </c:ser>
        <c:ser>
          <c:idx val="1"/>
          <c:order val="1"/>
          <c:tx>
            <c:v>Koyama mínima</c:v>
          </c:tx>
          <c:cat>
            <c:numRef>
              <c:f>'Potencia Disponible Arrastre OK'!$A$342:$A$350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'Potencia Disponible Arrastre OK'!$K$171:$K$179</c:f>
              <c:numCache>
                <c:formatCode>0.000</c:formatCode>
                <c:ptCount val="9"/>
                <c:pt idx="0">
                  <c:v>1969.8443579766536</c:v>
                </c:pt>
                <c:pt idx="1">
                  <c:v>1313.2295719844358</c:v>
                </c:pt>
                <c:pt idx="2">
                  <c:v>984.92217898832678</c:v>
                </c:pt>
                <c:pt idx="3">
                  <c:v>787.93774319066142</c:v>
                </c:pt>
                <c:pt idx="4">
                  <c:v>656.61478599221778</c:v>
                </c:pt>
                <c:pt idx="5">
                  <c:v>562.8126737076152</c:v>
                </c:pt>
                <c:pt idx="6">
                  <c:v>492.46108949416333</c:v>
                </c:pt>
                <c:pt idx="7">
                  <c:v>437.74319066147848</c:v>
                </c:pt>
                <c:pt idx="8">
                  <c:v>393.96887159533065</c:v>
                </c:pt>
              </c:numCache>
            </c:numRef>
          </c:val>
        </c:ser>
        <c:ser>
          <c:idx val="2"/>
          <c:order val="2"/>
          <c:tx>
            <c:strRef>
              <c:f>'Potencia Disponible Arrastre OK'!$A$295:$C$295</c:f>
              <c:strCache>
                <c:ptCount val="1"/>
                <c:pt idx="0">
                  <c:v>Peores de los casos con  150 HP</c:v>
                </c:pt>
              </c:strCache>
            </c:strRef>
          </c:tx>
          <c:val>
            <c:numRef>
              <c:f>'Potencia Disponible Arrastre OK'!$I$300:$I$308</c:f>
              <c:numCache>
                <c:formatCode>0</c:formatCode>
                <c:ptCount val="9"/>
                <c:pt idx="0">
                  <c:v>2763.4225119982366</c:v>
                </c:pt>
                <c:pt idx="1">
                  <c:v>1922.7190314263776</c:v>
                </c:pt>
                <c:pt idx="2">
                  <c:v>1497.8982919785587</c:v>
                </c:pt>
                <c:pt idx="3">
                  <c:v>1239.0528625284328</c:v>
                </c:pt>
                <c:pt idx="4">
                  <c:v>1063.0915014693678</c:v>
                </c:pt>
                <c:pt idx="5">
                  <c:v>934.45469329296395</c:v>
                </c:pt>
                <c:pt idx="6">
                  <c:v>835.37928528856173</c:v>
                </c:pt>
                <c:pt idx="7">
                  <c:v>756.00338410754944</c:v>
                </c:pt>
                <c:pt idx="8">
                  <c:v>690.41277857498233</c:v>
                </c:pt>
              </c:numCache>
            </c:numRef>
          </c:val>
        </c:ser>
        <c:ser>
          <c:idx val="3"/>
          <c:order val="3"/>
          <c:tx>
            <c:strRef>
              <c:f>'Potencia Disponible Arrastre OK'!$A$314:$C$314</c:f>
              <c:strCache>
                <c:ptCount val="1"/>
                <c:pt idx="0">
                  <c:v>Mejor de los casos  con   150 HP</c:v>
                </c:pt>
              </c:strCache>
            </c:strRef>
          </c:tx>
          <c:val>
            <c:numRef>
              <c:f>'Potencia Disponible Arrastre OK'!$I$319:$I$327</c:f>
              <c:numCache>
                <c:formatCode>0</c:formatCode>
                <c:ptCount val="9"/>
                <c:pt idx="0">
                  <c:v>3716.8745394119933</c:v>
                </c:pt>
                <c:pt idx="1">
                  <c:v>2608.6974902420675</c:v>
                </c:pt>
                <c:pt idx="2">
                  <c:v>2050.0097996888639</c:v>
                </c:pt>
                <c:pt idx="3">
                  <c:v>1710.8030305390791</c:v>
                </c:pt>
                <c:pt idx="4">
                  <c:v>1481.2503999178498</c:v>
                </c:pt>
                <c:pt idx="5">
                  <c:v>1314.3258004336974</c:v>
                </c:pt>
                <c:pt idx="6">
                  <c:v>1186.5300159271671</c:v>
                </c:pt>
                <c:pt idx="7">
                  <c:v>1084.8133636629868</c:v>
                </c:pt>
                <c:pt idx="8">
                  <c:v>1001.3484713618445</c:v>
                </c:pt>
              </c:numCache>
            </c:numRef>
          </c:val>
        </c:ser>
        <c:ser>
          <c:idx val="4"/>
          <c:order val="4"/>
          <c:tx>
            <c:strRef>
              <c:f>'Potencia Disponible Arrastre OK'!$A$337:$C$337</c:f>
              <c:strCache>
                <c:ptCount val="1"/>
                <c:pt idx="0">
                  <c:v>Peor de los casos  con  180 HP</c:v>
                </c:pt>
              </c:strCache>
            </c:strRef>
          </c:tx>
          <c:val>
            <c:numRef>
              <c:f>'Potencia Disponible Arrastre OK'!$I$342:$I$350</c:f>
              <c:numCache>
                <c:formatCode>0</c:formatCode>
                <c:ptCount val="9"/>
                <c:pt idx="0">
                  <c:v>3600.6466886149487</c:v>
                </c:pt>
                <c:pt idx="1">
                  <c:v>2497.712256377371</c:v>
                </c:pt>
                <c:pt idx="2">
                  <c:v>1940.595874290341</c:v>
                </c:pt>
                <c:pt idx="3">
                  <c:v>1601.491890220261</c:v>
                </c:pt>
                <c:pt idx="4">
                  <c:v>1371.3077829855013</c:v>
                </c:pt>
                <c:pt idx="5">
                  <c:v>1203.3321287773986</c:v>
                </c:pt>
                <c:pt idx="6">
                  <c:v>1074.2230532279059</c:v>
                </c:pt>
                <c:pt idx="7">
                  <c:v>971.01828570808777</c:v>
                </c:pt>
                <c:pt idx="8">
                  <c:v>885.94290120243545</c:v>
                </c:pt>
              </c:numCache>
            </c:numRef>
          </c:val>
        </c:ser>
        <c:ser>
          <c:idx val="5"/>
          <c:order val="5"/>
          <c:tx>
            <c:strRef>
              <c:f>'Potencia Disponible Arrastre OK'!$A$357:$C$357</c:f>
              <c:strCache>
                <c:ptCount val="1"/>
                <c:pt idx="0">
                  <c:v>Mejor de los casos  con  180 HP</c:v>
                </c:pt>
              </c:strCache>
            </c:strRef>
          </c:tx>
          <c:val>
            <c:numRef>
              <c:f>'Potencia Disponible Arrastre OK'!$I$362:$I$370</c:f>
              <c:numCache>
                <c:formatCode>0</c:formatCode>
                <c:ptCount val="9"/>
                <c:pt idx="0">
                  <c:v>4460.2494472943918</c:v>
                </c:pt>
                <c:pt idx="1">
                  <c:v>3130.4369882904807</c:v>
                </c:pt>
                <c:pt idx="2">
                  <c:v>2460.0117596266364</c:v>
                </c:pt>
                <c:pt idx="3">
                  <c:v>2052.9636366468949</c:v>
                </c:pt>
                <c:pt idx="4">
                  <c:v>1777.5004799014198</c:v>
                </c:pt>
                <c:pt idx="5">
                  <c:v>1577.1909605204369</c:v>
                </c:pt>
                <c:pt idx="6">
                  <c:v>1423.8360191126008</c:v>
                </c:pt>
                <c:pt idx="7">
                  <c:v>1301.7760363955838</c:v>
                </c:pt>
                <c:pt idx="8">
                  <c:v>1201.6181656342135</c:v>
                </c:pt>
              </c:numCache>
            </c:numRef>
          </c:val>
        </c:ser>
        <c:ser>
          <c:idx val="6"/>
          <c:order val="6"/>
          <c:tx>
            <c:v>RN DYNAMIT</c:v>
          </c:tx>
          <c:val>
            <c:numRef>
              <c:f>'Resistencia de la RED'!$S$398:$S$406</c:f>
              <c:numCache>
                <c:formatCode>0.000</c:formatCode>
                <c:ptCount val="9"/>
                <c:pt idx="0">
                  <c:v>330.6</c:v>
                </c:pt>
                <c:pt idx="1">
                  <c:v>476</c:v>
                </c:pt>
                <c:pt idx="2">
                  <c:v>704.30000000000007</c:v>
                </c:pt>
                <c:pt idx="3">
                  <c:v>967.30000000000007</c:v>
                </c:pt>
                <c:pt idx="4">
                  <c:v>1331.3</c:v>
                </c:pt>
                <c:pt idx="5">
                  <c:v>1751.9</c:v>
                </c:pt>
                <c:pt idx="6">
                  <c:v>2208.6999999999998</c:v>
                </c:pt>
                <c:pt idx="7">
                  <c:v>2784.5</c:v>
                </c:pt>
                <c:pt idx="8">
                  <c:v>3371.7999999999997</c:v>
                </c:pt>
              </c:numCache>
            </c:numRef>
          </c:val>
        </c:ser>
        <c:ser>
          <c:idx val="7"/>
          <c:order val="7"/>
          <c:tx>
            <c:v>RN Promedio de calculos</c:v>
          </c:tx>
          <c:val>
            <c:numRef>
              <c:f>'Resistencia de la RED'!$R$398:$R$406</c:f>
              <c:numCache>
                <c:formatCode>0.000</c:formatCode>
                <c:ptCount val="9"/>
                <c:pt idx="0">
                  <c:v>554.33600671309489</c:v>
                </c:pt>
                <c:pt idx="1">
                  <c:v>659.69100019782104</c:v>
                </c:pt>
                <c:pt idx="2">
                  <c:v>865.62888193396213</c:v>
                </c:pt>
                <c:pt idx="3">
                  <c:v>1154.5609962811952</c:v>
                </c:pt>
                <c:pt idx="4">
                  <c:v>1516.3850495884728</c:v>
                </c:pt>
                <c:pt idx="5">
                  <c:v>1945.7112507778268</c:v>
                </c:pt>
                <c:pt idx="6">
                  <c:v>2439.227691172121</c:v>
                </c:pt>
                <c:pt idx="7">
                  <c:v>2994.7106901518709</c:v>
                </c:pt>
                <c:pt idx="8">
                  <c:v>3610.5604773565351</c:v>
                </c:pt>
              </c:numCache>
            </c:numRef>
          </c:val>
        </c:ser>
        <c:ser>
          <c:idx val="8"/>
          <c:order val="8"/>
          <c:tx>
            <c:v>RN Hamuro</c:v>
          </c:tx>
          <c:val>
            <c:numRef>
              <c:f>'Resistencia de la RED'!$H$398:$H$406</c:f>
              <c:numCache>
                <c:formatCode>0.000</c:formatCode>
                <c:ptCount val="9"/>
                <c:pt idx="0">
                  <c:v>64.175327998025253</c:v>
                </c:pt>
                <c:pt idx="1">
                  <c:v>144.3944879955568</c:v>
                </c:pt>
                <c:pt idx="2">
                  <c:v>256.70131199210101</c:v>
                </c:pt>
                <c:pt idx="3">
                  <c:v>401.09579998765793</c:v>
                </c:pt>
                <c:pt idx="4">
                  <c:v>577.57795198222743</c:v>
                </c:pt>
                <c:pt idx="5">
                  <c:v>786.14776797580942</c:v>
                </c:pt>
                <c:pt idx="6">
                  <c:v>1026.805247968404</c:v>
                </c:pt>
                <c:pt idx="7">
                  <c:v>1299.5503919600114</c:v>
                </c:pt>
                <c:pt idx="8">
                  <c:v>1604.3831999506317</c:v>
                </c:pt>
              </c:numCache>
            </c:numRef>
          </c:val>
        </c:ser>
        <c:ser>
          <c:idx val="9"/>
          <c:order val="9"/>
          <c:tx>
            <c:v>RN Aberdeen Pelagica</c:v>
          </c:tx>
          <c:val>
            <c:numRef>
              <c:f>'Resistencia de la RED'!$O$398:$O$406</c:f>
              <c:numCache>
                <c:formatCode>0.000</c:formatCode>
                <c:ptCount val="9"/>
                <c:pt idx="0">
                  <c:v>353.2909886041304</c:v>
                </c:pt>
                <c:pt idx="1">
                  <c:v>793.03018175499551</c:v>
                </c:pt>
                <c:pt idx="2">
                  <c:v>1406.5145945517584</c:v>
                </c:pt>
                <c:pt idx="3">
                  <c:v>2192.520820259419</c:v>
                </c:pt>
                <c:pt idx="4">
                  <c:v>3149.8369112151836</c:v>
                </c:pt>
                <c:pt idx="5">
                  <c:v>4277.2622449772543</c:v>
                </c:pt>
                <c:pt idx="6">
                  <c:v>5573.6073923454378</c:v>
                </c:pt>
                <c:pt idx="7">
                  <c:v>7037.6939872231069</c:v>
                </c:pt>
                <c:pt idx="8">
                  <c:v>8668.3545982905998</c:v>
                </c:pt>
              </c:numCache>
            </c:numRef>
          </c:val>
        </c:ser>
        <c:dLbls/>
        <c:hiLowLines/>
        <c:marker val="1"/>
        <c:axId val="144006144"/>
        <c:axId val="144024320"/>
      </c:lineChart>
      <c:catAx>
        <c:axId val="144006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44024320"/>
        <c:crosses val="autoZero"/>
        <c:auto val="1"/>
        <c:lblAlgn val="ctr"/>
        <c:lblOffset val="100"/>
      </c:catAx>
      <c:valAx>
        <c:axId val="14402432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/ Tiro [Kgf]</a:t>
                </a:r>
                <a:endParaRPr lang="en-US"/>
              </a:p>
            </c:rich>
          </c:tx>
          <c:layout/>
        </c:title>
        <c:numFmt formatCode="0.00" sourceLinked="1"/>
        <c:tickLblPos val="nextTo"/>
        <c:crossAx val="1440061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4649089037157443"/>
          <c:y val="8.5360873718094248E-3"/>
          <c:w val="0.14341093335640984"/>
          <c:h val="0.98841404452886161"/>
        </c:manualLayout>
      </c:layout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title>
      <c:tx>
        <c:rich>
          <a:bodyPr/>
          <a:lstStyle/>
          <a:p>
            <a:pPr>
              <a:defRPr/>
            </a:pPr>
            <a:r>
              <a:rPr lang="en-US"/>
              <a:t>TAUTI,</a:t>
            </a:r>
            <a:r>
              <a:rPr lang="en-US" baseline="0"/>
              <a:t> NOMURA, SHU (1974)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1"/>
          <c:order val="0"/>
          <c:tx>
            <c:strRef>
              <c:f>'Resistencia de la RED'!$D$9:$D$10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RED'!$B$11:$B$19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RED'!$D$11:$D$19</c:f>
              <c:numCache>
                <c:formatCode>0.00</c:formatCode>
                <c:ptCount val="9"/>
                <c:pt idx="0">
                  <c:v>0.43664128534237878</c:v>
                </c:pt>
                <c:pt idx="1">
                  <c:v>0.78606257987739081</c:v>
                </c:pt>
                <c:pt idx="2">
                  <c:v>1.1929391470773452</c:v>
                </c:pt>
                <c:pt idx="3">
                  <c:v>1.6486854656491878</c:v>
                </c:pt>
                <c:pt idx="4">
                  <c:v>2.1475862568814672</c:v>
                </c:pt>
                <c:pt idx="5">
                  <c:v>2.6854895148627609</c:v>
                </c:pt>
                <c:pt idx="6">
                  <c:v>3.2592057975318118</c:v>
                </c:pt>
                <c:pt idx="7">
                  <c:v>3.8661877615850591</c:v>
                </c:pt>
                <c:pt idx="8">
                  <c:v>4.5043414336053118</c:v>
                </c:pt>
              </c:numCache>
            </c:numRef>
          </c:val>
        </c:ser>
        <c:ser>
          <c:idx val="2"/>
          <c:order val="1"/>
          <c:tx>
            <c:strRef>
              <c:f>'Resistencia de la RED'!$E$9:$E$10</c:f>
              <c:strCache>
                <c:ptCount val="1"/>
                <c:pt idx="0">
                  <c:v>RN modificada Ton</c:v>
                </c:pt>
              </c:strCache>
            </c:strRef>
          </c:tx>
          <c:cat>
            <c:numRef>
              <c:f>'Resistencia de la RED'!$B$11:$B$19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RED'!$E$11:$E$19</c:f>
              <c:numCache>
                <c:formatCode>0.00</c:formatCode>
                <c:ptCount val="9"/>
                <c:pt idx="0">
                  <c:v>0.39937023768812874</c:v>
                </c:pt>
                <c:pt idx="1">
                  <c:v>0.71896545265347211</c:v>
                </c:pt>
                <c:pt idx="2">
                  <c:v>1.0911116440631108</c:v>
                </c:pt>
                <c:pt idx="3">
                  <c:v>1.5079561378924284</c:v>
                </c:pt>
                <c:pt idx="4">
                  <c:v>1.9642715030805786</c:v>
                </c:pt>
                <c:pt idx="5">
                  <c:v>2.4562601427364958</c:v>
                </c:pt>
                <c:pt idx="6">
                  <c:v>2.9810048608073649</c:v>
                </c:pt>
                <c:pt idx="7">
                  <c:v>3.5361757514075833</c:v>
                </c:pt>
                <c:pt idx="8">
                  <c:v>4.1198575795618781</c:v>
                </c:pt>
              </c:numCache>
            </c:numRef>
          </c:val>
        </c:ser>
        <c:axId val="76858880"/>
        <c:axId val="76860800"/>
      </c:areaChart>
      <c:catAx>
        <c:axId val="76858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76860800"/>
        <c:crosses val="autoZero"/>
        <c:auto val="1"/>
        <c:lblAlgn val="ctr"/>
        <c:lblOffset val="100"/>
      </c:catAx>
      <c:valAx>
        <c:axId val="7686080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768588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6"/>
  <c:chart>
    <c:title>
      <c:tx>
        <c:rich>
          <a:bodyPr/>
          <a:lstStyle/>
          <a:p>
            <a:pPr>
              <a:defRPr/>
            </a:pPr>
            <a:r>
              <a:rPr lang="en-US"/>
              <a:t>TAUTI</a:t>
            </a:r>
            <a:r>
              <a:rPr lang="en-US" baseline="0"/>
              <a:t> Relinga Inferior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RED'!$D$28:$D$29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RED'!$B$30:$B$38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RED'!$D$30:$D$38</c:f>
              <c:numCache>
                <c:formatCode>0.00</c:formatCode>
                <c:ptCount val="9"/>
                <c:pt idx="0">
                  <c:v>0.11592349328944201</c:v>
                </c:pt>
                <c:pt idx="1">
                  <c:v>0.26082785990124457</c:v>
                </c:pt>
                <c:pt idx="2">
                  <c:v>0.46369397315776806</c:v>
                </c:pt>
                <c:pt idx="3">
                  <c:v>0.72452183305901285</c:v>
                </c:pt>
                <c:pt idx="4">
                  <c:v>1.0433114396049785</c:v>
                </c:pt>
                <c:pt idx="5">
                  <c:v>1.4200627927956651</c:v>
                </c:pt>
                <c:pt idx="6">
                  <c:v>1.8547758926310722</c:v>
                </c:pt>
                <c:pt idx="7">
                  <c:v>2.3474507391112009</c:v>
                </c:pt>
                <c:pt idx="8">
                  <c:v>2.8980873322360514</c:v>
                </c:pt>
              </c:numCache>
            </c:numRef>
          </c:val>
        </c:ser>
        <c:ser>
          <c:idx val="1"/>
          <c:order val="1"/>
          <c:tx>
            <c:strRef>
              <c:f>'Resistencia de la RED'!$E$28:$E$29</c:f>
              <c:strCache>
                <c:ptCount val="1"/>
                <c:pt idx="0">
                  <c:v>RN modificada Ton</c:v>
                </c:pt>
              </c:strCache>
            </c:strRef>
          </c:tx>
          <c:cat>
            <c:numRef>
              <c:f>'Resistencia de la RED'!$B$30:$B$38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RED'!$E$30:$E$38</c:f>
              <c:numCache>
                <c:formatCode>0.00</c:formatCode>
                <c:ptCount val="9"/>
                <c:pt idx="0">
                  <c:v>0.10602843712394434</c:v>
                </c:pt>
                <c:pt idx="1">
                  <c:v>0.23856398352887476</c:v>
                </c:pt>
                <c:pt idx="2">
                  <c:v>0.42411374849577738</c:v>
                </c:pt>
                <c:pt idx="3">
                  <c:v>0.6626777320246523</c:v>
                </c:pt>
                <c:pt idx="4">
                  <c:v>0.95425593411549947</c:v>
                </c:pt>
                <c:pt idx="5">
                  <c:v>1.2988483547683183</c:v>
                </c:pt>
                <c:pt idx="6">
                  <c:v>1.6964549939831095</c:v>
                </c:pt>
                <c:pt idx="7">
                  <c:v>2.1470758517598734</c:v>
                </c:pt>
                <c:pt idx="8">
                  <c:v>2.6507109280986092</c:v>
                </c:pt>
              </c:numCache>
            </c:numRef>
          </c:val>
        </c:ser>
        <c:axId val="64999808"/>
        <c:axId val="65001728"/>
      </c:areaChart>
      <c:catAx>
        <c:axId val="64999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65001728"/>
        <c:crosses val="autoZero"/>
        <c:auto val="1"/>
        <c:lblAlgn val="ctr"/>
        <c:lblOffset val="100"/>
      </c:catAx>
      <c:valAx>
        <c:axId val="65001728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649998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6"/>
  <c:chart>
    <c:title>
      <c:tx>
        <c:rich>
          <a:bodyPr/>
          <a:lstStyle/>
          <a:p>
            <a:pPr>
              <a:defRPr/>
            </a:pPr>
            <a:r>
              <a:rPr lang="en-US"/>
              <a:t>TAUTI Relinga</a:t>
            </a:r>
            <a:r>
              <a:rPr lang="en-US" baseline="0"/>
              <a:t> Superior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RED'!$L$28:$L$29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RED'!$J$30:$J$38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RED'!$L$30:$L$38</c:f>
              <c:numCache>
                <c:formatCode>0.00</c:formatCode>
                <c:ptCount val="9"/>
                <c:pt idx="0">
                  <c:v>0.15608338115255999</c:v>
                </c:pt>
                <c:pt idx="1">
                  <c:v>0.35118760759325995</c:v>
                </c:pt>
                <c:pt idx="2">
                  <c:v>0.62433352461023994</c:v>
                </c:pt>
                <c:pt idx="3">
                  <c:v>0.97552113220350012</c:v>
                </c:pt>
                <c:pt idx="4">
                  <c:v>1.4047504303730403</c:v>
                </c:pt>
                <c:pt idx="5">
                  <c:v>1.91202141911886</c:v>
                </c:pt>
                <c:pt idx="6">
                  <c:v>2.4973340984409598</c:v>
                </c:pt>
                <c:pt idx="7">
                  <c:v>3.1606884683393401</c:v>
                </c:pt>
                <c:pt idx="8">
                  <c:v>3.9020845288140005</c:v>
                </c:pt>
              </c:numCache>
            </c:numRef>
          </c:val>
        </c:ser>
        <c:ser>
          <c:idx val="1"/>
          <c:order val="1"/>
          <c:tx>
            <c:strRef>
              <c:f>'Resistencia de la RED'!$M$28:$M$29</c:f>
              <c:strCache>
                <c:ptCount val="1"/>
                <c:pt idx="0">
                  <c:v>RN Modificada Ton</c:v>
                </c:pt>
              </c:strCache>
            </c:strRef>
          </c:tx>
          <c:cat>
            <c:numRef>
              <c:f>'Resistencia de la RED'!$J$30:$J$38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RED'!$M$30:$M$38</c:f>
              <c:numCache>
                <c:formatCode>0.00</c:formatCode>
                <c:ptCount val="9"/>
                <c:pt idx="0">
                  <c:v>0.14276033696902152</c:v>
                </c:pt>
                <c:pt idx="1">
                  <c:v>0.32121075818029837</c:v>
                </c:pt>
                <c:pt idx="2">
                  <c:v>0.57104134787608607</c:v>
                </c:pt>
                <c:pt idx="3">
                  <c:v>0.89225210605638461</c:v>
                </c:pt>
                <c:pt idx="4">
                  <c:v>1.2848430327211942</c:v>
                </c:pt>
                <c:pt idx="5">
                  <c:v>1.7488141278705138</c:v>
                </c:pt>
                <c:pt idx="6">
                  <c:v>2.2841653915043443</c:v>
                </c:pt>
                <c:pt idx="7">
                  <c:v>2.8908968236226862</c:v>
                </c:pt>
                <c:pt idx="8">
                  <c:v>3.5690084242255384</c:v>
                </c:pt>
              </c:numCache>
            </c:numRef>
          </c:val>
        </c:ser>
        <c:axId val="76893184"/>
        <c:axId val="76903552"/>
      </c:areaChart>
      <c:catAx>
        <c:axId val="7689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76903552"/>
        <c:crosses val="autoZero"/>
        <c:auto val="1"/>
        <c:lblAlgn val="ctr"/>
        <c:lblOffset val="100"/>
      </c:catAx>
      <c:valAx>
        <c:axId val="7690355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7689318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Dr.</a:t>
            </a:r>
            <a:r>
              <a:rPr lang="en-US" baseline="0"/>
              <a:t> Koyama (1974)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RED'!$D$72:$D$73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RED'!$B$74:$B$82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RED'!$D$74:$D$82</c:f>
              <c:numCache>
                <c:formatCode>0.00</c:formatCode>
                <c:ptCount val="9"/>
                <c:pt idx="0">
                  <c:v>0.17163140908512051</c:v>
                </c:pt>
                <c:pt idx="1">
                  <c:v>0.38617067044152109</c:v>
                </c:pt>
                <c:pt idx="2">
                  <c:v>0.68652563634048203</c:v>
                </c:pt>
                <c:pt idx="3">
                  <c:v>1.0726963067820035</c:v>
                </c:pt>
                <c:pt idx="4">
                  <c:v>1.544682681766085</c:v>
                </c:pt>
                <c:pt idx="5">
                  <c:v>2.1024847612927267</c:v>
                </c:pt>
                <c:pt idx="6">
                  <c:v>2.7461025453619281</c:v>
                </c:pt>
                <c:pt idx="7">
                  <c:v>3.4755360339736905</c:v>
                </c:pt>
                <c:pt idx="8">
                  <c:v>4.2907852271280138</c:v>
                </c:pt>
              </c:numCache>
            </c:numRef>
          </c:val>
        </c:ser>
        <c:ser>
          <c:idx val="1"/>
          <c:order val="1"/>
          <c:tx>
            <c:strRef>
              <c:f>'Resistencia de la RED'!$E$72:$E$73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RED'!$B$74:$B$82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RED'!$E$74:$E$82</c:f>
              <c:numCache>
                <c:formatCode>0.00</c:formatCode>
                <c:ptCount val="9"/>
                <c:pt idx="0">
                  <c:v>0.15330311080230155</c:v>
                </c:pt>
                <c:pt idx="1">
                  <c:v>0.34493199930517848</c:v>
                </c:pt>
                <c:pt idx="2">
                  <c:v>0.6132124432092062</c:v>
                </c:pt>
                <c:pt idx="3">
                  <c:v>0.95814444251438491</c:v>
                </c:pt>
                <c:pt idx="4">
                  <c:v>1.3797279972207146</c:v>
                </c:pt>
                <c:pt idx="5">
                  <c:v>1.8779631073281942</c:v>
                </c:pt>
                <c:pt idx="6">
                  <c:v>2.4528497728368248</c:v>
                </c:pt>
                <c:pt idx="7">
                  <c:v>3.1043879937466068</c:v>
                </c:pt>
                <c:pt idx="8">
                  <c:v>3.8325777700575396</c:v>
                </c:pt>
              </c:numCache>
            </c:numRef>
          </c:val>
        </c:ser>
        <c:axId val="76933760"/>
        <c:axId val="76944128"/>
      </c:areaChart>
      <c:catAx>
        <c:axId val="76933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76944128"/>
        <c:crosses val="autoZero"/>
        <c:auto val="1"/>
        <c:lblAlgn val="ctr"/>
        <c:lblOffset val="100"/>
      </c:catAx>
      <c:valAx>
        <c:axId val="76944128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Ton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769337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Dr.</a:t>
            </a:r>
            <a:r>
              <a:rPr lang="en-US" baseline="0"/>
              <a:t> Koyama (1984)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RED'!$C$89:$C$90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RED'!$B$91:$B$99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RED'!$C$91:$C$99</c:f>
              <c:numCache>
                <c:formatCode>0.00</c:formatCode>
                <c:ptCount val="9"/>
                <c:pt idx="0">
                  <c:v>0.24832616960000004</c:v>
                </c:pt>
                <c:pt idx="1">
                  <c:v>0.55873388160000015</c:v>
                </c:pt>
                <c:pt idx="2">
                  <c:v>0.99330467840000014</c:v>
                </c:pt>
                <c:pt idx="3">
                  <c:v>1.5520385600000002</c:v>
                </c:pt>
                <c:pt idx="4">
                  <c:v>2.2349355264000006</c:v>
                </c:pt>
                <c:pt idx="5">
                  <c:v>3.0419955776000007</c:v>
                </c:pt>
                <c:pt idx="6">
                  <c:v>3.9732187136000006</c:v>
                </c:pt>
                <c:pt idx="7">
                  <c:v>5.0286049344000014</c:v>
                </c:pt>
                <c:pt idx="8">
                  <c:v>6.2081542400000007</c:v>
                </c:pt>
              </c:numCache>
            </c:numRef>
          </c:val>
        </c:ser>
        <c:ser>
          <c:idx val="1"/>
          <c:order val="1"/>
          <c:tx>
            <c:strRef>
              <c:f>'Resistencia de la RED'!$D$89:$D$90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RED'!$B$91:$B$99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RED'!$D$91:$D$99</c:f>
              <c:numCache>
                <c:formatCode>0.00</c:formatCode>
                <c:ptCount val="9"/>
                <c:pt idx="0">
                  <c:v>0.22712941883076929</c:v>
                </c:pt>
                <c:pt idx="1">
                  <c:v>0.51104119236923085</c:v>
                </c:pt>
                <c:pt idx="2">
                  <c:v>0.90851767532307715</c:v>
                </c:pt>
                <c:pt idx="3">
                  <c:v>1.4195588676923081</c:v>
                </c:pt>
                <c:pt idx="4">
                  <c:v>2.0441647694769234</c:v>
                </c:pt>
                <c:pt idx="5">
                  <c:v>2.7823353806769235</c:v>
                </c:pt>
                <c:pt idx="6">
                  <c:v>3.6340707012923086</c:v>
                </c:pt>
                <c:pt idx="7">
                  <c:v>4.5993707313230781</c:v>
                </c:pt>
                <c:pt idx="8">
                  <c:v>5.6782354707692324</c:v>
                </c:pt>
              </c:numCache>
            </c:numRef>
          </c:val>
        </c:ser>
        <c:axId val="76994816"/>
        <c:axId val="86512000"/>
      </c:areaChart>
      <c:catAx>
        <c:axId val="76994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86512000"/>
        <c:crosses val="autoZero"/>
        <c:auto val="1"/>
        <c:lblAlgn val="ctr"/>
        <c:lblOffset val="100"/>
      </c:catAx>
      <c:valAx>
        <c:axId val="8651200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769948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Dr.</a:t>
            </a:r>
            <a:r>
              <a:rPr lang="en-US" baseline="0"/>
              <a:t> Hamuro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RED'!$D$115:$D$116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RED'!$B$117:$B$125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RED'!$D$117:$D$125</c:f>
              <c:numCache>
                <c:formatCode>0.00</c:formatCode>
                <c:ptCount val="9"/>
                <c:pt idx="0">
                  <c:v>6.417532799802525E-2</c:v>
                </c:pt>
                <c:pt idx="1">
                  <c:v>0.14439448799555679</c:v>
                </c:pt>
                <c:pt idx="2">
                  <c:v>0.256701311992101</c:v>
                </c:pt>
                <c:pt idx="3">
                  <c:v>0.40109579998765793</c:v>
                </c:pt>
                <c:pt idx="4">
                  <c:v>0.57757795198222739</c:v>
                </c:pt>
                <c:pt idx="5">
                  <c:v>0.78614776797580943</c:v>
                </c:pt>
                <c:pt idx="6">
                  <c:v>1.026805247968404</c:v>
                </c:pt>
                <c:pt idx="7">
                  <c:v>1.2995503919600115</c:v>
                </c:pt>
                <c:pt idx="8">
                  <c:v>1.6043831999506317</c:v>
                </c:pt>
              </c:numCache>
            </c:numRef>
          </c:val>
        </c:ser>
        <c:ser>
          <c:idx val="1"/>
          <c:order val="1"/>
          <c:tx>
            <c:strRef>
              <c:f>'Resistencia de la RED'!$E$115:$E$116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RED'!$B$117:$B$125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RED'!$E$117:$E$125</c:f>
              <c:numCache>
                <c:formatCode>0.00</c:formatCode>
                <c:ptCount val="9"/>
                <c:pt idx="0">
                  <c:v>6.2462857687519198E-2</c:v>
                </c:pt>
                <c:pt idx="1">
                  <c:v>0.14054142979691819</c:v>
                </c:pt>
                <c:pt idx="2">
                  <c:v>0.24985143075007679</c:v>
                </c:pt>
                <c:pt idx="3">
                  <c:v>0.39039286054699518</c:v>
                </c:pt>
                <c:pt idx="4">
                  <c:v>0.562165719187673</c:v>
                </c:pt>
                <c:pt idx="5">
                  <c:v>0.76517000667211033</c:v>
                </c:pt>
                <c:pt idx="6">
                  <c:v>0.99940572300030717</c:v>
                </c:pt>
                <c:pt idx="7">
                  <c:v>1.2648728681722641</c:v>
                </c:pt>
                <c:pt idx="8">
                  <c:v>1.5615714421879807</c:v>
                </c:pt>
              </c:numCache>
            </c:numRef>
          </c:val>
        </c:ser>
        <c:axId val="86554496"/>
        <c:axId val="86573056"/>
      </c:areaChart>
      <c:catAx>
        <c:axId val="86554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6573056"/>
        <c:crosses val="autoZero"/>
        <c:auto val="1"/>
        <c:lblAlgn val="ctr"/>
        <c:lblOffset val="100"/>
      </c:catAx>
      <c:valAx>
        <c:axId val="8657305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865544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Dr.</a:t>
            </a:r>
            <a:r>
              <a:rPr lang="en-US" baseline="0"/>
              <a:t> Nomura (1981)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1"/>
          <c:order val="0"/>
          <c:tx>
            <c:strRef>
              <c:f>'Resistencia de la RED'!$E$130:$E$131</c:f>
              <c:strCache>
                <c:ptCount val="1"/>
                <c:pt idx="0">
                  <c:v>NHP 180 HP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RED'!$B$132:$B$140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RED'!$E$132:$E$140</c:f>
              <c:numCache>
                <c:formatCode>0.00</c:formatCode>
                <c:ptCount val="9"/>
                <c:pt idx="0">
                  <c:v>2.5194401244167968</c:v>
                </c:pt>
                <c:pt idx="1">
                  <c:v>1.6796267496111974</c:v>
                </c:pt>
                <c:pt idx="2">
                  <c:v>1.2597200622083984</c:v>
                </c:pt>
                <c:pt idx="3">
                  <c:v>1.0077760497667185</c:v>
                </c:pt>
                <c:pt idx="4">
                  <c:v>0.83981337480559859</c:v>
                </c:pt>
                <c:pt idx="5">
                  <c:v>0.71984003554765608</c:v>
                </c:pt>
                <c:pt idx="6">
                  <c:v>0.62986003110419919</c:v>
                </c:pt>
                <c:pt idx="7">
                  <c:v>0.55987558320373254</c:v>
                </c:pt>
                <c:pt idx="8">
                  <c:v>0.50388802488335926</c:v>
                </c:pt>
              </c:numCache>
            </c:numRef>
          </c:val>
        </c:ser>
        <c:ser>
          <c:idx val="0"/>
          <c:order val="1"/>
          <c:tx>
            <c:strRef>
              <c:f>'Resistencia de la RED'!$D$130:$D$131</c:f>
              <c:strCache>
                <c:ptCount val="1"/>
                <c:pt idx="0">
                  <c:v>NHP 150 HP Ton</c:v>
                </c:pt>
              </c:strCache>
            </c:strRef>
          </c:tx>
          <c:cat>
            <c:numRef>
              <c:f>'Resistencia de la RED'!$B$132:$B$140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RED'!$D$132:$D$140</c:f>
              <c:numCache>
                <c:formatCode>0.00</c:formatCode>
                <c:ptCount val="9"/>
                <c:pt idx="0">
                  <c:v>2.0995334370139971</c:v>
                </c:pt>
                <c:pt idx="1">
                  <c:v>1.3996889580093315</c:v>
                </c:pt>
                <c:pt idx="2">
                  <c:v>1.0497667185069985</c:v>
                </c:pt>
                <c:pt idx="3">
                  <c:v>0.8398133748055987</c:v>
                </c:pt>
                <c:pt idx="4">
                  <c:v>0.69984447900466562</c:v>
                </c:pt>
                <c:pt idx="5">
                  <c:v>0.59986669628971345</c:v>
                </c:pt>
                <c:pt idx="6">
                  <c:v>0.52488335925349927</c:v>
                </c:pt>
                <c:pt idx="7">
                  <c:v>0.46656298600311041</c:v>
                </c:pt>
                <c:pt idx="8">
                  <c:v>0.41990668740279935</c:v>
                </c:pt>
              </c:numCache>
            </c:numRef>
          </c:val>
        </c:ser>
        <c:axId val="86586880"/>
        <c:axId val="86588800"/>
      </c:areaChart>
      <c:catAx>
        <c:axId val="86586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6588800"/>
        <c:crosses val="autoZero"/>
        <c:auto val="1"/>
        <c:lblAlgn val="ctr"/>
        <c:lblOffset val="100"/>
      </c:catAx>
      <c:valAx>
        <c:axId val="8658880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Tiro</a:t>
                </a:r>
                <a:r>
                  <a:rPr lang="en-US" baseline="0"/>
                  <a:t> RN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865868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A.J.</a:t>
            </a:r>
            <a:r>
              <a:rPr lang="en-US" baseline="0"/>
              <a:t> REID (1977)</a:t>
            </a:r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RED'!$C$152:$C$153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RED'!$B$154:$B$162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RED'!$C$154:$C$162</c:f>
              <c:numCache>
                <c:formatCode>0.00</c:formatCode>
                <c:ptCount val="9"/>
                <c:pt idx="0">
                  <c:v>0.24067243408662897</c:v>
                </c:pt>
                <c:pt idx="1">
                  <c:v>0.54151297669491516</c:v>
                </c:pt>
                <c:pt idx="2">
                  <c:v>0.96268973634651589</c:v>
                </c:pt>
                <c:pt idx="3">
                  <c:v>1.5042027130414313</c:v>
                </c:pt>
                <c:pt idx="4">
                  <c:v>2.1660519067796606</c:v>
                </c:pt>
                <c:pt idx="5">
                  <c:v>2.9482373175612051</c:v>
                </c:pt>
                <c:pt idx="6">
                  <c:v>3.8507589453860636</c:v>
                </c:pt>
                <c:pt idx="7">
                  <c:v>4.8736167902542364</c:v>
                </c:pt>
                <c:pt idx="8">
                  <c:v>6.0168108521657251</c:v>
                </c:pt>
              </c:numCache>
            </c:numRef>
          </c:val>
        </c:ser>
        <c:ser>
          <c:idx val="1"/>
          <c:order val="1"/>
          <c:tx>
            <c:strRef>
              <c:f>'Resistencia de la RED'!$D$152:$D$153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RED'!$B$154:$B$162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RED'!$D$154:$D$162</c:f>
              <c:numCache>
                <c:formatCode>0.00</c:formatCode>
                <c:ptCount val="9"/>
                <c:pt idx="0">
                  <c:v>0.23559298493408659</c:v>
                </c:pt>
                <c:pt idx="1">
                  <c:v>0.53008421610169487</c:v>
                </c:pt>
                <c:pt idx="2">
                  <c:v>0.94237193973634636</c:v>
                </c:pt>
                <c:pt idx="3">
                  <c:v>1.4724561558380413</c:v>
                </c:pt>
                <c:pt idx="4">
                  <c:v>2.1203368644067795</c:v>
                </c:pt>
                <c:pt idx="5">
                  <c:v>2.886014065442561</c:v>
                </c:pt>
                <c:pt idx="6">
                  <c:v>3.7694877589453855</c:v>
                </c:pt>
                <c:pt idx="7">
                  <c:v>4.7707579449152533</c:v>
                </c:pt>
                <c:pt idx="8">
                  <c:v>5.8898246233521654</c:v>
                </c:pt>
              </c:numCache>
            </c:numRef>
          </c:val>
        </c:ser>
        <c:axId val="86647936"/>
        <c:axId val="86649856"/>
      </c:areaChart>
      <c:catAx>
        <c:axId val="86647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6649856"/>
        <c:crosses val="autoZero"/>
        <c:auto val="1"/>
        <c:lblAlgn val="ctr"/>
        <c:lblOffset val="100"/>
      </c:catAx>
      <c:valAx>
        <c:axId val="8664985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8664793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Robertson</a:t>
            </a:r>
            <a:r>
              <a:rPr lang="en-US" baseline="0"/>
              <a:t> (1981)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RED'!$C$172:$C$173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RED'!$B$174:$B$182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RED'!$C$174:$C$182</c:f>
              <c:numCache>
                <c:formatCode>0.00</c:formatCode>
                <c:ptCount val="9"/>
                <c:pt idx="0">
                  <c:v>0.37978324665676078</c:v>
                </c:pt>
                <c:pt idx="1">
                  <c:v>0.65364697733892163</c:v>
                </c:pt>
                <c:pt idx="2">
                  <c:v>0.94087334637064302</c:v>
                </c:pt>
                <c:pt idx="3">
                  <c:v>1.2350525489248612</c:v>
                </c:pt>
                <c:pt idx="4">
                  <c:v>1.533309198466922</c:v>
                </c:pt>
                <c:pt idx="5">
                  <c:v>1.834161333430967</c:v>
                </c:pt>
                <c:pt idx="6">
                  <c:v>2.13676755273986</c:v>
                </c:pt>
                <c:pt idx="7">
                  <c:v>2.4406146738970258</c:v>
                </c:pt>
                <c:pt idx="8">
                  <c:v>2.7453719119226636</c:v>
                </c:pt>
              </c:numCache>
            </c:numRef>
          </c:val>
        </c:ser>
        <c:ser>
          <c:idx val="1"/>
          <c:order val="1"/>
          <c:tx>
            <c:strRef>
              <c:f>'Resistencia de la RED'!$D$172:$D$173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RED'!$B$174:$B$182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RED'!$D$174:$D$182</c:f>
              <c:numCache>
                <c:formatCode>0.00</c:formatCode>
                <c:ptCount val="9"/>
                <c:pt idx="0">
                  <c:v>0.37176783060921242</c:v>
                </c:pt>
                <c:pt idx="1">
                  <c:v>0.63985160190381474</c:v>
                </c:pt>
                <c:pt idx="2">
                  <c:v>0.92101598987691236</c:v>
                </c:pt>
                <c:pt idx="3">
                  <c:v>1.2089864701618747</c:v>
                </c:pt>
                <c:pt idx="4">
                  <c:v>1.5009483419430094</c:v>
                </c:pt>
                <c:pt idx="5">
                  <c:v>1.7954509208069418</c:v>
                </c:pt>
                <c:pt idx="6">
                  <c:v>2.091670563647051</c:v>
                </c:pt>
                <c:pt idx="7">
                  <c:v>2.3891049188058111</c:v>
                </c:pt>
                <c:pt idx="8">
                  <c:v>2.6874301825993552</c:v>
                </c:pt>
              </c:numCache>
            </c:numRef>
          </c:val>
        </c:ser>
        <c:axId val="86700800"/>
        <c:axId val="86702720"/>
      </c:areaChart>
      <c:catAx>
        <c:axId val="86700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86702720"/>
        <c:crosses val="autoZero"/>
        <c:auto val="1"/>
        <c:lblAlgn val="ctr"/>
        <c:lblOffset val="100"/>
      </c:catAx>
      <c:valAx>
        <c:axId val="8670272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867008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Mac.</a:t>
            </a:r>
            <a:r>
              <a:rPr lang="en-US" baseline="0"/>
              <a:t> Lennan (1981)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RED'!$C$194:$C$195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RED'!$B$196:$B$204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RED'!$C$196:$C$204</c:f>
              <c:numCache>
                <c:formatCode>0.00</c:formatCode>
                <c:ptCount val="9"/>
                <c:pt idx="0">
                  <c:v>0.42244579552739364</c:v>
                </c:pt>
                <c:pt idx="1">
                  <c:v>0.63168936629854988</c:v>
                </c:pt>
                <c:pt idx="2">
                  <c:v>0.91516461430118201</c:v>
                </c:pt>
                <c:pt idx="3">
                  <c:v>1.2667199551648474</c:v>
                </c:pt>
                <c:pt idx="4">
                  <c:v>1.6808652430130147</c:v>
                </c:pt>
                <c:pt idx="5">
                  <c:v>2.1526851975724286</c:v>
                </c:pt>
                <c:pt idx="6">
                  <c:v>2.6777660818132532</c:v>
                </c:pt>
                <c:pt idx="7">
                  <c:v>3.2521333228852658</c:v>
                </c:pt>
                <c:pt idx="8">
                  <c:v>3.87219821710856</c:v>
                </c:pt>
              </c:numCache>
            </c:numRef>
          </c:val>
        </c:ser>
        <c:ser>
          <c:idx val="1"/>
          <c:order val="1"/>
          <c:tx>
            <c:strRef>
              <c:f>'Resistencia de la RED'!$D$194:$D$195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RED'!$B$196:$B$204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RED'!$D$196:$D$204</c:f>
              <c:numCache>
                <c:formatCode>0.00</c:formatCode>
                <c:ptCount val="9"/>
                <c:pt idx="0">
                  <c:v>0.4135299762054585</c:v>
                </c:pt>
                <c:pt idx="1">
                  <c:v>0.61835741148414747</c:v>
                </c:pt>
                <c:pt idx="2">
                  <c:v>0.89584984673259682</c:v>
                </c:pt>
                <c:pt idx="3">
                  <c:v>1.2399855282364414</c:v>
                </c:pt>
                <c:pt idx="4">
                  <c:v>1.6453901809579758</c:v>
                </c:pt>
                <c:pt idx="5">
                  <c:v>2.1072522627870347</c:v>
                </c:pt>
                <c:pt idx="6">
                  <c:v>2.6212511896670372</c:v>
                </c:pt>
                <c:pt idx="7">
                  <c:v>3.1834962730562082</c:v>
                </c:pt>
                <c:pt idx="8">
                  <c:v>3.7904745497221715</c:v>
                </c:pt>
              </c:numCache>
            </c:numRef>
          </c:val>
        </c:ser>
        <c:axId val="88850816"/>
        <c:axId val="88852736"/>
      </c:areaChart>
      <c:catAx>
        <c:axId val="88850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8852736"/>
        <c:crosses val="autoZero"/>
        <c:auto val="1"/>
        <c:lblAlgn val="ctr"/>
        <c:lblOffset val="100"/>
      </c:catAx>
      <c:valAx>
        <c:axId val="8885273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888508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Aberdeen</a:t>
            </a:r>
            <a:r>
              <a:rPr lang="en-US" baseline="0"/>
              <a:t> DP</a:t>
            </a:r>
            <a:endParaRPr lang="en-US"/>
          </a:p>
        </c:rich>
      </c:tx>
      <c:layout/>
    </c:title>
    <c:plotArea>
      <c:layout/>
      <c:areaChart>
        <c:grouping val="standard"/>
        <c:ser>
          <c:idx val="1"/>
          <c:order val="0"/>
          <c:tx>
            <c:strRef>
              <c:f>'Resistencia de la RED'!$C$212:$C$213</c:f>
              <c:strCache>
                <c:ptCount val="1"/>
                <c:pt idx="0">
                  <c:v>RN Estándar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RED'!$B$214:$B$222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RED'!$C$214:$C$222</c:f>
              <c:numCache>
                <c:formatCode>0.00</c:formatCode>
                <c:ptCount val="9"/>
                <c:pt idx="0">
                  <c:v>0.42236322657644959</c:v>
                </c:pt>
                <c:pt idx="1">
                  <c:v>0.6315295608721434</c:v>
                </c:pt>
                <c:pt idx="2">
                  <c:v>0.91490100549547948</c:v>
                </c:pt>
                <c:pt idx="3">
                  <c:v>1.2663281776772248</c:v>
                </c:pt>
                <c:pt idx="4">
                  <c:v>1.6803228964186867</c:v>
                </c:pt>
                <c:pt idx="5">
                  <c:v>2.1519716405847999</c:v>
                </c:pt>
                <c:pt idx="6">
                  <c:v>2.6768622527857371</c:v>
                </c:pt>
                <c:pt idx="7">
                  <c:v>3.2510215826380531</c:v>
                </c:pt>
                <c:pt idx="8">
                  <c:v>3.8708622108292312</c:v>
                </c:pt>
              </c:numCache>
            </c:numRef>
          </c:val>
        </c:ser>
        <c:ser>
          <c:idx val="2"/>
          <c:order val="1"/>
          <c:tx>
            <c:strRef>
              <c:f>'Resistencia de la RED'!$D$212:$D$213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RED'!$B$214:$B$222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RED'!$D$214:$D$222</c:f>
              <c:numCache>
                <c:formatCode>0.00</c:formatCode>
                <c:ptCount val="9"/>
                <c:pt idx="0">
                  <c:v>0.41344914989192738</c:v>
                </c:pt>
                <c:pt idx="1">
                  <c:v>0.61820097878939917</c:v>
                </c:pt>
                <c:pt idx="2">
                  <c:v>0.89559180145364281</c:v>
                </c:pt>
                <c:pt idx="3">
                  <c:v>1.2396020193061839</c:v>
                </c:pt>
                <c:pt idx="4">
                  <c:v>1.6448592807179403</c:v>
                </c:pt>
                <c:pt idx="5">
                  <c:v>2.1065537655899047</c:v>
                </c:pt>
                <c:pt idx="6">
                  <c:v>2.620366436166826</c:v>
                </c:pt>
                <c:pt idx="7">
                  <c:v>3.1824079963522052</c:v>
                </c:pt>
                <c:pt idx="8">
                  <c:v>3.789166740174176</c:v>
                </c:pt>
              </c:numCache>
            </c:numRef>
          </c:val>
        </c:ser>
        <c:axId val="88887296"/>
        <c:axId val="88889216"/>
      </c:areaChart>
      <c:catAx>
        <c:axId val="88887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8889216"/>
        <c:crosses val="autoZero"/>
        <c:auto val="1"/>
        <c:lblAlgn val="ctr"/>
        <c:lblOffset val="100"/>
      </c:catAx>
      <c:valAx>
        <c:axId val="88889216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" sourceLinked="1"/>
        <c:majorTickMark val="none"/>
        <c:tickLblPos val="nextTo"/>
        <c:crossAx val="888872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Aberdeen</a:t>
            </a:r>
            <a:r>
              <a:rPr lang="en-US" baseline="0"/>
              <a:t> PN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RED'!$C$235:$C$236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RED'!$B$237:$B$245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RED'!$C$237:$C$245</c:f>
              <c:numCache>
                <c:formatCode>0.00</c:formatCode>
                <c:ptCount val="9"/>
                <c:pt idx="0">
                  <c:v>0.35329098860413038</c:v>
                </c:pt>
                <c:pt idx="1">
                  <c:v>0.79303018175499551</c:v>
                </c:pt>
                <c:pt idx="2">
                  <c:v>1.4065145945517583</c:v>
                </c:pt>
                <c:pt idx="3">
                  <c:v>2.1925208202594191</c:v>
                </c:pt>
                <c:pt idx="4">
                  <c:v>3.1498369112151834</c:v>
                </c:pt>
                <c:pt idx="5">
                  <c:v>4.2772622449772539</c:v>
                </c:pt>
                <c:pt idx="6">
                  <c:v>5.5736073923454379</c:v>
                </c:pt>
                <c:pt idx="7">
                  <c:v>7.0376939872231068</c:v>
                </c:pt>
                <c:pt idx="8">
                  <c:v>8.6683545982906001</c:v>
                </c:pt>
              </c:numCache>
            </c:numRef>
          </c:val>
        </c:ser>
        <c:ser>
          <c:idx val="1"/>
          <c:order val="1"/>
          <c:tx>
            <c:strRef>
              <c:f>'Resistencia de la RED'!$D$235:$D$236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RED'!$B$237:$B$245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RED'!$D$237:$D$245</c:f>
              <c:numCache>
                <c:formatCode>0.00</c:formatCode>
                <c:ptCount val="9"/>
                <c:pt idx="0">
                  <c:v>0.34583469798457328</c:v>
                </c:pt>
                <c:pt idx="1">
                  <c:v>0.77629309052997375</c:v>
                </c:pt>
                <c:pt idx="2">
                  <c:v>1.376829768400198</c:v>
                </c:pt>
                <c:pt idx="3">
                  <c:v>2.1462471451513276</c:v>
                </c:pt>
                <c:pt idx="4">
                  <c:v>3.0833588515651953</c:v>
                </c:pt>
                <c:pt idx="5">
                  <c:v>4.1869896046231405</c:v>
                </c:pt>
                <c:pt idx="6">
                  <c:v>5.4559750783120711</c:v>
                </c:pt>
                <c:pt idx="7">
                  <c:v>6.8891617762330197</c:v>
                </c:pt>
                <c:pt idx="8">
                  <c:v>8.4854069059829058</c:v>
                </c:pt>
              </c:numCache>
            </c:numRef>
          </c:val>
        </c:ser>
        <c:axId val="89014272"/>
        <c:axId val="89016192"/>
      </c:areaChart>
      <c:catAx>
        <c:axId val="89014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9016192"/>
        <c:crosses val="autoZero"/>
        <c:auto val="1"/>
        <c:lblAlgn val="ctr"/>
        <c:lblOffset val="100"/>
      </c:catAx>
      <c:valAx>
        <c:axId val="8901619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890142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Dr.</a:t>
            </a:r>
            <a:r>
              <a:rPr lang="en-US" baseline="0"/>
              <a:t> Fridman (1973)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RED'!$D$256:$D$257</c:f>
              <c:strCache>
                <c:ptCount val="1"/>
                <c:pt idx="0">
                  <c:v>RN Estándar Ton</c:v>
                </c:pt>
              </c:strCache>
            </c:strRef>
          </c:tx>
          <c:cat>
            <c:numRef>
              <c:f>'Resistencia de la RED'!$B$258:$B$266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RED'!$D$258:$D$266</c:f>
              <c:numCache>
                <c:formatCode>0.00</c:formatCode>
                <c:ptCount val="9"/>
                <c:pt idx="0">
                  <c:v>0.17032978134673898</c:v>
                </c:pt>
                <c:pt idx="1">
                  <c:v>0.38324200803016273</c:v>
                </c:pt>
                <c:pt idx="2">
                  <c:v>0.68131912538695594</c:v>
                </c:pt>
                <c:pt idx="3">
                  <c:v>1.064561133417119</c:v>
                </c:pt>
                <c:pt idx="4">
                  <c:v>1.5329680321206516</c:v>
                </c:pt>
                <c:pt idx="5">
                  <c:v>2.0865398214975532</c:v>
                </c:pt>
                <c:pt idx="6">
                  <c:v>2.7252765015478237</c:v>
                </c:pt>
                <c:pt idx="7">
                  <c:v>3.4491780722714647</c:v>
                </c:pt>
                <c:pt idx="8">
                  <c:v>4.258244533668476</c:v>
                </c:pt>
              </c:numCache>
            </c:numRef>
          </c:val>
        </c:ser>
        <c:ser>
          <c:idx val="1"/>
          <c:order val="1"/>
          <c:tx>
            <c:strRef>
              <c:f>'Resistencia de la RED'!$E$256:$E$257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RED'!$B$258:$B$266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RED'!$E$258:$E$266</c:f>
              <c:numCache>
                <c:formatCode>0.00</c:formatCode>
                <c:ptCount val="9"/>
                <c:pt idx="0">
                  <c:v>0.16264529512087136</c:v>
                </c:pt>
                <c:pt idx="1">
                  <c:v>0.36595191402196053</c:v>
                </c:pt>
                <c:pt idx="2">
                  <c:v>0.65058118048348546</c:v>
                </c:pt>
                <c:pt idx="3">
                  <c:v>1.0165330945054463</c:v>
                </c:pt>
                <c:pt idx="4">
                  <c:v>1.4638076560878428</c:v>
                </c:pt>
                <c:pt idx="5">
                  <c:v>1.9924048652306745</c:v>
                </c:pt>
                <c:pt idx="6">
                  <c:v>2.6023247219339418</c:v>
                </c:pt>
                <c:pt idx="7">
                  <c:v>3.293567226197645</c:v>
                </c:pt>
                <c:pt idx="8">
                  <c:v>4.0661323780217851</c:v>
                </c:pt>
              </c:numCache>
            </c:numRef>
          </c:val>
        </c:ser>
        <c:axId val="89058688"/>
        <c:axId val="88942080"/>
      </c:areaChart>
      <c:catAx>
        <c:axId val="890586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88942080"/>
        <c:crosses val="autoZero"/>
        <c:auto val="1"/>
        <c:lblAlgn val="ctr"/>
        <c:lblOffset val="100"/>
      </c:catAx>
      <c:valAx>
        <c:axId val="88942080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" sourceLinked="1"/>
        <c:majorTickMark val="none"/>
        <c:tickLblPos val="nextTo"/>
        <c:crossAx val="890586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Dickso</a:t>
            </a:r>
            <a:r>
              <a:rPr lang="en-US" baseline="0"/>
              <a:t>n</a:t>
            </a:r>
            <a:endParaRPr lang="en-US"/>
          </a:p>
        </c:rich>
      </c:tx>
      <c:layout/>
    </c:title>
    <c:plotArea>
      <c:layout/>
      <c:areaChart>
        <c:grouping val="standard"/>
        <c:ser>
          <c:idx val="0"/>
          <c:order val="0"/>
          <c:tx>
            <c:strRef>
              <c:f>'Resistencia de la RED'!$E$280:$E$281</c:f>
              <c:strCache>
                <c:ptCount val="1"/>
                <c:pt idx="0">
                  <c:v>RN Estandar Ton</c:v>
                </c:pt>
              </c:strCache>
            </c:strRef>
          </c:tx>
          <c:cat>
            <c:numRef>
              <c:f>'Resistencia de la RED'!$B$282:$B$290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RED'!$E$282:$E$290</c:f>
              <c:numCache>
                <c:formatCode>0.000</c:formatCode>
                <c:ptCount val="9"/>
                <c:pt idx="0">
                  <c:v>0.64627849019750483</c:v>
                </c:pt>
                <c:pt idx="1">
                  <c:v>0.69402113694812462</c:v>
                </c:pt>
                <c:pt idx="2">
                  <c:v>0.63598575426356518</c:v>
                </c:pt>
                <c:pt idx="3">
                  <c:v>0.56688107347934535</c:v>
                </c:pt>
                <c:pt idx="4">
                  <c:v>0.50991941499490612</c:v>
                </c:pt>
                <c:pt idx="5">
                  <c:v>0.46690264056000036</c:v>
                </c:pt>
                <c:pt idx="6">
                  <c:v>0.43519095507175959</c:v>
                </c:pt>
                <c:pt idx="7">
                  <c:v>0.41194502453276</c:v>
                </c:pt>
                <c:pt idx="8">
                  <c:v>0.39493416234260759</c:v>
                </c:pt>
              </c:numCache>
            </c:numRef>
          </c:val>
        </c:ser>
        <c:ser>
          <c:idx val="1"/>
          <c:order val="1"/>
          <c:tx>
            <c:strRef>
              <c:f>'Resistencia de la RED'!$F$280:$F$281</c:f>
              <c:strCache>
                <c:ptCount val="1"/>
                <c:pt idx="0">
                  <c:v>RN Modificada Ton</c:v>
                </c:pt>
              </c:strCache>
            </c:strRef>
          </c:tx>
          <c:spPr>
            <a:ln w="25400">
              <a:noFill/>
            </a:ln>
          </c:spPr>
          <c:cat>
            <c:numRef>
              <c:f>'Resistencia de la RED'!$B$282:$B$290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RED'!$F$282:$F$290</c:f>
              <c:numCache>
                <c:formatCode>0.000</c:formatCode>
                <c:ptCount val="9"/>
                <c:pt idx="0">
                  <c:v>0.59111312399265648</c:v>
                </c:pt>
                <c:pt idx="1">
                  <c:v>0.63478052975733268</c:v>
                </c:pt>
                <c:pt idx="2">
                  <c:v>0.58169896061785009</c:v>
                </c:pt>
                <c:pt idx="3">
                  <c:v>0.51849295212390822</c:v>
                </c:pt>
                <c:pt idx="4">
                  <c:v>0.46639345569126384</c:v>
                </c:pt>
                <c:pt idx="5">
                  <c:v>0.42704852884318967</c:v>
                </c:pt>
                <c:pt idx="6">
                  <c:v>0.3980437054422159</c:v>
                </c:pt>
                <c:pt idx="7">
                  <c:v>0.37678201279819012</c:v>
                </c:pt>
                <c:pt idx="8">
                  <c:v>0.36122317238566676</c:v>
                </c:pt>
              </c:numCache>
            </c:numRef>
          </c:val>
        </c:ser>
        <c:axId val="88976768"/>
        <c:axId val="88991232"/>
      </c:areaChart>
      <c:catAx>
        <c:axId val="88976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88991232"/>
        <c:crosses val="autoZero"/>
        <c:auto val="1"/>
        <c:lblAlgn val="ctr"/>
        <c:lblOffset val="100"/>
      </c:catAx>
      <c:valAx>
        <c:axId val="8899123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0" sourceLinked="1"/>
        <c:majorTickMark val="none"/>
        <c:tickLblPos val="nextTo"/>
        <c:crossAx val="8897676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Resumen</a:t>
            </a:r>
            <a:r>
              <a:rPr lang="en-US" baseline="0"/>
              <a:t> de Resistencias de La Red FAO A3 ESTANDAR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'Resistencia de la RED'!$C$298:$C$299</c:f>
              <c:strCache>
                <c:ptCount val="1"/>
                <c:pt idx="0">
                  <c:v>Tauti,  Nomura, Shu.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RED'!$C$302:$C$310</c:f>
              <c:numCache>
                <c:formatCode>0.000</c:formatCode>
                <c:ptCount val="9"/>
                <c:pt idx="0">
                  <c:v>0.43664128534237878</c:v>
                </c:pt>
                <c:pt idx="1">
                  <c:v>0.78606257987739081</c:v>
                </c:pt>
                <c:pt idx="2">
                  <c:v>1.1929391470773452</c:v>
                </c:pt>
                <c:pt idx="3">
                  <c:v>1.6486854656491878</c:v>
                </c:pt>
                <c:pt idx="4">
                  <c:v>2.1475862568814672</c:v>
                </c:pt>
                <c:pt idx="5">
                  <c:v>2.6854895148627609</c:v>
                </c:pt>
                <c:pt idx="6">
                  <c:v>3.2592057975318118</c:v>
                </c:pt>
                <c:pt idx="7">
                  <c:v>3.8661877615850591</c:v>
                </c:pt>
                <c:pt idx="8">
                  <c:v>4.5043414336053118</c:v>
                </c:pt>
              </c:numCache>
            </c:numRef>
          </c:val>
        </c:ser>
        <c:ser>
          <c:idx val="1"/>
          <c:order val="1"/>
          <c:tx>
            <c:v>TAUTI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RED'!$D$302:$D$310</c:f>
              <c:numCache>
                <c:formatCode>0.000</c:formatCode>
                <c:ptCount val="9"/>
                <c:pt idx="0">
                  <c:v>0.11592349328944201</c:v>
                </c:pt>
                <c:pt idx="1">
                  <c:v>0.26082785990124457</c:v>
                </c:pt>
                <c:pt idx="2">
                  <c:v>0.46369397315776806</c:v>
                </c:pt>
                <c:pt idx="3">
                  <c:v>0.72452183305901285</c:v>
                </c:pt>
                <c:pt idx="4">
                  <c:v>1.0433114396049785</c:v>
                </c:pt>
                <c:pt idx="5">
                  <c:v>1.4200627927956651</c:v>
                </c:pt>
                <c:pt idx="6">
                  <c:v>1.8547758926310722</c:v>
                </c:pt>
                <c:pt idx="7">
                  <c:v>2.3474507391112009</c:v>
                </c:pt>
                <c:pt idx="8">
                  <c:v>2.8980873322360514</c:v>
                </c:pt>
              </c:numCache>
            </c:numRef>
          </c:val>
        </c:ser>
        <c:ser>
          <c:idx val="10"/>
          <c:order val="2"/>
          <c:tx>
            <c:v>TAUTI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RED'!$E$302:$E$310</c:f>
              <c:numCache>
                <c:formatCode>0.000</c:formatCode>
                <c:ptCount val="9"/>
                <c:pt idx="0">
                  <c:v>0.15608338115255999</c:v>
                </c:pt>
                <c:pt idx="1">
                  <c:v>0.35118760759325995</c:v>
                </c:pt>
                <c:pt idx="2">
                  <c:v>0.62433352461023994</c:v>
                </c:pt>
                <c:pt idx="3">
                  <c:v>0.97552113220350012</c:v>
                </c:pt>
                <c:pt idx="4">
                  <c:v>1.4047504303730403</c:v>
                </c:pt>
                <c:pt idx="5">
                  <c:v>1.91202141911886</c:v>
                </c:pt>
                <c:pt idx="6">
                  <c:v>2.4973340984409598</c:v>
                </c:pt>
                <c:pt idx="7">
                  <c:v>3.1606884683393401</c:v>
                </c:pt>
                <c:pt idx="8">
                  <c:v>3.9020845288140005</c:v>
                </c:pt>
              </c:numCache>
            </c:numRef>
          </c:val>
        </c:ser>
        <c:ser>
          <c:idx val="2"/>
          <c:order val="3"/>
          <c:tx>
            <c:strRef>
              <c:f>'Resistencia de la RED'!$F$298:$F$299</c:f>
              <c:strCache>
                <c:ptCount val="1"/>
                <c:pt idx="0">
                  <c:v>Koyama 1974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RED'!$F$302:$F$310</c:f>
              <c:numCache>
                <c:formatCode>0.000</c:formatCode>
                <c:ptCount val="9"/>
                <c:pt idx="0">
                  <c:v>0.17163140908512051</c:v>
                </c:pt>
                <c:pt idx="1">
                  <c:v>0.38617067044152109</c:v>
                </c:pt>
                <c:pt idx="2">
                  <c:v>0.68652563634048203</c:v>
                </c:pt>
                <c:pt idx="3">
                  <c:v>1.0726963067820035</c:v>
                </c:pt>
                <c:pt idx="4">
                  <c:v>1.544682681766085</c:v>
                </c:pt>
                <c:pt idx="5">
                  <c:v>2.1024847612927267</c:v>
                </c:pt>
                <c:pt idx="6">
                  <c:v>2.7461025453619281</c:v>
                </c:pt>
                <c:pt idx="7">
                  <c:v>3.4755360339736905</c:v>
                </c:pt>
                <c:pt idx="8">
                  <c:v>4.2907852271280138</c:v>
                </c:pt>
              </c:numCache>
            </c:numRef>
          </c:val>
        </c:ser>
        <c:ser>
          <c:idx val="3"/>
          <c:order val="4"/>
          <c:tx>
            <c:strRef>
              <c:f>'Resistencia de la RED'!$G$298:$G$299</c:f>
              <c:strCache>
                <c:ptCount val="1"/>
                <c:pt idx="0">
                  <c:v>Koyama 1984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RED'!$G$302:$G$310</c:f>
              <c:numCache>
                <c:formatCode>0.000</c:formatCode>
                <c:ptCount val="9"/>
                <c:pt idx="0">
                  <c:v>0.24832616960000004</c:v>
                </c:pt>
                <c:pt idx="1">
                  <c:v>0.55873388160000015</c:v>
                </c:pt>
                <c:pt idx="2">
                  <c:v>0.99330467840000014</c:v>
                </c:pt>
                <c:pt idx="3">
                  <c:v>1.5520385600000002</c:v>
                </c:pt>
                <c:pt idx="4">
                  <c:v>2.2349355264000006</c:v>
                </c:pt>
                <c:pt idx="5">
                  <c:v>3.0419955776000007</c:v>
                </c:pt>
                <c:pt idx="6">
                  <c:v>3.9732187136000006</c:v>
                </c:pt>
                <c:pt idx="7">
                  <c:v>5.0286049344000014</c:v>
                </c:pt>
                <c:pt idx="8">
                  <c:v>6.2081542400000007</c:v>
                </c:pt>
              </c:numCache>
            </c:numRef>
          </c:val>
        </c:ser>
        <c:ser>
          <c:idx val="4"/>
          <c:order val="5"/>
          <c:tx>
            <c:strRef>
              <c:f>'Resistencia de la RED'!$H$298</c:f>
              <c:strCache>
                <c:ptCount val="1"/>
                <c:pt idx="0">
                  <c:v>Hamuro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RED'!$H$302:$H$310</c:f>
              <c:numCache>
                <c:formatCode>0.000</c:formatCode>
                <c:ptCount val="9"/>
                <c:pt idx="0">
                  <c:v>6.417532799802525E-2</c:v>
                </c:pt>
                <c:pt idx="1">
                  <c:v>0.14439448799555679</c:v>
                </c:pt>
                <c:pt idx="2">
                  <c:v>0.256701311992101</c:v>
                </c:pt>
                <c:pt idx="3">
                  <c:v>0.40109579998765793</c:v>
                </c:pt>
                <c:pt idx="4">
                  <c:v>0.57757795198222739</c:v>
                </c:pt>
                <c:pt idx="5">
                  <c:v>0.78614776797580943</c:v>
                </c:pt>
                <c:pt idx="6">
                  <c:v>1.026805247968404</c:v>
                </c:pt>
                <c:pt idx="7">
                  <c:v>1.2995503919600115</c:v>
                </c:pt>
                <c:pt idx="8">
                  <c:v>1.6043831999506317</c:v>
                </c:pt>
              </c:numCache>
            </c:numRef>
          </c:val>
        </c:ser>
        <c:ser>
          <c:idx val="5"/>
          <c:order val="6"/>
          <c:tx>
            <c:v>NOMURA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RED'!$I$302:$I$310</c:f>
              <c:numCache>
                <c:formatCode>0.000</c:formatCode>
                <c:ptCount val="9"/>
                <c:pt idx="0">
                  <c:v>2.0995334370139971</c:v>
                </c:pt>
                <c:pt idx="1">
                  <c:v>1.3996889580093315</c:v>
                </c:pt>
                <c:pt idx="2">
                  <c:v>1.0497667185069985</c:v>
                </c:pt>
                <c:pt idx="3">
                  <c:v>0.8398133748055987</c:v>
                </c:pt>
                <c:pt idx="4">
                  <c:v>0.69984447900466562</c:v>
                </c:pt>
                <c:pt idx="5">
                  <c:v>0.59986669628971345</c:v>
                </c:pt>
                <c:pt idx="6">
                  <c:v>0.52488335925349927</c:v>
                </c:pt>
                <c:pt idx="7">
                  <c:v>0.46656298600311041</c:v>
                </c:pt>
                <c:pt idx="8">
                  <c:v>0.41990668740279935</c:v>
                </c:pt>
              </c:numCache>
            </c:numRef>
          </c:val>
        </c:ser>
        <c:ser>
          <c:idx val="6"/>
          <c:order val="7"/>
          <c:tx>
            <c:v>NOMURA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RED'!$J$302:$J$310</c:f>
              <c:numCache>
                <c:formatCode>0.000</c:formatCode>
                <c:ptCount val="9"/>
                <c:pt idx="0">
                  <c:v>2.5194401244167968</c:v>
                </c:pt>
                <c:pt idx="1">
                  <c:v>1.6796267496111974</c:v>
                </c:pt>
                <c:pt idx="2">
                  <c:v>1.2597200622083984</c:v>
                </c:pt>
                <c:pt idx="3">
                  <c:v>1.0077760497667185</c:v>
                </c:pt>
                <c:pt idx="4">
                  <c:v>0.83981337480559859</c:v>
                </c:pt>
                <c:pt idx="5">
                  <c:v>0.71984003554765608</c:v>
                </c:pt>
                <c:pt idx="6">
                  <c:v>0.62986003110419919</c:v>
                </c:pt>
                <c:pt idx="7">
                  <c:v>0.55987558320373254</c:v>
                </c:pt>
                <c:pt idx="8">
                  <c:v>0.50388802488335926</c:v>
                </c:pt>
              </c:numCache>
            </c:numRef>
          </c:val>
        </c:ser>
        <c:ser>
          <c:idx val="7"/>
          <c:order val="8"/>
          <c:tx>
            <c:v>REID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RED'!$K$302:$K$310</c:f>
              <c:numCache>
                <c:formatCode>0.000</c:formatCode>
                <c:ptCount val="9"/>
                <c:pt idx="0">
                  <c:v>0.24067243408662897</c:v>
                </c:pt>
                <c:pt idx="1">
                  <c:v>0.54151297669491516</c:v>
                </c:pt>
                <c:pt idx="2">
                  <c:v>0.96268973634651589</c:v>
                </c:pt>
                <c:pt idx="3">
                  <c:v>1.5042027130414313</c:v>
                </c:pt>
                <c:pt idx="4">
                  <c:v>2.1660519067796606</c:v>
                </c:pt>
                <c:pt idx="5">
                  <c:v>2.9482373175612051</c:v>
                </c:pt>
                <c:pt idx="6">
                  <c:v>3.8507589453860636</c:v>
                </c:pt>
                <c:pt idx="7">
                  <c:v>4.8736167902542364</c:v>
                </c:pt>
                <c:pt idx="8">
                  <c:v>6.0168108521657251</c:v>
                </c:pt>
              </c:numCache>
            </c:numRef>
          </c:val>
        </c:ser>
        <c:ser>
          <c:idx val="8"/>
          <c:order val="9"/>
          <c:tx>
            <c:strRef>
              <c:f>'Resistencia de la RED'!$L$298:$L$299</c:f>
              <c:strCache>
                <c:ptCount val="1"/>
                <c:pt idx="0">
                  <c:v>Robertson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RED'!$L$302:$L$310</c:f>
              <c:numCache>
                <c:formatCode>0.000</c:formatCode>
                <c:ptCount val="9"/>
                <c:pt idx="0">
                  <c:v>0.37978324665676078</c:v>
                </c:pt>
                <c:pt idx="1">
                  <c:v>0.65364697733892163</c:v>
                </c:pt>
                <c:pt idx="2">
                  <c:v>0.94087334637064302</c:v>
                </c:pt>
                <c:pt idx="3">
                  <c:v>1.2350525489248612</c:v>
                </c:pt>
                <c:pt idx="4">
                  <c:v>1.533309198466922</c:v>
                </c:pt>
                <c:pt idx="5">
                  <c:v>1.834161333430967</c:v>
                </c:pt>
                <c:pt idx="6">
                  <c:v>2.13676755273986</c:v>
                </c:pt>
                <c:pt idx="7">
                  <c:v>2.4406146738970258</c:v>
                </c:pt>
                <c:pt idx="8">
                  <c:v>2.7453719119226636</c:v>
                </c:pt>
              </c:numCache>
            </c:numRef>
          </c:val>
        </c:ser>
        <c:ser>
          <c:idx val="9"/>
          <c:order val="10"/>
          <c:tx>
            <c:strRef>
              <c:f>'Resistencia de la RED'!$M$298:$M$299</c:f>
              <c:strCache>
                <c:ptCount val="1"/>
                <c:pt idx="0">
                  <c:v>Mac. Lennan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RED'!$M$302:$M$310</c:f>
              <c:numCache>
                <c:formatCode>0.000</c:formatCode>
                <c:ptCount val="9"/>
                <c:pt idx="0">
                  <c:v>0.42244579552739364</c:v>
                </c:pt>
                <c:pt idx="1">
                  <c:v>0.63168936629854988</c:v>
                </c:pt>
                <c:pt idx="2">
                  <c:v>0.91516461430118201</c:v>
                </c:pt>
                <c:pt idx="3">
                  <c:v>1.2667199551648474</c:v>
                </c:pt>
                <c:pt idx="4">
                  <c:v>1.6808652430130147</c:v>
                </c:pt>
                <c:pt idx="5">
                  <c:v>2.1526851975724286</c:v>
                </c:pt>
                <c:pt idx="6">
                  <c:v>2.6777660818132532</c:v>
                </c:pt>
                <c:pt idx="7">
                  <c:v>3.2521333228852658</c:v>
                </c:pt>
                <c:pt idx="8">
                  <c:v>3.87219821710856</c:v>
                </c:pt>
              </c:numCache>
            </c:numRef>
          </c:val>
        </c:ser>
        <c:ser>
          <c:idx val="11"/>
          <c:order val="11"/>
          <c:tx>
            <c:strRef>
              <c:f>'Resistencia de la RED'!$N$298:$N$299</c:f>
              <c:strCache>
                <c:ptCount val="1"/>
                <c:pt idx="0">
                  <c:v>Aberdeen Demersal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RED'!$N$302:$N$310</c:f>
              <c:numCache>
                <c:formatCode>0.000</c:formatCode>
                <c:ptCount val="9"/>
                <c:pt idx="0">
                  <c:v>0.42236322657644959</c:v>
                </c:pt>
                <c:pt idx="1">
                  <c:v>0.6315295608721434</c:v>
                </c:pt>
                <c:pt idx="2">
                  <c:v>0.91490100549547948</c:v>
                </c:pt>
                <c:pt idx="3">
                  <c:v>1.2663281776772248</c:v>
                </c:pt>
                <c:pt idx="4">
                  <c:v>1.6803228964186867</c:v>
                </c:pt>
                <c:pt idx="5">
                  <c:v>2.1519716405847999</c:v>
                </c:pt>
                <c:pt idx="6">
                  <c:v>2.6768622527857371</c:v>
                </c:pt>
                <c:pt idx="7">
                  <c:v>3.2510215826380531</c:v>
                </c:pt>
                <c:pt idx="8">
                  <c:v>3.8708622108292312</c:v>
                </c:pt>
              </c:numCache>
            </c:numRef>
          </c:val>
        </c:ser>
        <c:ser>
          <c:idx val="12"/>
          <c:order val="12"/>
          <c:tx>
            <c:strRef>
              <c:f>'Resistencia de la RED'!$O$298:$O$299</c:f>
              <c:strCache>
                <c:ptCount val="1"/>
                <c:pt idx="0">
                  <c:v>Aberdeen Pelagica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RED'!$O$302:$O$310</c:f>
              <c:numCache>
                <c:formatCode>0.000</c:formatCode>
                <c:ptCount val="9"/>
                <c:pt idx="0">
                  <c:v>0.35329098860413038</c:v>
                </c:pt>
                <c:pt idx="1">
                  <c:v>0.79303018175499551</c:v>
                </c:pt>
                <c:pt idx="2">
                  <c:v>1.4065145945517583</c:v>
                </c:pt>
                <c:pt idx="3">
                  <c:v>2.1925208202594191</c:v>
                </c:pt>
                <c:pt idx="4">
                  <c:v>3.1498369112151834</c:v>
                </c:pt>
                <c:pt idx="5">
                  <c:v>4.2772622449772539</c:v>
                </c:pt>
                <c:pt idx="6">
                  <c:v>5.5736073923454379</c:v>
                </c:pt>
                <c:pt idx="7">
                  <c:v>7.0376939872231068</c:v>
                </c:pt>
                <c:pt idx="8">
                  <c:v>8.6683545982906001</c:v>
                </c:pt>
              </c:numCache>
            </c:numRef>
          </c:val>
        </c:ser>
        <c:ser>
          <c:idx val="13"/>
          <c:order val="13"/>
          <c:tx>
            <c:strRef>
              <c:f>'Resistencia de la RED'!$P$298:$P$299</c:f>
              <c:strCache>
                <c:ptCount val="1"/>
                <c:pt idx="0">
                  <c:v>Fridman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RED'!$P$302:$P$310</c:f>
              <c:numCache>
                <c:formatCode>0.000</c:formatCode>
                <c:ptCount val="9"/>
                <c:pt idx="0">
                  <c:v>0.17032978134673898</c:v>
                </c:pt>
                <c:pt idx="1">
                  <c:v>0.38324200803016273</c:v>
                </c:pt>
                <c:pt idx="2">
                  <c:v>0.68131912538695594</c:v>
                </c:pt>
                <c:pt idx="3">
                  <c:v>1.064561133417119</c:v>
                </c:pt>
                <c:pt idx="4">
                  <c:v>1.5329680321206516</c:v>
                </c:pt>
                <c:pt idx="5">
                  <c:v>2.0865398214975532</c:v>
                </c:pt>
                <c:pt idx="6">
                  <c:v>2.7252765015478237</c:v>
                </c:pt>
                <c:pt idx="7">
                  <c:v>3.4491780722714647</c:v>
                </c:pt>
                <c:pt idx="8">
                  <c:v>4.258244533668476</c:v>
                </c:pt>
              </c:numCache>
            </c:numRef>
          </c:val>
        </c:ser>
        <c:ser>
          <c:idx val="14"/>
          <c:order val="14"/>
          <c:tx>
            <c:strRef>
              <c:f>'Resistencia de la RED'!$Q$298:$Q$299</c:f>
              <c:strCache>
                <c:ptCount val="1"/>
                <c:pt idx="0">
                  <c:v>Dickson</c:v>
                </c:pt>
              </c:strCache>
            </c:strRef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RED'!$Q$302:$Q$310</c:f>
              <c:numCache>
                <c:formatCode>0.000</c:formatCode>
                <c:ptCount val="9"/>
                <c:pt idx="0">
                  <c:v>0.64627849019750483</c:v>
                </c:pt>
                <c:pt idx="1">
                  <c:v>0.69402113694812462</c:v>
                </c:pt>
                <c:pt idx="2">
                  <c:v>0.63598575426356518</c:v>
                </c:pt>
                <c:pt idx="3">
                  <c:v>0.56688107347934535</c:v>
                </c:pt>
                <c:pt idx="4">
                  <c:v>0.50991941499490612</c:v>
                </c:pt>
                <c:pt idx="5">
                  <c:v>0.46690264056000036</c:v>
                </c:pt>
                <c:pt idx="6">
                  <c:v>0.43519095507175959</c:v>
                </c:pt>
                <c:pt idx="7">
                  <c:v>0.41194502453276</c:v>
                </c:pt>
                <c:pt idx="8">
                  <c:v>0.39493416234260759</c:v>
                </c:pt>
              </c:numCache>
            </c:numRef>
          </c:val>
        </c:ser>
        <c:ser>
          <c:idx val="15"/>
          <c:order val="15"/>
          <c:tx>
            <c:v>PROMEDIO</c:v>
          </c:tx>
          <c:marker>
            <c:symbol val="none"/>
          </c:marker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RED'!$R$302:$R$310</c:f>
              <c:numCache>
                <c:formatCode>0.000</c:formatCode>
                <c:ptCount val="9"/>
                <c:pt idx="0">
                  <c:v>0.55433600671309491</c:v>
                </c:pt>
                <c:pt idx="1">
                  <c:v>0.65969100019782101</c:v>
                </c:pt>
                <c:pt idx="2">
                  <c:v>0.86562888193396215</c:v>
                </c:pt>
                <c:pt idx="3">
                  <c:v>1.1545609962811951</c:v>
                </c:pt>
                <c:pt idx="4">
                  <c:v>1.5163850495884728</c:v>
                </c:pt>
                <c:pt idx="5">
                  <c:v>1.9457112507778267</c:v>
                </c:pt>
                <c:pt idx="6">
                  <c:v>2.4392276911721211</c:v>
                </c:pt>
                <c:pt idx="7">
                  <c:v>2.9947106901518707</c:v>
                </c:pt>
                <c:pt idx="8">
                  <c:v>3.6105604773565352</c:v>
                </c:pt>
              </c:numCache>
            </c:numRef>
          </c:val>
        </c:ser>
        <c:ser>
          <c:idx val="16"/>
          <c:order val="16"/>
          <c:tx>
            <c:strRef>
              <c:f>'Resistencia de la RED'!$S$298:$S$300</c:f>
              <c:strCache>
                <c:ptCount val="1"/>
                <c:pt idx="0">
                  <c:v>DYNAMIT</c:v>
                </c:pt>
              </c:strCache>
            </c:strRef>
          </c:tx>
          <c:marker>
            <c:symbol val="none"/>
          </c:marker>
          <c:val>
            <c:numRef>
              <c:f>'Resistencia de la RED'!$S$302:$S$310</c:f>
              <c:numCache>
                <c:formatCode>General</c:formatCode>
                <c:ptCount val="9"/>
                <c:pt idx="0">
                  <c:v>0.3306</c:v>
                </c:pt>
                <c:pt idx="1">
                  <c:v>0.47599999999999998</c:v>
                </c:pt>
                <c:pt idx="2">
                  <c:v>0.70430000000000004</c:v>
                </c:pt>
                <c:pt idx="3">
                  <c:v>0.96730000000000005</c:v>
                </c:pt>
                <c:pt idx="4">
                  <c:v>1.3312999999999999</c:v>
                </c:pt>
                <c:pt idx="5">
                  <c:v>1.7519</c:v>
                </c:pt>
                <c:pt idx="6">
                  <c:v>2.2086999999999999</c:v>
                </c:pt>
                <c:pt idx="7">
                  <c:v>2.7845</c:v>
                </c:pt>
                <c:pt idx="8">
                  <c:v>3.3717999999999999</c:v>
                </c:pt>
              </c:numCache>
            </c:numRef>
          </c:val>
        </c:ser>
        <c:hiLowLines/>
        <c:marker val="1"/>
        <c:axId val="89268608"/>
        <c:axId val="89270528"/>
      </c:lineChart>
      <c:catAx>
        <c:axId val="89268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89270528"/>
        <c:crosses val="autoZero"/>
        <c:auto val="1"/>
        <c:lblAlgn val="ctr"/>
        <c:lblOffset val="100"/>
      </c:catAx>
      <c:valAx>
        <c:axId val="8927052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0.000" sourceLinked="1"/>
        <c:tickLblPos val="nextTo"/>
        <c:crossAx val="892686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Resumen</a:t>
            </a:r>
            <a:r>
              <a:rPr lang="en-US" baseline="0"/>
              <a:t> de Resistencias de la Red FAO A3 MODIFICADA</a:t>
            </a:r>
            <a:endParaRPr lang="en-US"/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v>TAUTI</c:v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RED'!$D$317:$D$325</c:f>
              <c:numCache>
                <c:formatCode>0.00</c:formatCode>
                <c:ptCount val="9"/>
                <c:pt idx="0">
                  <c:v>0.10602843712394434</c:v>
                </c:pt>
                <c:pt idx="1">
                  <c:v>0.23856398352887476</c:v>
                </c:pt>
                <c:pt idx="2">
                  <c:v>0.42411374849577738</c:v>
                </c:pt>
                <c:pt idx="3">
                  <c:v>0.6626777320246523</c:v>
                </c:pt>
                <c:pt idx="4">
                  <c:v>0.95425593411549947</c:v>
                </c:pt>
                <c:pt idx="5">
                  <c:v>1.2988483547683183</c:v>
                </c:pt>
                <c:pt idx="6">
                  <c:v>1.6964549939831095</c:v>
                </c:pt>
                <c:pt idx="7">
                  <c:v>2.1470758517598734</c:v>
                </c:pt>
                <c:pt idx="8">
                  <c:v>2.6507109280986092</c:v>
                </c:pt>
              </c:numCache>
            </c:numRef>
          </c:val>
        </c:ser>
        <c:ser>
          <c:idx val="2"/>
          <c:order val="1"/>
          <c:tx>
            <c:v>TAUTI</c:v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RED'!$E$317:$E$325</c:f>
              <c:numCache>
                <c:formatCode>0.00</c:formatCode>
                <c:ptCount val="9"/>
                <c:pt idx="0">
                  <c:v>0.14276033696902152</c:v>
                </c:pt>
                <c:pt idx="1">
                  <c:v>0.32121075818029837</c:v>
                </c:pt>
                <c:pt idx="2">
                  <c:v>0.57104134787608607</c:v>
                </c:pt>
                <c:pt idx="3">
                  <c:v>0.89225210605638461</c:v>
                </c:pt>
                <c:pt idx="4">
                  <c:v>1.2848430327211942</c:v>
                </c:pt>
                <c:pt idx="5">
                  <c:v>1.7488141278705138</c:v>
                </c:pt>
                <c:pt idx="6">
                  <c:v>2.2841653915043443</c:v>
                </c:pt>
                <c:pt idx="7">
                  <c:v>2.8908968236226862</c:v>
                </c:pt>
                <c:pt idx="8">
                  <c:v>3.5690084242255384</c:v>
                </c:pt>
              </c:numCache>
            </c:numRef>
          </c:val>
        </c:ser>
        <c:ser>
          <c:idx val="3"/>
          <c:order val="2"/>
          <c:tx>
            <c:strRef>
              <c:f>'Resistencia de la RED'!$F$313:$F$314</c:f>
              <c:strCache>
                <c:ptCount val="1"/>
                <c:pt idx="0">
                  <c:v>Koyama 1974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RED'!$F$317:$F$325</c:f>
              <c:numCache>
                <c:formatCode>0.00</c:formatCode>
                <c:ptCount val="9"/>
                <c:pt idx="0">
                  <c:v>0.15330311080230155</c:v>
                </c:pt>
                <c:pt idx="1">
                  <c:v>0.34493199930517848</c:v>
                </c:pt>
                <c:pt idx="2">
                  <c:v>0.6132124432092062</c:v>
                </c:pt>
                <c:pt idx="3">
                  <c:v>0.95814444251438491</c:v>
                </c:pt>
                <c:pt idx="4">
                  <c:v>1.3797279972207146</c:v>
                </c:pt>
                <c:pt idx="5">
                  <c:v>1.8779631073281942</c:v>
                </c:pt>
                <c:pt idx="6">
                  <c:v>2.4528497728368248</c:v>
                </c:pt>
                <c:pt idx="7">
                  <c:v>3.1043879937466068</c:v>
                </c:pt>
                <c:pt idx="8">
                  <c:v>3.8325777700575396</c:v>
                </c:pt>
              </c:numCache>
            </c:numRef>
          </c:val>
        </c:ser>
        <c:ser>
          <c:idx val="4"/>
          <c:order val="3"/>
          <c:tx>
            <c:strRef>
              <c:f>'Resistencia de la RED'!$G$313:$G$314</c:f>
              <c:strCache>
                <c:ptCount val="1"/>
                <c:pt idx="0">
                  <c:v>Koyama 1984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RED'!$G$317:$G$325</c:f>
              <c:numCache>
                <c:formatCode>0.00</c:formatCode>
                <c:ptCount val="9"/>
                <c:pt idx="0">
                  <c:v>0.22712941883076929</c:v>
                </c:pt>
                <c:pt idx="1">
                  <c:v>0.51104119236923085</c:v>
                </c:pt>
                <c:pt idx="2">
                  <c:v>0.90851767532307715</c:v>
                </c:pt>
                <c:pt idx="3">
                  <c:v>1.4195588676923081</c:v>
                </c:pt>
                <c:pt idx="4">
                  <c:v>2.0441647694769234</c:v>
                </c:pt>
                <c:pt idx="5">
                  <c:v>2.7823353806769235</c:v>
                </c:pt>
                <c:pt idx="6">
                  <c:v>3.6340707012923086</c:v>
                </c:pt>
                <c:pt idx="7">
                  <c:v>4.5993707313230781</c:v>
                </c:pt>
                <c:pt idx="8">
                  <c:v>5.6782354707692324</c:v>
                </c:pt>
              </c:numCache>
            </c:numRef>
          </c:val>
        </c:ser>
        <c:ser>
          <c:idx val="5"/>
          <c:order val="4"/>
          <c:tx>
            <c:strRef>
              <c:f>'Resistencia de la RED'!$H$313:$H$314</c:f>
              <c:strCache>
                <c:ptCount val="1"/>
                <c:pt idx="0">
                  <c:v>Hamuro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RED'!$H$317:$H$325</c:f>
              <c:numCache>
                <c:formatCode>0.00</c:formatCode>
                <c:ptCount val="9"/>
                <c:pt idx="0">
                  <c:v>6.2462857687519198E-2</c:v>
                </c:pt>
                <c:pt idx="1">
                  <c:v>0.14054142979691819</c:v>
                </c:pt>
                <c:pt idx="2">
                  <c:v>0.24985143075007679</c:v>
                </c:pt>
                <c:pt idx="3">
                  <c:v>0.39039286054699518</c:v>
                </c:pt>
                <c:pt idx="4">
                  <c:v>0.562165719187673</c:v>
                </c:pt>
                <c:pt idx="5">
                  <c:v>0.76517000667211033</c:v>
                </c:pt>
                <c:pt idx="6">
                  <c:v>0.99940572300030717</c:v>
                </c:pt>
                <c:pt idx="7">
                  <c:v>1.2648728681722641</c:v>
                </c:pt>
                <c:pt idx="8">
                  <c:v>1.5615714421879807</c:v>
                </c:pt>
              </c:numCache>
            </c:numRef>
          </c:val>
        </c:ser>
        <c:ser>
          <c:idx val="6"/>
          <c:order val="5"/>
          <c:tx>
            <c:v>NOMURA 150HP</c:v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RED'!$I$317:$I$325</c:f>
              <c:numCache>
                <c:formatCode>0.000</c:formatCode>
                <c:ptCount val="9"/>
                <c:pt idx="0">
                  <c:v>2.0995334370139971</c:v>
                </c:pt>
                <c:pt idx="1">
                  <c:v>1.3996889580093315</c:v>
                </c:pt>
                <c:pt idx="2">
                  <c:v>1.0497667185069985</c:v>
                </c:pt>
                <c:pt idx="3">
                  <c:v>0.8398133748055987</c:v>
                </c:pt>
                <c:pt idx="4">
                  <c:v>0.69984447900466562</c:v>
                </c:pt>
                <c:pt idx="5">
                  <c:v>0.59986669628971345</c:v>
                </c:pt>
                <c:pt idx="6">
                  <c:v>0.52488335925349927</c:v>
                </c:pt>
                <c:pt idx="7">
                  <c:v>0.46656298600311041</c:v>
                </c:pt>
                <c:pt idx="8">
                  <c:v>0.41990668740279935</c:v>
                </c:pt>
              </c:numCache>
            </c:numRef>
          </c:val>
        </c:ser>
        <c:ser>
          <c:idx val="7"/>
          <c:order val="6"/>
          <c:tx>
            <c:v>NOMURA 180HP</c:v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RED'!$J$317:$J$325</c:f>
              <c:numCache>
                <c:formatCode>0.000</c:formatCode>
                <c:ptCount val="9"/>
                <c:pt idx="0">
                  <c:v>2.5194401244167968</c:v>
                </c:pt>
                <c:pt idx="1">
                  <c:v>1.6796267496111974</c:v>
                </c:pt>
                <c:pt idx="2">
                  <c:v>1.2597200622083984</c:v>
                </c:pt>
                <c:pt idx="3">
                  <c:v>1.0077760497667185</c:v>
                </c:pt>
                <c:pt idx="4">
                  <c:v>0.83981337480559859</c:v>
                </c:pt>
                <c:pt idx="5">
                  <c:v>0.71984003554765608</c:v>
                </c:pt>
                <c:pt idx="6">
                  <c:v>0.62986003110419919</c:v>
                </c:pt>
                <c:pt idx="7">
                  <c:v>0.55987558320373254</c:v>
                </c:pt>
                <c:pt idx="8">
                  <c:v>0.50388802488335926</c:v>
                </c:pt>
              </c:numCache>
            </c:numRef>
          </c:val>
        </c:ser>
        <c:ser>
          <c:idx val="8"/>
          <c:order val="7"/>
          <c:tx>
            <c:strRef>
              <c:f>'Resistencia de la RED'!$K$313:$K$314</c:f>
              <c:strCache>
                <c:ptCount val="1"/>
                <c:pt idx="0">
                  <c:v>Reid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RED'!$K$317:$K$325</c:f>
              <c:numCache>
                <c:formatCode>0.00</c:formatCode>
                <c:ptCount val="9"/>
                <c:pt idx="0">
                  <c:v>0.23559298493408659</c:v>
                </c:pt>
                <c:pt idx="1">
                  <c:v>0.53008421610169487</c:v>
                </c:pt>
                <c:pt idx="2">
                  <c:v>0.94237193973634636</c:v>
                </c:pt>
                <c:pt idx="3">
                  <c:v>1.4724561558380413</c:v>
                </c:pt>
                <c:pt idx="4">
                  <c:v>2.1203368644067795</c:v>
                </c:pt>
                <c:pt idx="5">
                  <c:v>2.886014065442561</c:v>
                </c:pt>
                <c:pt idx="6">
                  <c:v>3.7694877589453855</c:v>
                </c:pt>
                <c:pt idx="7">
                  <c:v>4.7707579449152533</c:v>
                </c:pt>
                <c:pt idx="8">
                  <c:v>5.8898246233521654</c:v>
                </c:pt>
              </c:numCache>
            </c:numRef>
          </c:val>
        </c:ser>
        <c:ser>
          <c:idx val="9"/>
          <c:order val="8"/>
          <c:tx>
            <c:strRef>
              <c:f>'Resistencia de la RED'!$L$313:$L$314</c:f>
              <c:strCache>
                <c:ptCount val="1"/>
                <c:pt idx="0">
                  <c:v>Robertson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RED'!$L$317:$L$325</c:f>
              <c:numCache>
                <c:formatCode>0.00</c:formatCode>
                <c:ptCount val="9"/>
                <c:pt idx="0">
                  <c:v>0.37176783060921242</c:v>
                </c:pt>
                <c:pt idx="1">
                  <c:v>0.63985160190381474</c:v>
                </c:pt>
                <c:pt idx="2">
                  <c:v>0.92101598987691236</c:v>
                </c:pt>
                <c:pt idx="3">
                  <c:v>1.2089864701618747</c:v>
                </c:pt>
                <c:pt idx="4">
                  <c:v>1.5009483419430094</c:v>
                </c:pt>
                <c:pt idx="5">
                  <c:v>1.7954509208069418</c:v>
                </c:pt>
                <c:pt idx="6">
                  <c:v>2.091670563647051</c:v>
                </c:pt>
                <c:pt idx="7">
                  <c:v>2.3891049188058111</c:v>
                </c:pt>
                <c:pt idx="8">
                  <c:v>2.6874301825993552</c:v>
                </c:pt>
              </c:numCache>
            </c:numRef>
          </c:val>
        </c:ser>
        <c:ser>
          <c:idx val="10"/>
          <c:order val="9"/>
          <c:tx>
            <c:strRef>
              <c:f>'Resistencia de la RED'!$M$313:$M$314</c:f>
              <c:strCache>
                <c:ptCount val="1"/>
                <c:pt idx="0">
                  <c:v>Mac. Lennan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RED'!$M$317:$M$325</c:f>
              <c:numCache>
                <c:formatCode>0.00</c:formatCode>
                <c:ptCount val="9"/>
                <c:pt idx="0">
                  <c:v>0.4135299762054585</c:v>
                </c:pt>
                <c:pt idx="1">
                  <c:v>0.61835741148414747</c:v>
                </c:pt>
                <c:pt idx="2">
                  <c:v>0.89584984673259682</c:v>
                </c:pt>
                <c:pt idx="3">
                  <c:v>1.2399855282364414</c:v>
                </c:pt>
                <c:pt idx="4">
                  <c:v>1.6453901809579758</c:v>
                </c:pt>
                <c:pt idx="5">
                  <c:v>2.1072522627870347</c:v>
                </c:pt>
                <c:pt idx="6">
                  <c:v>2.6212511896670372</c:v>
                </c:pt>
                <c:pt idx="7">
                  <c:v>3.1834962730562082</c:v>
                </c:pt>
                <c:pt idx="8">
                  <c:v>3.7904745497221715</c:v>
                </c:pt>
              </c:numCache>
            </c:numRef>
          </c:val>
        </c:ser>
        <c:ser>
          <c:idx val="11"/>
          <c:order val="10"/>
          <c:tx>
            <c:strRef>
              <c:f>'Resistencia de la RED'!$N$313:$N$314</c:f>
              <c:strCache>
                <c:ptCount val="1"/>
                <c:pt idx="0">
                  <c:v>Aberdeen Demersal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RED'!$N$317:$N$325</c:f>
              <c:numCache>
                <c:formatCode>0.00</c:formatCode>
                <c:ptCount val="9"/>
                <c:pt idx="0">
                  <c:v>0.41344914989192738</c:v>
                </c:pt>
                <c:pt idx="1">
                  <c:v>0.61820097878939917</c:v>
                </c:pt>
                <c:pt idx="2">
                  <c:v>0.89559180145364281</c:v>
                </c:pt>
                <c:pt idx="3">
                  <c:v>1.2396020193061839</c:v>
                </c:pt>
                <c:pt idx="4">
                  <c:v>1.6448592807179403</c:v>
                </c:pt>
                <c:pt idx="5">
                  <c:v>2.1065537655899047</c:v>
                </c:pt>
                <c:pt idx="6">
                  <c:v>2.620366436166826</c:v>
                </c:pt>
                <c:pt idx="7">
                  <c:v>3.1824079963522052</c:v>
                </c:pt>
                <c:pt idx="8">
                  <c:v>3.789166740174176</c:v>
                </c:pt>
              </c:numCache>
            </c:numRef>
          </c:val>
        </c:ser>
        <c:ser>
          <c:idx val="12"/>
          <c:order val="11"/>
          <c:tx>
            <c:strRef>
              <c:f>'Resistencia de la RED'!$O$313:$O$314</c:f>
              <c:strCache>
                <c:ptCount val="1"/>
                <c:pt idx="0">
                  <c:v>Aberdeen Pelagica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RED'!$O$317:$O$325</c:f>
              <c:numCache>
                <c:formatCode>0.00</c:formatCode>
                <c:ptCount val="9"/>
                <c:pt idx="0">
                  <c:v>0.34583469798457328</c:v>
                </c:pt>
                <c:pt idx="1">
                  <c:v>0.77629309052997375</c:v>
                </c:pt>
                <c:pt idx="2">
                  <c:v>1.376829768400198</c:v>
                </c:pt>
                <c:pt idx="3">
                  <c:v>2.1462471451513276</c:v>
                </c:pt>
                <c:pt idx="4">
                  <c:v>3.0833588515651953</c:v>
                </c:pt>
                <c:pt idx="5">
                  <c:v>4.1869896046231405</c:v>
                </c:pt>
                <c:pt idx="6">
                  <c:v>5.4559750783120711</c:v>
                </c:pt>
                <c:pt idx="7">
                  <c:v>6.8891617762330197</c:v>
                </c:pt>
                <c:pt idx="8">
                  <c:v>8.4854069059829058</c:v>
                </c:pt>
              </c:numCache>
            </c:numRef>
          </c:val>
        </c:ser>
        <c:ser>
          <c:idx val="13"/>
          <c:order val="12"/>
          <c:tx>
            <c:strRef>
              <c:f>'Resistencia de la RED'!$P$313:$P$314</c:f>
              <c:strCache>
                <c:ptCount val="1"/>
                <c:pt idx="0">
                  <c:v>Fridman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RED'!$P$317:$P$325</c:f>
              <c:numCache>
                <c:formatCode>0.00</c:formatCode>
                <c:ptCount val="9"/>
                <c:pt idx="0">
                  <c:v>0.16264529512087136</c:v>
                </c:pt>
                <c:pt idx="1">
                  <c:v>0.36595191402196053</c:v>
                </c:pt>
                <c:pt idx="2">
                  <c:v>0.65058118048348546</c:v>
                </c:pt>
                <c:pt idx="3">
                  <c:v>1.0165330945054463</c:v>
                </c:pt>
                <c:pt idx="4">
                  <c:v>1.4638076560878428</c:v>
                </c:pt>
                <c:pt idx="5">
                  <c:v>1.9924048652306745</c:v>
                </c:pt>
                <c:pt idx="6">
                  <c:v>2.6023247219339418</c:v>
                </c:pt>
                <c:pt idx="7">
                  <c:v>3.293567226197645</c:v>
                </c:pt>
                <c:pt idx="8">
                  <c:v>4.0661323780217851</c:v>
                </c:pt>
              </c:numCache>
            </c:numRef>
          </c:val>
        </c:ser>
        <c:ser>
          <c:idx val="14"/>
          <c:order val="13"/>
          <c:tx>
            <c:strRef>
              <c:f>'Resistencia de la RED'!$Q$313:$Q$314</c:f>
              <c:strCache>
                <c:ptCount val="1"/>
                <c:pt idx="0">
                  <c:v>Dickson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RED'!$Q$317:$Q$325</c:f>
              <c:numCache>
                <c:formatCode>0.000</c:formatCode>
                <c:ptCount val="9"/>
                <c:pt idx="0">
                  <c:v>0.59111312399265648</c:v>
                </c:pt>
                <c:pt idx="1">
                  <c:v>0.63478052975733268</c:v>
                </c:pt>
                <c:pt idx="2">
                  <c:v>0.58169896061785009</c:v>
                </c:pt>
                <c:pt idx="3">
                  <c:v>0.51849295212390822</c:v>
                </c:pt>
                <c:pt idx="4">
                  <c:v>0.46639345569126384</c:v>
                </c:pt>
                <c:pt idx="5">
                  <c:v>0.42704852884318967</c:v>
                </c:pt>
                <c:pt idx="6">
                  <c:v>0.3980437054422159</c:v>
                </c:pt>
                <c:pt idx="7">
                  <c:v>0.37678201279819012</c:v>
                </c:pt>
                <c:pt idx="8">
                  <c:v>0.36122317238566676</c:v>
                </c:pt>
              </c:numCache>
            </c:numRef>
          </c:val>
        </c:ser>
        <c:ser>
          <c:idx val="15"/>
          <c:order val="14"/>
          <c:tx>
            <c:strRef>
              <c:f>'Resistencia de la RED'!$R$313:$R$314</c:f>
              <c:strCache>
                <c:ptCount val="1"/>
                <c:pt idx="0">
                  <c:v>Promedio  de calculos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RED'!$R$317:$R$325</c:f>
              <c:numCache>
                <c:formatCode>0.000</c:formatCode>
                <c:ptCount val="9"/>
                <c:pt idx="0">
                  <c:v>0.54959740128475099</c:v>
                </c:pt>
                <c:pt idx="1">
                  <c:v>0.63587268440285505</c:v>
                </c:pt>
                <c:pt idx="2">
                  <c:v>0.82875163718225076</c:v>
                </c:pt>
                <c:pt idx="3">
                  <c:v>1.101391662441513</c:v>
                </c:pt>
                <c:pt idx="4">
                  <c:v>1.4436120960655239</c:v>
                </c:pt>
                <c:pt idx="5">
                  <c:v>1.8500541243475583</c:v>
                </c:pt>
                <c:pt idx="6">
                  <c:v>2.3174542858597658</c:v>
                </c:pt>
                <c:pt idx="7">
                  <c:v>2.8436331158398174</c:v>
                </c:pt>
                <c:pt idx="8">
                  <c:v>3.4270276586283441</c:v>
                </c:pt>
              </c:numCache>
            </c:numRef>
          </c:val>
        </c:ser>
        <c:ser>
          <c:idx val="0"/>
          <c:order val="15"/>
          <c:tx>
            <c:strRef>
              <c:f>'Resistencia de la RED'!$S$313:$S$315</c:f>
              <c:strCache>
                <c:ptCount val="1"/>
                <c:pt idx="0">
                  <c:v>DYNAMIT</c:v>
                </c:pt>
              </c:strCache>
            </c:strRef>
          </c:tx>
          <c:marker>
            <c:symbol val="none"/>
          </c:marker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RED'!$S$317:$S$325</c:f>
              <c:numCache>
                <c:formatCode>General</c:formatCode>
                <c:ptCount val="9"/>
                <c:pt idx="0">
                  <c:v>0.3306</c:v>
                </c:pt>
                <c:pt idx="1">
                  <c:v>0.47599999999999998</c:v>
                </c:pt>
                <c:pt idx="2">
                  <c:v>0.70430000000000004</c:v>
                </c:pt>
                <c:pt idx="3">
                  <c:v>0.96730000000000005</c:v>
                </c:pt>
                <c:pt idx="4">
                  <c:v>1.3312999999999999</c:v>
                </c:pt>
                <c:pt idx="5">
                  <c:v>1.7519</c:v>
                </c:pt>
                <c:pt idx="6">
                  <c:v>2.2086999999999999</c:v>
                </c:pt>
                <c:pt idx="7">
                  <c:v>2.7845</c:v>
                </c:pt>
                <c:pt idx="8">
                  <c:v>3.3717999999999999</c:v>
                </c:pt>
              </c:numCache>
            </c:numRef>
          </c:val>
        </c:ser>
        <c:hiLowLines/>
        <c:marker val="1"/>
        <c:axId val="91464448"/>
        <c:axId val="91466368"/>
      </c:lineChart>
      <c:catAx>
        <c:axId val="91464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 [Nudos[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91466368"/>
        <c:crosses val="autoZero"/>
        <c:auto val="1"/>
        <c:lblAlgn val="ctr"/>
        <c:lblOffset val="100"/>
      </c:catAx>
      <c:valAx>
        <c:axId val="914663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 [Ton]</a:t>
                </a:r>
              </a:p>
            </c:rich>
          </c:tx>
          <c:layout/>
        </c:title>
        <c:numFmt formatCode="0.00" sourceLinked="1"/>
        <c:tickLblPos val="nextTo"/>
        <c:crossAx val="91464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Comparación</a:t>
            </a:r>
            <a:r>
              <a:rPr lang="en-US" baseline="0"/>
              <a:t> de resistencias (Modificada) maxima, minima, promedio y DYNAMIT</a:t>
            </a:r>
            <a:endParaRPr lang="en-US"/>
          </a:p>
        </c:rich>
      </c:tx>
      <c:layout>
        <c:manualLayout>
          <c:xMode val="edge"/>
          <c:yMode val="edge"/>
          <c:x val="8.1923401290027813E-4"/>
          <c:y val="0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'Resistencia de la RED'!$S$313:$S$315</c:f>
              <c:strCache>
                <c:ptCount val="1"/>
                <c:pt idx="0">
                  <c:v>DYNAMIT</c:v>
                </c:pt>
              </c:strCache>
            </c:strRef>
          </c:tx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RED'!$S$317:$S$325</c:f>
              <c:numCache>
                <c:formatCode>General</c:formatCode>
                <c:ptCount val="9"/>
                <c:pt idx="0">
                  <c:v>0.3306</c:v>
                </c:pt>
                <c:pt idx="1">
                  <c:v>0.47599999999999998</c:v>
                </c:pt>
                <c:pt idx="2">
                  <c:v>0.70430000000000004</c:v>
                </c:pt>
                <c:pt idx="3">
                  <c:v>0.96730000000000005</c:v>
                </c:pt>
                <c:pt idx="4">
                  <c:v>1.3312999999999999</c:v>
                </c:pt>
                <c:pt idx="5">
                  <c:v>1.7519</c:v>
                </c:pt>
                <c:pt idx="6">
                  <c:v>2.2086999999999999</c:v>
                </c:pt>
                <c:pt idx="7">
                  <c:v>2.7845</c:v>
                </c:pt>
                <c:pt idx="8">
                  <c:v>3.3717999999999999</c:v>
                </c:pt>
              </c:numCache>
            </c:numRef>
          </c:val>
        </c:ser>
        <c:ser>
          <c:idx val="1"/>
          <c:order val="1"/>
          <c:tx>
            <c:strRef>
              <c:f>'Resistencia de la RED'!$H$313</c:f>
              <c:strCache>
                <c:ptCount val="1"/>
                <c:pt idx="0">
                  <c:v>Hamuro</c:v>
                </c:pt>
              </c:strCache>
            </c:strRef>
          </c:tx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RED'!$H$317:$H$325</c:f>
              <c:numCache>
                <c:formatCode>0.00</c:formatCode>
                <c:ptCount val="9"/>
                <c:pt idx="0">
                  <c:v>6.2462857687519198E-2</c:v>
                </c:pt>
                <c:pt idx="1">
                  <c:v>0.14054142979691819</c:v>
                </c:pt>
                <c:pt idx="2">
                  <c:v>0.24985143075007679</c:v>
                </c:pt>
                <c:pt idx="3">
                  <c:v>0.39039286054699518</c:v>
                </c:pt>
                <c:pt idx="4">
                  <c:v>0.562165719187673</c:v>
                </c:pt>
                <c:pt idx="5">
                  <c:v>0.76517000667211033</c:v>
                </c:pt>
                <c:pt idx="6">
                  <c:v>0.99940572300030717</c:v>
                </c:pt>
                <c:pt idx="7">
                  <c:v>1.2648728681722641</c:v>
                </c:pt>
                <c:pt idx="8">
                  <c:v>1.5615714421879807</c:v>
                </c:pt>
              </c:numCache>
            </c:numRef>
          </c:val>
        </c:ser>
        <c:ser>
          <c:idx val="2"/>
          <c:order val="2"/>
          <c:tx>
            <c:strRef>
              <c:f>'Resistencia de la RED'!$O$313:$O$314</c:f>
              <c:strCache>
                <c:ptCount val="1"/>
                <c:pt idx="0">
                  <c:v>Aberdeen Pelagica</c:v>
                </c:pt>
              </c:strCache>
            </c:strRef>
          </c:tx>
          <c:cat>
            <c:numRef>
              <c:f>'Resistencia de la RED'!$A$317:$A$325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RED'!$O$317:$O$325</c:f>
              <c:numCache>
                <c:formatCode>0.00</c:formatCode>
                <c:ptCount val="9"/>
                <c:pt idx="0">
                  <c:v>0.34583469798457328</c:v>
                </c:pt>
                <c:pt idx="1">
                  <c:v>0.77629309052997375</c:v>
                </c:pt>
                <c:pt idx="2">
                  <c:v>1.376829768400198</c:v>
                </c:pt>
                <c:pt idx="3">
                  <c:v>2.1462471451513276</c:v>
                </c:pt>
                <c:pt idx="4">
                  <c:v>3.0833588515651953</c:v>
                </c:pt>
                <c:pt idx="5">
                  <c:v>4.1869896046231405</c:v>
                </c:pt>
                <c:pt idx="6">
                  <c:v>5.4559750783120711</c:v>
                </c:pt>
                <c:pt idx="7">
                  <c:v>6.8891617762330197</c:v>
                </c:pt>
                <c:pt idx="8">
                  <c:v>8.4854069059829058</c:v>
                </c:pt>
              </c:numCache>
            </c:numRef>
          </c:val>
        </c:ser>
        <c:ser>
          <c:idx val="3"/>
          <c:order val="3"/>
          <c:tx>
            <c:strRef>
              <c:f>'Resistencia de la RED'!$R$313:$R$314</c:f>
              <c:strCache>
                <c:ptCount val="1"/>
                <c:pt idx="0">
                  <c:v>Promedio  de calculos</c:v>
                </c:pt>
              </c:strCache>
            </c:strRef>
          </c:tx>
          <c:val>
            <c:numRef>
              <c:f>'Resistencia de la RED'!$R$317:$R$325</c:f>
              <c:numCache>
                <c:formatCode>0.000</c:formatCode>
                <c:ptCount val="9"/>
                <c:pt idx="0">
                  <c:v>0.54959740128475099</c:v>
                </c:pt>
                <c:pt idx="1">
                  <c:v>0.63587268440285505</c:v>
                </c:pt>
                <c:pt idx="2">
                  <c:v>0.82875163718225076</c:v>
                </c:pt>
                <c:pt idx="3">
                  <c:v>1.101391662441513</c:v>
                </c:pt>
                <c:pt idx="4">
                  <c:v>1.4436120960655239</c:v>
                </c:pt>
                <c:pt idx="5">
                  <c:v>1.8500541243475583</c:v>
                </c:pt>
                <c:pt idx="6">
                  <c:v>2.3174542858597658</c:v>
                </c:pt>
                <c:pt idx="7">
                  <c:v>2.8436331158398174</c:v>
                </c:pt>
                <c:pt idx="8">
                  <c:v>3.4270276586283441</c:v>
                </c:pt>
              </c:numCache>
            </c:numRef>
          </c:val>
        </c:ser>
        <c:dLbls/>
        <c:hiLowLines/>
        <c:marker val="1"/>
        <c:axId val="121737600"/>
        <c:axId val="123710464"/>
      </c:lineChart>
      <c:catAx>
        <c:axId val="121737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23710464"/>
        <c:crosses val="autoZero"/>
        <c:auto val="1"/>
        <c:lblAlgn val="ctr"/>
        <c:lblOffset val="100"/>
      </c:catAx>
      <c:valAx>
        <c:axId val="12371046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General" sourceLinked="1"/>
        <c:tickLblPos val="nextTo"/>
        <c:crossAx val="1217376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Comparación</a:t>
            </a:r>
            <a:r>
              <a:rPr lang="en-US" baseline="0"/>
              <a:t> de resistencias (Estándar) máxima, mínima, promedio y DYNAMIT</a:t>
            </a:r>
            <a:endParaRPr lang="en-US"/>
          </a:p>
        </c:rich>
      </c:tx>
      <c:layout>
        <c:manualLayout>
          <c:xMode val="edge"/>
          <c:yMode val="edge"/>
          <c:x val="8.0634663503956444E-4"/>
          <c:y val="0"/>
        </c:manualLayout>
      </c:layout>
    </c:title>
    <c:plotArea>
      <c:layout/>
      <c:lineChart>
        <c:grouping val="standard"/>
        <c:ser>
          <c:idx val="0"/>
          <c:order val="0"/>
          <c:tx>
            <c:strRef>
              <c:f>'Resistencia de la RED'!$S$298:$S$300</c:f>
              <c:strCache>
                <c:ptCount val="1"/>
                <c:pt idx="0">
                  <c:v>DYNAMIT</c:v>
                </c:pt>
              </c:strCache>
            </c:strRef>
          </c:tx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RED'!$S$302:$S$310</c:f>
              <c:numCache>
                <c:formatCode>General</c:formatCode>
                <c:ptCount val="9"/>
                <c:pt idx="0">
                  <c:v>0.3306</c:v>
                </c:pt>
                <c:pt idx="1">
                  <c:v>0.47599999999999998</c:v>
                </c:pt>
                <c:pt idx="2">
                  <c:v>0.70430000000000004</c:v>
                </c:pt>
                <c:pt idx="3">
                  <c:v>0.96730000000000005</c:v>
                </c:pt>
                <c:pt idx="4">
                  <c:v>1.3312999999999999</c:v>
                </c:pt>
                <c:pt idx="5">
                  <c:v>1.7519</c:v>
                </c:pt>
                <c:pt idx="6">
                  <c:v>2.2086999999999999</c:v>
                </c:pt>
                <c:pt idx="7">
                  <c:v>2.7845</c:v>
                </c:pt>
                <c:pt idx="8">
                  <c:v>3.3717999999999999</c:v>
                </c:pt>
              </c:numCache>
            </c:numRef>
          </c:val>
        </c:ser>
        <c:ser>
          <c:idx val="1"/>
          <c:order val="1"/>
          <c:tx>
            <c:strRef>
              <c:f>'Resistencia de la RED'!$R$298:$R$299</c:f>
              <c:strCache>
                <c:ptCount val="1"/>
                <c:pt idx="0">
                  <c:v>Promedio De calculos</c:v>
                </c:pt>
              </c:strCache>
            </c:strRef>
          </c:tx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RED'!$R$302:$R$310</c:f>
              <c:numCache>
                <c:formatCode>0.000</c:formatCode>
                <c:ptCount val="9"/>
                <c:pt idx="0">
                  <c:v>0.55433600671309491</c:v>
                </c:pt>
                <c:pt idx="1">
                  <c:v>0.65969100019782101</c:v>
                </c:pt>
                <c:pt idx="2">
                  <c:v>0.86562888193396215</c:v>
                </c:pt>
                <c:pt idx="3">
                  <c:v>1.1545609962811951</c:v>
                </c:pt>
                <c:pt idx="4">
                  <c:v>1.5163850495884728</c:v>
                </c:pt>
                <c:pt idx="5">
                  <c:v>1.9457112507778267</c:v>
                </c:pt>
                <c:pt idx="6">
                  <c:v>2.4392276911721211</c:v>
                </c:pt>
                <c:pt idx="7">
                  <c:v>2.9947106901518707</c:v>
                </c:pt>
                <c:pt idx="8">
                  <c:v>3.6105604773565352</c:v>
                </c:pt>
              </c:numCache>
            </c:numRef>
          </c:val>
        </c:ser>
        <c:ser>
          <c:idx val="2"/>
          <c:order val="2"/>
          <c:tx>
            <c:strRef>
              <c:f>'Resistencia de la RED'!$H$298</c:f>
              <c:strCache>
                <c:ptCount val="1"/>
                <c:pt idx="0">
                  <c:v>Hamuro</c:v>
                </c:pt>
              </c:strCache>
            </c:strRef>
          </c:tx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RED'!$H$302:$H$310</c:f>
              <c:numCache>
                <c:formatCode>0.000</c:formatCode>
                <c:ptCount val="9"/>
                <c:pt idx="0">
                  <c:v>6.417532799802525E-2</c:v>
                </c:pt>
                <c:pt idx="1">
                  <c:v>0.14439448799555679</c:v>
                </c:pt>
                <c:pt idx="2">
                  <c:v>0.256701311992101</c:v>
                </c:pt>
                <c:pt idx="3">
                  <c:v>0.40109579998765793</c:v>
                </c:pt>
                <c:pt idx="4">
                  <c:v>0.57757795198222739</c:v>
                </c:pt>
                <c:pt idx="5">
                  <c:v>0.78614776797580943</c:v>
                </c:pt>
                <c:pt idx="6">
                  <c:v>1.026805247968404</c:v>
                </c:pt>
                <c:pt idx="7">
                  <c:v>1.2995503919600115</c:v>
                </c:pt>
                <c:pt idx="8">
                  <c:v>1.6043831999506317</c:v>
                </c:pt>
              </c:numCache>
            </c:numRef>
          </c:val>
        </c:ser>
        <c:ser>
          <c:idx val="3"/>
          <c:order val="3"/>
          <c:tx>
            <c:strRef>
              <c:f>'Resistencia de la RED'!$O$298:$O$299</c:f>
              <c:strCache>
                <c:ptCount val="1"/>
                <c:pt idx="0">
                  <c:v>Aberdeen Pelagica</c:v>
                </c:pt>
              </c:strCache>
            </c:strRef>
          </c:tx>
          <c:cat>
            <c:numRef>
              <c:f>'Resistencia de la RED'!$A$302:$A$310</c:f>
              <c:numCache>
                <c:formatCode>General</c:formatCode>
                <c:ptCount val="9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  <c:pt idx="6">
                  <c:v>4</c:v>
                </c:pt>
                <c:pt idx="7">
                  <c:v>4.5</c:v>
                </c:pt>
                <c:pt idx="8">
                  <c:v>5</c:v>
                </c:pt>
              </c:numCache>
            </c:numRef>
          </c:cat>
          <c:val>
            <c:numRef>
              <c:f>'Resistencia de la RED'!$O$302:$O$310</c:f>
              <c:numCache>
                <c:formatCode>0.000</c:formatCode>
                <c:ptCount val="9"/>
                <c:pt idx="0">
                  <c:v>0.35329098860413038</c:v>
                </c:pt>
                <c:pt idx="1">
                  <c:v>0.79303018175499551</c:v>
                </c:pt>
                <c:pt idx="2">
                  <c:v>1.4065145945517583</c:v>
                </c:pt>
                <c:pt idx="3">
                  <c:v>2.1925208202594191</c:v>
                </c:pt>
                <c:pt idx="4">
                  <c:v>3.1498369112151834</c:v>
                </c:pt>
                <c:pt idx="5">
                  <c:v>4.2772622449772539</c:v>
                </c:pt>
                <c:pt idx="6">
                  <c:v>5.5736073923454379</c:v>
                </c:pt>
                <c:pt idx="7">
                  <c:v>7.0376939872231068</c:v>
                </c:pt>
                <c:pt idx="8">
                  <c:v>8.6683545982906001</c:v>
                </c:pt>
              </c:numCache>
            </c:numRef>
          </c:val>
        </c:ser>
        <c:dLbls/>
        <c:hiLowLines/>
        <c:marker val="1"/>
        <c:axId val="118253824"/>
        <c:axId val="118262400"/>
      </c:lineChart>
      <c:catAx>
        <c:axId val="118253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Velocidad</a:t>
                </a:r>
                <a:r>
                  <a:rPr lang="en-US" baseline="0"/>
                  <a:t> [Nudos]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118262400"/>
        <c:crosses val="autoZero"/>
        <c:auto val="1"/>
        <c:lblAlgn val="ctr"/>
        <c:lblOffset val="100"/>
      </c:catAx>
      <c:valAx>
        <c:axId val="1182624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RN</a:t>
                </a:r>
                <a:r>
                  <a:rPr lang="en-US" baseline="0"/>
                  <a:t> [Ton]</a:t>
                </a:r>
                <a:endParaRPr lang="en-US"/>
              </a:p>
            </c:rich>
          </c:tx>
          <c:layout/>
        </c:title>
        <c:numFmt formatCode="General" sourceLinked="1"/>
        <c:tickLblPos val="nextTo"/>
        <c:crossAx val="118253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strRef>
              <c:f>'Cables de Remolque'!$B$89</c:f>
              <c:strCache>
                <c:ptCount val="1"/>
                <c:pt idx="0">
                  <c:v>CD</c:v>
                </c:pt>
              </c:strCache>
            </c:strRef>
          </c:tx>
          <c:cat>
            <c:numRef>
              <c:f>'Cables de Remolque'!$A$90:$A$94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</c:numCache>
            </c:numRef>
          </c:cat>
          <c:val>
            <c:numRef>
              <c:f>'Cables de Remolque'!$B$90:$B$94</c:f>
              <c:numCache>
                <c:formatCode>General</c:formatCode>
                <c:ptCount val="5"/>
                <c:pt idx="0">
                  <c:v>0.02</c:v>
                </c:pt>
                <c:pt idx="1">
                  <c:v>0.04</c:v>
                </c:pt>
                <c:pt idx="2">
                  <c:v>0.09</c:v>
                </c:pt>
                <c:pt idx="3">
                  <c:v>0.18</c:v>
                </c:pt>
                <c:pt idx="4">
                  <c:v>0.3</c:v>
                </c:pt>
              </c:numCache>
            </c:numRef>
          </c:val>
        </c:ser>
        <c:dropLines/>
        <c:marker val="1"/>
        <c:axId val="92094464"/>
        <c:axId val="92096384"/>
      </c:lineChart>
      <c:catAx>
        <c:axId val="920944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Angulo</a:t>
                </a:r>
                <a:r>
                  <a:rPr lang="en-US" baseline="0"/>
                  <a:t> de Ataque [°]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92096384"/>
        <c:crosses val="autoZero"/>
        <c:auto val="1"/>
        <c:lblAlgn val="ctr"/>
        <c:lblOffset val="100"/>
      </c:catAx>
      <c:valAx>
        <c:axId val="920963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CD</a:t>
                </a:r>
              </a:p>
            </c:rich>
          </c:tx>
          <c:layout/>
        </c:title>
        <c:numFmt formatCode="General" sourceLinked="1"/>
        <c:tickLblPos val="nextTo"/>
        <c:crossAx val="920944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6.png"/><Relationship Id="rId18" Type="http://schemas.openxmlformats.org/officeDocument/2006/relationships/image" Target="../media/image10.png"/><Relationship Id="rId3" Type="http://schemas.openxmlformats.org/officeDocument/2006/relationships/chart" Target="../charts/chart3.xml"/><Relationship Id="rId21" Type="http://schemas.openxmlformats.org/officeDocument/2006/relationships/chart" Target="../charts/chart10.xml"/><Relationship Id="rId7" Type="http://schemas.openxmlformats.org/officeDocument/2006/relationships/chart" Target="../charts/chart7.xml"/><Relationship Id="rId12" Type="http://schemas.openxmlformats.org/officeDocument/2006/relationships/image" Target="../media/image5.png"/><Relationship Id="rId17" Type="http://schemas.openxmlformats.org/officeDocument/2006/relationships/chart" Target="../charts/chart9.xml"/><Relationship Id="rId2" Type="http://schemas.openxmlformats.org/officeDocument/2006/relationships/chart" Target="../charts/chart2.xml"/><Relationship Id="rId16" Type="http://schemas.openxmlformats.org/officeDocument/2006/relationships/image" Target="../media/image9.png"/><Relationship Id="rId20" Type="http://schemas.openxmlformats.org/officeDocument/2006/relationships/image" Target="../media/image12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4.png"/><Relationship Id="rId5" Type="http://schemas.openxmlformats.org/officeDocument/2006/relationships/chart" Target="../charts/chart5.xml"/><Relationship Id="rId15" Type="http://schemas.openxmlformats.org/officeDocument/2006/relationships/image" Target="../media/image8.png"/><Relationship Id="rId10" Type="http://schemas.openxmlformats.org/officeDocument/2006/relationships/image" Target="../media/image3.png"/><Relationship Id="rId19" Type="http://schemas.openxmlformats.org/officeDocument/2006/relationships/image" Target="../media/image11.png"/><Relationship Id="rId4" Type="http://schemas.openxmlformats.org/officeDocument/2006/relationships/chart" Target="../charts/chart4.xml"/><Relationship Id="rId9" Type="http://schemas.openxmlformats.org/officeDocument/2006/relationships/image" Target="../media/image2.png"/><Relationship Id="rId1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image" Target="../media/image67.png"/><Relationship Id="rId21" Type="http://schemas.openxmlformats.org/officeDocument/2006/relationships/chart" Target="../charts/chart21.xml"/><Relationship Id="rId7" Type="http://schemas.openxmlformats.org/officeDocument/2006/relationships/image" Target="../media/image71.png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image" Target="../media/image66.png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image" Target="../media/image69.png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image" Target="../media/image74.png"/><Relationship Id="rId19" Type="http://schemas.openxmlformats.org/officeDocument/2006/relationships/chart" Target="../charts/chart19.xml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7.png"/><Relationship Id="rId7" Type="http://schemas.openxmlformats.org/officeDocument/2006/relationships/image" Target="../media/image44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4.png"/><Relationship Id="rId5" Type="http://schemas.openxmlformats.org/officeDocument/2006/relationships/image" Target="../media/image79.png"/><Relationship Id="rId10" Type="http://schemas.openxmlformats.org/officeDocument/2006/relationships/image" Target="../media/image83.png"/><Relationship Id="rId4" Type="http://schemas.openxmlformats.org/officeDocument/2006/relationships/image" Target="../media/image78.png"/><Relationship Id="rId9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gif"/><Relationship Id="rId7" Type="http://schemas.openxmlformats.org/officeDocument/2006/relationships/image" Target="../media/image95.png"/><Relationship Id="rId2" Type="http://schemas.openxmlformats.org/officeDocument/2006/relationships/chart" Target="../charts/chart29.xml"/><Relationship Id="rId1" Type="http://schemas.openxmlformats.org/officeDocument/2006/relationships/image" Target="../media/image90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152400</xdr:rowOff>
    </xdr:from>
    <xdr:to>
      <xdr:col>5</xdr:col>
      <xdr:colOff>670486</xdr:colOff>
      <xdr:row>20</xdr:row>
      <xdr:rowOff>76199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952500"/>
          <a:ext cx="4413811" cy="297179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102658</xdr:colOff>
      <xdr:row>131</xdr:row>
      <xdr:rowOff>144992</xdr:rowOff>
    </xdr:from>
    <xdr:to>
      <xdr:col>13</xdr:col>
      <xdr:colOff>531283</xdr:colOff>
      <xdr:row>157</xdr:row>
      <xdr:rowOff>164042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704849</xdr:colOff>
      <xdr:row>180</xdr:row>
      <xdr:rowOff>66674</xdr:rowOff>
    </xdr:from>
    <xdr:to>
      <xdr:col>12</xdr:col>
      <xdr:colOff>609600</xdr:colOff>
      <xdr:row>199</xdr:row>
      <xdr:rowOff>85725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53976</xdr:colOff>
      <xdr:row>271</xdr:row>
      <xdr:rowOff>42333</xdr:rowOff>
    </xdr:from>
    <xdr:to>
      <xdr:col>14</xdr:col>
      <xdr:colOff>677334</xdr:colOff>
      <xdr:row>290</xdr:row>
      <xdr:rowOff>137584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14817</xdr:colOff>
      <xdr:row>293</xdr:row>
      <xdr:rowOff>6349</xdr:rowOff>
    </xdr:from>
    <xdr:to>
      <xdr:col>14</xdr:col>
      <xdr:colOff>719666</xdr:colOff>
      <xdr:row>311</xdr:row>
      <xdr:rowOff>10583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43390</xdr:colOff>
      <xdr:row>311</xdr:row>
      <xdr:rowOff>84666</xdr:rowOff>
    </xdr:from>
    <xdr:to>
      <xdr:col>14</xdr:col>
      <xdr:colOff>677333</xdr:colOff>
      <xdr:row>333</xdr:row>
      <xdr:rowOff>42333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27518</xdr:colOff>
      <xdr:row>336</xdr:row>
      <xdr:rowOff>127000</xdr:rowOff>
    </xdr:from>
    <xdr:to>
      <xdr:col>14</xdr:col>
      <xdr:colOff>740833</xdr:colOff>
      <xdr:row>354</xdr:row>
      <xdr:rowOff>42333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44449</xdr:colOff>
      <xdr:row>355</xdr:row>
      <xdr:rowOff>148168</xdr:rowOff>
    </xdr:from>
    <xdr:to>
      <xdr:col>14</xdr:col>
      <xdr:colOff>761999</xdr:colOff>
      <xdr:row>374</xdr:row>
      <xdr:rowOff>148167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155863</xdr:colOff>
      <xdr:row>21</xdr:row>
      <xdr:rowOff>190498</xdr:rowOff>
    </xdr:from>
    <xdr:to>
      <xdr:col>14</xdr:col>
      <xdr:colOff>539750</xdr:colOff>
      <xdr:row>42</xdr:row>
      <xdr:rowOff>137583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19051</xdr:colOff>
      <xdr:row>47</xdr:row>
      <xdr:rowOff>95251</xdr:rowOff>
    </xdr:from>
    <xdr:to>
      <xdr:col>10</xdr:col>
      <xdr:colOff>257051</xdr:colOff>
      <xdr:row>49</xdr:row>
      <xdr:rowOff>57108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 bwMode="auto">
        <a:xfrm>
          <a:off x="7115176" y="8724901"/>
          <a:ext cx="1000000" cy="34285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295275</xdr:colOff>
      <xdr:row>65</xdr:row>
      <xdr:rowOff>114299</xdr:rowOff>
    </xdr:from>
    <xdr:to>
      <xdr:col>8</xdr:col>
      <xdr:colOff>599942</xdr:colOff>
      <xdr:row>66</xdr:row>
      <xdr:rowOff>114275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 bwMode="auto">
        <a:xfrm>
          <a:off x="5867400" y="12172949"/>
          <a:ext cx="1066667" cy="1904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676275</xdr:colOff>
      <xdr:row>66</xdr:row>
      <xdr:rowOff>57150</xdr:rowOff>
    </xdr:from>
    <xdr:to>
      <xdr:col>2</xdr:col>
      <xdr:colOff>723687</xdr:colOff>
      <xdr:row>67</xdr:row>
      <xdr:rowOff>76174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 bwMode="auto">
        <a:xfrm>
          <a:off x="676275" y="12306300"/>
          <a:ext cx="1704762" cy="20952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600074</xdr:colOff>
      <xdr:row>81</xdr:row>
      <xdr:rowOff>9524</xdr:rowOff>
    </xdr:from>
    <xdr:to>
      <xdr:col>6</xdr:col>
      <xdr:colOff>742949</xdr:colOff>
      <xdr:row>83</xdr:row>
      <xdr:rowOff>151447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809999" y="15116174"/>
          <a:ext cx="1743075" cy="522923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</xdr:pic>
    <xdr:clientData/>
  </xdr:twoCellAnchor>
  <xdr:twoCellAnchor>
    <xdr:from>
      <xdr:col>0</xdr:col>
      <xdr:colOff>257175</xdr:colOff>
      <xdr:row>162</xdr:row>
      <xdr:rowOff>9525</xdr:rowOff>
    </xdr:from>
    <xdr:to>
      <xdr:col>1</xdr:col>
      <xdr:colOff>476124</xdr:colOff>
      <xdr:row>163</xdr:row>
      <xdr:rowOff>161882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 bwMode="auto">
        <a:xfrm>
          <a:off x="257175" y="30737175"/>
          <a:ext cx="1009524" cy="34285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180975</xdr:colOff>
      <xdr:row>162</xdr:row>
      <xdr:rowOff>28575</xdr:rowOff>
    </xdr:from>
    <xdr:to>
      <xdr:col>4</xdr:col>
      <xdr:colOff>76010</xdr:colOff>
      <xdr:row>163</xdr:row>
      <xdr:rowOff>142837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 bwMode="auto">
        <a:xfrm>
          <a:off x="1838325" y="30756225"/>
          <a:ext cx="1523810" cy="30476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655108</xdr:colOff>
      <xdr:row>163</xdr:row>
      <xdr:rowOff>14201</xdr:rowOff>
    </xdr:from>
    <xdr:to>
      <xdr:col>8</xdr:col>
      <xdr:colOff>80433</xdr:colOff>
      <xdr:row>166</xdr:row>
      <xdr:rowOff>126899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 bwMode="auto">
        <a:xfrm>
          <a:off x="4835525" y="31319701"/>
          <a:ext cx="1795991" cy="68419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266700</xdr:colOff>
      <xdr:row>203</xdr:row>
      <xdr:rowOff>0</xdr:rowOff>
    </xdr:from>
    <xdr:to>
      <xdr:col>3</xdr:col>
      <xdr:colOff>560917</xdr:colOff>
      <xdr:row>204</xdr:row>
      <xdr:rowOff>47625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60450" y="37824833"/>
          <a:ext cx="1955800" cy="238125"/>
        </a:xfrm>
        <a:prstGeom prst="rect">
          <a:avLst/>
        </a:prstGeom>
        <a:noFill/>
      </xdr:spPr>
    </xdr:pic>
    <xdr:clientData/>
  </xdr:twoCellAnchor>
  <xdr:twoCellAnchor>
    <xdr:from>
      <xdr:col>6</xdr:col>
      <xdr:colOff>127000</xdr:colOff>
      <xdr:row>217</xdr:row>
      <xdr:rowOff>105831</xdr:rowOff>
    </xdr:from>
    <xdr:to>
      <xdr:col>14</xdr:col>
      <xdr:colOff>645584</xdr:colOff>
      <xdr:row>245</xdr:row>
      <xdr:rowOff>84665</xdr:rowOff>
    </xdr:to>
    <xdr:graphicFrame macro="">
      <xdr:nvGraphicFramePr>
        <xdr:cNvPr id="18" name="1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433917</xdr:colOff>
      <xdr:row>203</xdr:row>
      <xdr:rowOff>0</xdr:rowOff>
    </xdr:from>
    <xdr:to>
      <xdr:col>6</xdr:col>
      <xdr:colOff>342900</xdr:colOff>
      <xdr:row>204</xdr:row>
      <xdr:rowOff>85725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735917" y="37824833"/>
          <a:ext cx="1517650" cy="2762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21167</xdr:colOff>
      <xdr:row>205</xdr:row>
      <xdr:rowOff>158750</xdr:rowOff>
    </xdr:from>
    <xdr:to>
      <xdr:col>4</xdr:col>
      <xdr:colOff>583142</xdr:colOff>
      <xdr:row>208</xdr:row>
      <xdr:rowOff>82550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476500" y="38364583"/>
          <a:ext cx="1408642" cy="4953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507999</xdr:colOff>
      <xdr:row>249</xdr:row>
      <xdr:rowOff>158749</xdr:rowOff>
    </xdr:from>
    <xdr:to>
      <xdr:col>7</xdr:col>
      <xdr:colOff>284691</xdr:colOff>
      <xdr:row>251</xdr:row>
      <xdr:rowOff>53974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809999" y="45645916"/>
          <a:ext cx="2147359" cy="2762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645582</xdr:colOff>
      <xdr:row>377</xdr:row>
      <xdr:rowOff>137581</xdr:rowOff>
    </xdr:from>
    <xdr:to>
      <xdr:col>11</xdr:col>
      <xdr:colOff>137582</xdr:colOff>
      <xdr:row>401</xdr:row>
      <xdr:rowOff>137582</xdr:rowOff>
    </xdr:to>
    <xdr:graphicFrame macro="">
      <xdr:nvGraphicFramePr>
        <xdr:cNvPr id="22" name="2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347088</xdr:colOff>
      <xdr:row>36</xdr:row>
      <xdr:rowOff>325440</xdr:rowOff>
    </xdr:from>
    <xdr:to>
      <xdr:col>5</xdr:col>
      <xdr:colOff>421242</xdr:colOff>
      <xdr:row>51</xdr:row>
      <xdr:rowOff>184402</xdr:rowOff>
    </xdr:to>
    <xdr:pic>
      <xdr:nvPicPr>
        <xdr:cNvPr id="2" name="1 Imagen" descr="Detalle  Pta ala izquierd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088" y="706440"/>
          <a:ext cx="3967498" cy="2883150"/>
        </a:xfrm>
        <a:prstGeom prst="rect">
          <a:avLst/>
        </a:prstGeom>
      </xdr:spPr>
    </xdr:pic>
    <xdr:clientData/>
  </xdr:twoCellAnchor>
  <xdr:twoCellAnchor editAs="oneCell">
    <xdr:from>
      <xdr:col>7</xdr:col>
      <xdr:colOff>25882</xdr:colOff>
      <xdr:row>37</xdr:row>
      <xdr:rowOff>7814</xdr:rowOff>
    </xdr:from>
    <xdr:to>
      <xdr:col>11</xdr:col>
      <xdr:colOff>187062</xdr:colOff>
      <xdr:row>51</xdr:row>
      <xdr:rowOff>186651</xdr:rowOff>
    </xdr:to>
    <xdr:pic>
      <xdr:nvPicPr>
        <xdr:cNvPr id="3" name="2 Imagen" descr="detalle pta ala derech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3226" y="746002"/>
          <a:ext cx="3232992" cy="2845837"/>
        </a:xfrm>
        <a:prstGeom prst="rect">
          <a:avLst/>
        </a:prstGeom>
      </xdr:spPr>
    </xdr:pic>
    <xdr:clientData/>
  </xdr:twoCellAnchor>
  <xdr:twoCellAnchor editAs="oneCell">
    <xdr:from>
      <xdr:col>0</xdr:col>
      <xdr:colOff>445975</xdr:colOff>
      <xdr:row>67</xdr:row>
      <xdr:rowOff>190498</xdr:rowOff>
    </xdr:from>
    <xdr:to>
      <xdr:col>5</xdr:col>
      <xdr:colOff>256584</xdr:colOff>
      <xdr:row>86</xdr:row>
      <xdr:rowOff>119061</xdr:rowOff>
    </xdr:to>
    <xdr:pic>
      <xdr:nvPicPr>
        <xdr:cNvPr id="4" name="3 Imagen" descr="Detalle ala Izquierda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975" y="6691311"/>
          <a:ext cx="3703953" cy="3548063"/>
        </a:xfrm>
        <a:prstGeom prst="rect">
          <a:avLst/>
        </a:prstGeom>
      </xdr:spPr>
    </xdr:pic>
    <xdr:clientData/>
  </xdr:twoCellAnchor>
  <xdr:twoCellAnchor editAs="oneCell">
    <xdr:from>
      <xdr:col>6</xdr:col>
      <xdr:colOff>611908</xdr:colOff>
      <xdr:row>67</xdr:row>
      <xdr:rowOff>187324</xdr:rowOff>
    </xdr:from>
    <xdr:to>
      <xdr:col>11</xdr:col>
      <xdr:colOff>232833</xdr:colOff>
      <xdr:row>86</xdr:row>
      <xdr:rowOff>150554</xdr:rowOff>
    </xdr:to>
    <xdr:pic>
      <xdr:nvPicPr>
        <xdr:cNvPr id="5" name="4 Imagen" descr="Detalle ala derecha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8575" y="6706657"/>
          <a:ext cx="3462675" cy="3582730"/>
        </a:xfrm>
        <a:prstGeom prst="rect">
          <a:avLst/>
        </a:prstGeom>
      </xdr:spPr>
    </xdr:pic>
    <xdr:clientData/>
  </xdr:twoCellAnchor>
  <xdr:twoCellAnchor editAs="oneCell">
    <xdr:from>
      <xdr:col>3</xdr:col>
      <xdr:colOff>135006</xdr:colOff>
      <xdr:row>134</xdr:row>
      <xdr:rowOff>30505</xdr:rowOff>
    </xdr:from>
    <xdr:to>
      <xdr:col>8</xdr:col>
      <xdr:colOff>584504</xdr:colOff>
      <xdr:row>152</xdr:row>
      <xdr:rowOff>154123</xdr:rowOff>
    </xdr:to>
    <xdr:pic>
      <xdr:nvPicPr>
        <xdr:cNvPr id="6" name="5 Imagen" descr="detalle dors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1006" y="19345088"/>
          <a:ext cx="4344165" cy="3552618"/>
        </a:xfrm>
        <a:prstGeom prst="rect">
          <a:avLst/>
        </a:prstGeom>
      </xdr:spPr>
    </xdr:pic>
    <xdr:clientData/>
  </xdr:twoCellAnchor>
  <xdr:twoCellAnchor editAs="oneCell">
    <xdr:from>
      <xdr:col>2</xdr:col>
      <xdr:colOff>728457</xdr:colOff>
      <xdr:row>167</xdr:row>
      <xdr:rowOff>708</xdr:rowOff>
    </xdr:from>
    <xdr:to>
      <xdr:col>9</xdr:col>
      <xdr:colOff>81160</xdr:colOff>
      <xdr:row>185</xdr:row>
      <xdr:rowOff>172502</xdr:rowOff>
    </xdr:to>
    <xdr:pic>
      <xdr:nvPicPr>
        <xdr:cNvPr id="7" name="6 Imagen" descr="Detalle dorso D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2457" y="25665291"/>
          <a:ext cx="4771370" cy="3600794"/>
        </a:xfrm>
        <a:prstGeom prst="rect">
          <a:avLst/>
        </a:prstGeom>
      </xdr:spPr>
    </xdr:pic>
    <xdr:clientData/>
  </xdr:twoCellAnchor>
  <xdr:twoCellAnchor editAs="oneCell">
    <xdr:from>
      <xdr:col>12</xdr:col>
      <xdr:colOff>440541</xdr:colOff>
      <xdr:row>36</xdr:row>
      <xdr:rowOff>340520</xdr:rowOff>
    </xdr:from>
    <xdr:to>
      <xdr:col>17</xdr:col>
      <xdr:colOff>326810</xdr:colOff>
      <xdr:row>51</xdr:row>
      <xdr:rowOff>2382</xdr:rowOff>
    </xdr:to>
    <xdr:pic>
      <xdr:nvPicPr>
        <xdr:cNvPr id="11" name="10 Imagen" descr="Detalle  Pta ala izquierda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1697" y="721520"/>
          <a:ext cx="3696269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779062</xdr:colOff>
      <xdr:row>36</xdr:row>
      <xdr:rowOff>333376</xdr:rowOff>
    </xdr:from>
    <xdr:to>
      <xdr:col>22</xdr:col>
      <xdr:colOff>685107</xdr:colOff>
      <xdr:row>51</xdr:row>
      <xdr:rowOff>14288</xdr:rowOff>
    </xdr:to>
    <xdr:pic>
      <xdr:nvPicPr>
        <xdr:cNvPr id="12" name="11 Imagen" descr="detalle pta ala derecha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02218" y="714376"/>
          <a:ext cx="3073108" cy="270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563681</xdr:colOff>
      <xdr:row>67</xdr:row>
      <xdr:rowOff>178594</xdr:rowOff>
    </xdr:from>
    <xdr:to>
      <xdr:col>17</xdr:col>
      <xdr:colOff>276474</xdr:colOff>
      <xdr:row>85</xdr:row>
      <xdr:rowOff>158749</xdr:rowOff>
    </xdr:to>
    <xdr:pic>
      <xdr:nvPicPr>
        <xdr:cNvPr id="13" name="12 Imagen" descr="Ala Inferior Izquierda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24098" y="6697927"/>
          <a:ext cx="3522793" cy="3409155"/>
        </a:xfrm>
        <a:prstGeom prst="rect">
          <a:avLst/>
        </a:prstGeom>
      </xdr:spPr>
    </xdr:pic>
    <xdr:clientData/>
  </xdr:twoCellAnchor>
  <xdr:twoCellAnchor editAs="oneCell">
    <xdr:from>
      <xdr:col>18</xdr:col>
      <xdr:colOff>501435</xdr:colOff>
      <xdr:row>68</xdr:row>
      <xdr:rowOff>11909</xdr:rowOff>
    </xdr:from>
    <xdr:to>
      <xdr:col>23</xdr:col>
      <xdr:colOff>175114</xdr:colOff>
      <xdr:row>85</xdr:row>
      <xdr:rowOff>59533</xdr:rowOff>
    </xdr:to>
    <xdr:pic>
      <xdr:nvPicPr>
        <xdr:cNvPr id="14" name="13 Imagen" descr="Ala Inferior Derech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33852" y="6721742"/>
          <a:ext cx="3610679" cy="3286124"/>
        </a:xfrm>
        <a:prstGeom prst="rect">
          <a:avLst/>
        </a:prstGeom>
      </xdr:spPr>
    </xdr:pic>
    <xdr:clientData/>
  </xdr:twoCellAnchor>
  <xdr:twoCellAnchor editAs="oneCell">
    <xdr:from>
      <xdr:col>0</xdr:col>
      <xdr:colOff>272738</xdr:colOff>
      <xdr:row>101</xdr:row>
      <xdr:rowOff>1</xdr:rowOff>
    </xdr:from>
    <xdr:to>
      <xdr:col>11</xdr:col>
      <xdr:colOff>506617</xdr:colOff>
      <xdr:row>116</xdr:row>
      <xdr:rowOff>154781</xdr:rowOff>
    </xdr:to>
    <xdr:pic>
      <xdr:nvPicPr>
        <xdr:cNvPr id="15" name="14 Imagen" descr="Detalle Square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738" y="13091584"/>
          <a:ext cx="8732296" cy="3044029"/>
        </a:xfrm>
        <a:prstGeom prst="rect">
          <a:avLst/>
        </a:prstGeom>
      </xdr:spPr>
    </xdr:pic>
    <xdr:clientData/>
  </xdr:twoCellAnchor>
  <xdr:twoCellAnchor editAs="oneCell">
    <xdr:from>
      <xdr:col>12</xdr:col>
      <xdr:colOff>491334</xdr:colOff>
      <xdr:row>100</xdr:row>
      <xdr:rowOff>180644</xdr:rowOff>
    </xdr:from>
    <xdr:to>
      <xdr:col>17</xdr:col>
      <xdr:colOff>419475</xdr:colOff>
      <xdr:row>110</xdr:row>
      <xdr:rowOff>179917</xdr:rowOff>
    </xdr:to>
    <xdr:pic>
      <xdr:nvPicPr>
        <xdr:cNvPr id="16" name="15 Imagen" descr="Detalle 2° seccion Ala Inferior Izquierda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1751" y="13081727"/>
          <a:ext cx="3738141" cy="1904273"/>
        </a:xfrm>
        <a:prstGeom prst="rect">
          <a:avLst/>
        </a:prstGeom>
      </xdr:spPr>
    </xdr:pic>
    <xdr:clientData/>
  </xdr:twoCellAnchor>
  <xdr:twoCellAnchor editAs="oneCell">
    <xdr:from>
      <xdr:col>18</xdr:col>
      <xdr:colOff>234031</xdr:colOff>
      <xdr:row>101</xdr:row>
      <xdr:rowOff>15193</xdr:rowOff>
    </xdr:from>
    <xdr:to>
      <xdr:col>23</xdr:col>
      <xdr:colOff>571165</xdr:colOff>
      <xdr:row>110</xdr:row>
      <xdr:rowOff>182562</xdr:rowOff>
    </xdr:to>
    <xdr:pic>
      <xdr:nvPicPr>
        <xdr:cNvPr id="17" name="16 Imagen" descr="Detalle 2° seccion Ala Inferior Derecha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69094" y="13175568"/>
          <a:ext cx="4274134" cy="1881869"/>
        </a:xfrm>
        <a:prstGeom prst="rect">
          <a:avLst/>
        </a:prstGeom>
      </xdr:spPr>
    </xdr:pic>
    <xdr:clientData/>
  </xdr:twoCellAnchor>
  <xdr:twoCellAnchor editAs="oneCell">
    <xdr:from>
      <xdr:col>15</xdr:col>
      <xdr:colOff>122585</xdr:colOff>
      <xdr:row>134</xdr:row>
      <xdr:rowOff>0</xdr:rowOff>
    </xdr:from>
    <xdr:to>
      <xdr:col>20</xdr:col>
      <xdr:colOff>596569</xdr:colOff>
      <xdr:row>152</xdr:row>
      <xdr:rowOff>150199</xdr:rowOff>
    </xdr:to>
    <xdr:pic>
      <xdr:nvPicPr>
        <xdr:cNvPr id="18" name="17 Imagen" descr="Detalle Vientre V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69002" y="19314583"/>
          <a:ext cx="4410984" cy="3579199"/>
        </a:xfrm>
        <a:prstGeom prst="rect">
          <a:avLst/>
        </a:prstGeom>
      </xdr:spPr>
    </xdr:pic>
    <xdr:clientData/>
  </xdr:twoCellAnchor>
  <xdr:twoCellAnchor editAs="oneCell">
    <xdr:from>
      <xdr:col>14</xdr:col>
      <xdr:colOff>598255</xdr:colOff>
      <xdr:row>167</xdr:row>
      <xdr:rowOff>3</xdr:rowOff>
    </xdr:from>
    <xdr:to>
      <xdr:col>20</xdr:col>
      <xdr:colOff>651904</xdr:colOff>
      <xdr:row>185</xdr:row>
      <xdr:rowOff>160770</xdr:rowOff>
    </xdr:to>
    <xdr:pic>
      <xdr:nvPicPr>
        <xdr:cNvPr id="19" name="18 Imagen" descr="Detalle vientre V2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82672" y="25664586"/>
          <a:ext cx="4752649" cy="3589767"/>
        </a:xfrm>
        <a:prstGeom prst="rect">
          <a:avLst/>
        </a:prstGeom>
      </xdr:spPr>
    </xdr:pic>
    <xdr:clientData/>
  </xdr:twoCellAnchor>
  <xdr:twoCellAnchor editAs="oneCell">
    <xdr:from>
      <xdr:col>4</xdr:col>
      <xdr:colOff>178594</xdr:colOff>
      <xdr:row>199</xdr:row>
      <xdr:rowOff>162880</xdr:rowOff>
    </xdr:from>
    <xdr:to>
      <xdr:col>7</xdr:col>
      <xdr:colOff>594888</xdr:colOff>
      <xdr:row>218</xdr:row>
      <xdr:rowOff>188928</xdr:rowOff>
    </xdr:to>
    <xdr:pic>
      <xdr:nvPicPr>
        <xdr:cNvPr id="20" name="19 Imagen" descr="Detalle bolsa superior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09938" y="32095443"/>
          <a:ext cx="2702294" cy="3645548"/>
        </a:xfrm>
        <a:prstGeom prst="rect">
          <a:avLst/>
        </a:prstGeom>
      </xdr:spPr>
    </xdr:pic>
    <xdr:clientData/>
  </xdr:twoCellAnchor>
  <xdr:twoCellAnchor editAs="oneCell">
    <xdr:from>
      <xdr:col>16</xdr:col>
      <xdr:colOff>369093</xdr:colOff>
      <xdr:row>199</xdr:row>
      <xdr:rowOff>173105</xdr:rowOff>
    </xdr:from>
    <xdr:to>
      <xdr:col>19</xdr:col>
      <xdr:colOff>436285</xdr:colOff>
      <xdr:row>218</xdr:row>
      <xdr:rowOff>185070</xdr:rowOff>
    </xdr:to>
    <xdr:pic>
      <xdr:nvPicPr>
        <xdr:cNvPr id="21" name="20 Imagen" descr="Detalle Bolsa Inferior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668249" y="32105668"/>
          <a:ext cx="2388911" cy="3631465"/>
        </a:xfrm>
        <a:prstGeom prst="rect">
          <a:avLst/>
        </a:prstGeom>
      </xdr:spPr>
    </xdr:pic>
    <xdr:clientData/>
  </xdr:twoCellAnchor>
  <xdr:twoCellAnchor>
    <xdr:from>
      <xdr:col>1</xdr:col>
      <xdr:colOff>35718</xdr:colOff>
      <xdr:row>38</xdr:row>
      <xdr:rowOff>142874</xdr:rowOff>
    </xdr:from>
    <xdr:to>
      <xdr:col>1</xdr:col>
      <xdr:colOff>440531</xdr:colOff>
      <xdr:row>40</xdr:row>
      <xdr:rowOff>23812</xdr:rowOff>
    </xdr:to>
    <xdr:sp macro="" textlink="">
      <xdr:nvSpPr>
        <xdr:cNvPr id="22" name="21 CuadroTexto"/>
        <xdr:cNvSpPr txBox="1"/>
      </xdr:nvSpPr>
      <xdr:spPr>
        <a:xfrm>
          <a:off x="797718" y="1071562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X1</a:t>
          </a:r>
        </a:p>
      </xdr:txBody>
    </xdr:sp>
    <xdr:clientData/>
  </xdr:twoCellAnchor>
  <xdr:twoCellAnchor>
    <xdr:from>
      <xdr:col>2</xdr:col>
      <xdr:colOff>342880</xdr:colOff>
      <xdr:row>38</xdr:row>
      <xdr:rowOff>128590</xdr:rowOff>
    </xdr:from>
    <xdr:to>
      <xdr:col>3</xdr:col>
      <xdr:colOff>69037</xdr:colOff>
      <xdr:row>40</xdr:row>
      <xdr:rowOff>9528</xdr:rowOff>
    </xdr:to>
    <xdr:sp macro="" textlink="">
      <xdr:nvSpPr>
        <xdr:cNvPr id="24" name="23 CuadroTexto"/>
        <xdr:cNvSpPr txBox="1"/>
      </xdr:nvSpPr>
      <xdr:spPr>
        <a:xfrm>
          <a:off x="1866880" y="1057278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chemeClr val="tx2"/>
              </a:solidFill>
            </a:rPr>
            <a:t>X2</a:t>
          </a:r>
        </a:p>
      </xdr:txBody>
    </xdr:sp>
    <xdr:clientData/>
  </xdr:twoCellAnchor>
  <xdr:twoCellAnchor>
    <xdr:from>
      <xdr:col>10</xdr:col>
      <xdr:colOff>235742</xdr:colOff>
      <xdr:row>39</xdr:row>
      <xdr:rowOff>92865</xdr:rowOff>
    </xdr:from>
    <xdr:to>
      <xdr:col>10</xdr:col>
      <xdr:colOff>640555</xdr:colOff>
      <xdr:row>40</xdr:row>
      <xdr:rowOff>164303</xdr:rowOff>
    </xdr:to>
    <xdr:sp macro="" textlink="">
      <xdr:nvSpPr>
        <xdr:cNvPr id="25" name="24 CuadroTexto"/>
        <xdr:cNvSpPr txBox="1"/>
      </xdr:nvSpPr>
      <xdr:spPr>
        <a:xfrm>
          <a:off x="7939086" y="1212053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chemeClr val="tx2"/>
              </a:solidFill>
            </a:rPr>
            <a:t>X1</a:t>
          </a:r>
        </a:p>
      </xdr:txBody>
    </xdr:sp>
    <xdr:clientData/>
  </xdr:twoCellAnchor>
  <xdr:twoCellAnchor>
    <xdr:from>
      <xdr:col>14</xdr:col>
      <xdr:colOff>405341</xdr:colOff>
      <xdr:row>38</xdr:row>
      <xdr:rowOff>146048</xdr:rowOff>
    </xdr:from>
    <xdr:to>
      <xdr:col>15</xdr:col>
      <xdr:colOff>48154</xdr:colOff>
      <xdr:row>40</xdr:row>
      <xdr:rowOff>26986</xdr:rowOff>
    </xdr:to>
    <xdr:sp macro="" textlink="">
      <xdr:nvSpPr>
        <xdr:cNvPr id="26" name="25 CuadroTexto"/>
        <xdr:cNvSpPr txBox="1"/>
      </xdr:nvSpPr>
      <xdr:spPr>
        <a:xfrm>
          <a:off x="11189758" y="1077381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8</xdr:col>
      <xdr:colOff>590517</xdr:colOff>
      <xdr:row>39</xdr:row>
      <xdr:rowOff>71968</xdr:rowOff>
    </xdr:from>
    <xdr:to>
      <xdr:col>9</xdr:col>
      <xdr:colOff>316674</xdr:colOff>
      <xdr:row>40</xdr:row>
      <xdr:rowOff>143406</xdr:rowOff>
    </xdr:to>
    <xdr:sp macro="" textlink="">
      <xdr:nvSpPr>
        <xdr:cNvPr id="27" name="26 CuadroTexto"/>
        <xdr:cNvSpPr txBox="1"/>
      </xdr:nvSpPr>
      <xdr:spPr>
        <a:xfrm>
          <a:off x="6771184" y="1193801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X2</a:t>
          </a:r>
        </a:p>
      </xdr:txBody>
    </xdr:sp>
    <xdr:clientData/>
  </xdr:twoCellAnchor>
  <xdr:twoCellAnchor>
    <xdr:from>
      <xdr:col>21</xdr:col>
      <xdr:colOff>686063</xdr:colOff>
      <xdr:row>39</xdr:row>
      <xdr:rowOff>10053</xdr:rowOff>
    </xdr:from>
    <xdr:to>
      <xdr:col>22</xdr:col>
      <xdr:colOff>328876</xdr:colOff>
      <xdr:row>40</xdr:row>
      <xdr:rowOff>81491</xdr:rowOff>
    </xdr:to>
    <xdr:sp macro="" textlink="">
      <xdr:nvSpPr>
        <xdr:cNvPr id="30" name="29 CuadroTexto"/>
        <xdr:cNvSpPr txBox="1"/>
      </xdr:nvSpPr>
      <xdr:spPr>
        <a:xfrm>
          <a:off x="16931480" y="1131886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3</xdr:col>
      <xdr:colOff>27782</xdr:colOff>
      <xdr:row>70</xdr:row>
      <xdr:rowOff>190498</xdr:rowOff>
    </xdr:from>
    <xdr:to>
      <xdr:col>3</xdr:col>
      <xdr:colOff>515939</xdr:colOff>
      <xdr:row>72</xdr:row>
      <xdr:rowOff>71436</xdr:rowOff>
    </xdr:to>
    <xdr:sp macro="" textlink="">
      <xdr:nvSpPr>
        <xdr:cNvPr id="32" name="31 CuadroTexto"/>
        <xdr:cNvSpPr txBox="1"/>
      </xdr:nvSpPr>
      <xdr:spPr>
        <a:xfrm>
          <a:off x="2313782" y="7262811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</xdr:col>
      <xdr:colOff>211931</xdr:colOff>
      <xdr:row>82</xdr:row>
      <xdr:rowOff>176212</xdr:rowOff>
    </xdr:from>
    <xdr:to>
      <xdr:col>1</xdr:col>
      <xdr:colOff>616744</xdr:colOff>
      <xdr:row>84</xdr:row>
      <xdr:rowOff>57150</xdr:rowOff>
    </xdr:to>
    <xdr:sp macro="" textlink="">
      <xdr:nvSpPr>
        <xdr:cNvPr id="33" name="32 CuadroTexto"/>
        <xdr:cNvSpPr txBox="1"/>
      </xdr:nvSpPr>
      <xdr:spPr>
        <a:xfrm>
          <a:off x="973931" y="9534525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8</xdr:col>
      <xdr:colOff>739506</xdr:colOff>
      <xdr:row>70</xdr:row>
      <xdr:rowOff>171980</xdr:rowOff>
    </xdr:from>
    <xdr:to>
      <xdr:col>9</xdr:col>
      <xdr:colOff>465663</xdr:colOff>
      <xdr:row>72</xdr:row>
      <xdr:rowOff>52918</xdr:rowOff>
    </xdr:to>
    <xdr:sp macro="" textlink="">
      <xdr:nvSpPr>
        <xdr:cNvPr id="34" name="33 CuadroTexto"/>
        <xdr:cNvSpPr txBox="1"/>
      </xdr:nvSpPr>
      <xdr:spPr>
        <a:xfrm>
          <a:off x="6920173" y="7262813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15</xdr:col>
      <xdr:colOff>144457</xdr:colOff>
      <xdr:row>70</xdr:row>
      <xdr:rowOff>119328</xdr:rowOff>
    </xdr:from>
    <xdr:to>
      <xdr:col>15</xdr:col>
      <xdr:colOff>632614</xdr:colOff>
      <xdr:row>72</xdr:row>
      <xdr:rowOff>266</xdr:rowOff>
    </xdr:to>
    <xdr:sp macro="" textlink="">
      <xdr:nvSpPr>
        <xdr:cNvPr id="35" name="34 CuadroTexto"/>
        <xdr:cNvSpPr txBox="1"/>
      </xdr:nvSpPr>
      <xdr:spPr>
        <a:xfrm>
          <a:off x="11690874" y="7210161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19</xdr:col>
      <xdr:colOff>617003</xdr:colOff>
      <xdr:row>69</xdr:row>
      <xdr:rowOff>161925</xdr:rowOff>
    </xdr:from>
    <xdr:to>
      <xdr:col>20</xdr:col>
      <xdr:colOff>343160</xdr:colOff>
      <xdr:row>71</xdr:row>
      <xdr:rowOff>42863</xdr:rowOff>
    </xdr:to>
    <xdr:sp macro="" textlink="">
      <xdr:nvSpPr>
        <xdr:cNvPr id="36" name="35 CuadroTexto"/>
        <xdr:cNvSpPr txBox="1"/>
      </xdr:nvSpPr>
      <xdr:spPr>
        <a:xfrm>
          <a:off x="15253753" y="7062258"/>
          <a:ext cx="572824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16</xdr:col>
      <xdr:colOff>656928</xdr:colOff>
      <xdr:row>102</xdr:row>
      <xdr:rowOff>92082</xdr:rowOff>
    </xdr:from>
    <xdr:to>
      <xdr:col>17</xdr:col>
      <xdr:colOff>383085</xdr:colOff>
      <xdr:row>103</xdr:row>
      <xdr:rowOff>163520</xdr:rowOff>
    </xdr:to>
    <xdr:sp macro="" textlink="">
      <xdr:nvSpPr>
        <xdr:cNvPr id="37" name="36 CuadroTexto"/>
        <xdr:cNvSpPr txBox="1"/>
      </xdr:nvSpPr>
      <xdr:spPr>
        <a:xfrm>
          <a:off x="12965345" y="13374165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</xdr:col>
      <xdr:colOff>101861</xdr:colOff>
      <xdr:row>113</xdr:row>
      <xdr:rowOff>13228</xdr:rowOff>
    </xdr:from>
    <xdr:to>
      <xdr:col>1</xdr:col>
      <xdr:colOff>506674</xdr:colOff>
      <xdr:row>114</xdr:row>
      <xdr:rowOff>84666</xdr:rowOff>
    </xdr:to>
    <xdr:sp macro="" textlink="">
      <xdr:nvSpPr>
        <xdr:cNvPr id="38" name="37 CuadroTexto"/>
        <xdr:cNvSpPr txBox="1"/>
      </xdr:nvSpPr>
      <xdr:spPr>
        <a:xfrm>
          <a:off x="863861" y="15422561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10</xdr:col>
      <xdr:colOff>458333</xdr:colOff>
      <xdr:row>113</xdr:row>
      <xdr:rowOff>14552</xdr:rowOff>
    </xdr:from>
    <xdr:to>
      <xdr:col>11</xdr:col>
      <xdr:colOff>77334</xdr:colOff>
      <xdr:row>114</xdr:row>
      <xdr:rowOff>85990</xdr:rowOff>
    </xdr:to>
    <xdr:sp macro="" textlink="">
      <xdr:nvSpPr>
        <xdr:cNvPr id="39" name="38 CuadroTexto"/>
        <xdr:cNvSpPr txBox="1"/>
      </xdr:nvSpPr>
      <xdr:spPr>
        <a:xfrm>
          <a:off x="8163000" y="15423885"/>
          <a:ext cx="412751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18</xdr:col>
      <xdr:colOff>381657</xdr:colOff>
      <xdr:row>103</xdr:row>
      <xdr:rowOff>70747</xdr:rowOff>
    </xdr:from>
    <xdr:to>
      <xdr:col>19</xdr:col>
      <xdr:colOff>107814</xdr:colOff>
      <xdr:row>104</xdr:row>
      <xdr:rowOff>142185</xdr:rowOff>
    </xdr:to>
    <xdr:sp macro="" textlink="">
      <xdr:nvSpPr>
        <xdr:cNvPr id="40" name="39 CuadroTexto"/>
        <xdr:cNvSpPr txBox="1"/>
      </xdr:nvSpPr>
      <xdr:spPr>
        <a:xfrm>
          <a:off x="14204813" y="13429560"/>
          <a:ext cx="488157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X2</a:t>
          </a:r>
        </a:p>
      </xdr:txBody>
    </xdr:sp>
    <xdr:clientData/>
  </xdr:twoCellAnchor>
  <xdr:twoCellAnchor>
    <xdr:from>
      <xdr:col>13</xdr:col>
      <xdr:colOff>189152</xdr:colOff>
      <xdr:row>108</xdr:row>
      <xdr:rowOff>77423</xdr:rowOff>
    </xdr:from>
    <xdr:to>
      <xdr:col>13</xdr:col>
      <xdr:colOff>593965</xdr:colOff>
      <xdr:row>109</xdr:row>
      <xdr:rowOff>148861</xdr:rowOff>
    </xdr:to>
    <xdr:sp macro="" textlink="">
      <xdr:nvSpPr>
        <xdr:cNvPr id="41" name="40 CuadroTexto"/>
        <xdr:cNvSpPr txBox="1"/>
      </xdr:nvSpPr>
      <xdr:spPr>
        <a:xfrm>
          <a:off x="10211569" y="14502506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21</xdr:col>
      <xdr:colOff>703071</xdr:colOff>
      <xdr:row>107</xdr:row>
      <xdr:rowOff>11201</xdr:rowOff>
    </xdr:from>
    <xdr:to>
      <xdr:col>22</xdr:col>
      <xdr:colOff>345884</xdr:colOff>
      <xdr:row>108</xdr:row>
      <xdr:rowOff>82639</xdr:rowOff>
    </xdr:to>
    <xdr:sp macro="" textlink="">
      <xdr:nvSpPr>
        <xdr:cNvPr id="43" name="42 CuadroTexto"/>
        <xdr:cNvSpPr txBox="1"/>
      </xdr:nvSpPr>
      <xdr:spPr>
        <a:xfrm>
          <a:off x="16812227" y="14132014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10</xdr:col>
      <xdr:colOff>515361</xdr:colOff>
      <xdr:row>83</xdr:row>
      <xdr:rowOff>739</xdr:rowOff>
    </xdr:from>
    <xdr:to>
      <xdr:col>11</xdr:col>
      <xdr:colOff>126424</xdr:colOff>
      <xdr:row>84</xdr:row>
      <xdr:rowOff>72177</xdr:rowOff>
    </xdr:to>
    <xdr:sp macro="" textlink="">
      <xdr:nvSpPr>
        <xdr:cNvPr id="44" name="43 CuadroTexto"/>
        <xdr:cNvSpPr txBox="1"/>
      </xdr:nvSpPr>
      <xdr:spPr>
        <a:xfrm>
          <a:off x="8220028" y="9568072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13</xdr:col>
      <xdr:colOff>593976</xdr:colOff>
      <xdr:row>82</xdr:row>
      <xdr:rowOff>15825</xdr:rowOff>
    </xdr:from>
    <xdr:to>
      <xdr:col>14</xdr:col>
      <xdr:colOff>236789</xdr:colOff>
      <xdr:row>83</xdr:row>
      <xdr:rowOff>87263</xdr:rowOff>
    </xdr:to>
    <xdr:sp macro="" textlink="">
      <xdr:nvSpPr>
        <xdr:cNvPr id="45" name="44 CuadroTexto"/>
        <xdr:cNvSpPr txBox="1"/>
      </xdr:nvSpPr>
      <xdr:spPr>
        <a:xfrm>
          <a:off x="10616393" y="9392658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>
    <xdr:from>
      <xdr:col>21</xdr:col>
      <xdr:colOff>237825</xdr:colOff>
      <xdr:row>82</xdr:row>
      <xdr:rowOff>6567</xdr:rowOff>
    </xdr:from>
    <xdr:to>
      <xdr:col>21</xdr:col>
      <xdr:colOff>642638</xdr:colOff>
      <xdr:row>83</xdr:row>
      <xdr:rowOff>78005</xdr:rowOff>
    </xdr:to>
    <xdr:sp macro="" textlink="">
      <xdr:nvSpPr>
        <xdr:cNvPr id="46" name="45 CuadroTexto"/>
        <xdr:cNvSpPr txBox="1"/>
      </xdr:nvSpPr>
      <xdr:spPr>
        <a:xfrm>
          <a:off x="16483242" y="9383400"/>
          <a:ext cx="404813" cy="261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X1</a:t>
          </a:r>
        </a:p>
      </xdr:txBody>
    </xdr:sp>
    <xdr:clientData/>
  </xdr:twoCellAnchor>
  <xdr:twoCellAnchor editAs="oneCell">
    <xdr:from>
      <xdr:col>4</xdr:col>
      <xdr:colOff>11909</xdr:colOff>
      <xdr:row>233</xdr:row>
      <xdr:rowOff>0</xdr:rowOff>
    </xdr:from>
    <xdr:to>
      <xdr:col>8</xdr:col>
      <xdr:colOff>1270</xdr:colOff>
      <xdr:row>252</xdr:row>
      <xdr:rowOff>5739</xdr:rowOff>
    </xdr:to>
    <xdr:pic>
      <xdr:nvPicPr>
        <xdr:cNvPr id="47" name="46 Imagen" descr="Bolsa Crustáceos inf y sup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43253" y="38242875"/>
          <a:ext cx="3037361" cy="3625239"/>
        </a:xfrm>
        <a:prstGeom prst="rect">
          <a:avLst/>
        </a:prstGeom>
      </xdr:spPr>
    </xdr:pic>
    <xdr:clientData/>
  </xdr:twoCellAnchor>
  <xdr:twoCellAnchor editAs="oneCell">
    <xdr:from>
      <xdr:col>16</xdr:col>
      <xdr:colOff>57114</xdr:colOff>
      <xdr:row>233</xdr:row>
      <xdr:rowOff>9525</xdr:rowOff>
    </xdr:from>
    <xdr:to>
      <xdr:col>19</xdr:col>
      <xdr:colOff>769943</xdr:colOff>
      <xdr:row>252</xdr:row>
      <xdr:rowOff>11906</xdr:rowOff>
    </xdr:to>
    <xdr:pic>
      <xdr:nvPicPr>
        <xdr:cNvPr id="48" name="47 Imagen" descr="Bolsa Crustáceos inf y sup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56270" y="38252400"/>
          <a:ext cx="3034548" cy="3621881"/>
        </a:xfrm>
        <a:prstGeom prst="rect">
          <a:avLst/>
        </a:prstGeom>
      </xdr:spPr>
    </xdr:pic>
    <xdr:clientData/>
  </xdr:twoCellAnchor>
  <xdr:twoCellAnchor>
    <xdr:from>
      <xdr:col>1</xdr:col>
      <xdr:colOff>404811</xdr:colOff>
      <xdr:row>266</xdr:row>
      <xdr:rowOff>178594</xdr:rowOff>
    </xdr:from>
    <xdr:to>
      <xdr:col>3</xdr:col>
      <xdr:colOff>202405</xdr:colOff>
      <xdr:row>270</xdr:row>
      <xdr:rowOff>83344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6811" y="44731782"/>
          <a:ext cx="1321594" cy="702468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113780</xdr:colOff>
      <xdr:row>38</xdr:row>
      <xdr:rowOff>118271</xdr:rowOff>
    </xdr:from>
    <xdr:to>
      <xdr:col>13</xdr:col>
      <xdr:colOff>455186</xdr:colOff>
      <xdr:row>39</xdr:row>
      <xdr:rowOff>165536</xdr:rowOff>
    </xdr:to>
    <xdr:pic>
      <xdr:nvPicPr>
        <xdr:cNvPr id="49" name="48 Imagen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36197" y="1049604"/>
          <a:ext cx="341406" cy="237765"/>
        </a:xfrm>
        <a:prstGeom prst="rect">
          <a:avLst/>
        </a:prstGeom>
      </xdr:spPr>
    </xdr:pic>
    <xdr:clientData/>
  </xdr:twoCellAnchor>
  <xdr:twoCellAnchor editAs="oneCell">
    <xdr:from>
      <xdr:col>20</xdr:col>
      <xdr:colOff>378055</xdr:colOff>
      <xdr:row>39</xdr:row>
      <xdr:rowOff>7676</xdr:rowOff>
    </xdr:from>
    <xdr:to>
      <xdr:col>20</xdr:col>
      <xdr:colOff>719461</xdr:colOff>
      <xdr:row>40</xdr:row>
      <xdr:rowOff>54941</xdr:rowOff>
    </xdr:to>
    <xdr:pic>
      <xdr:nvPicPr>
        <xdr:cNvPr id="50" name="49 Imagen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61472" y="1129509"/>
          <a:ext cx="341406" cy="2377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559860</xdr:colOff>
      <xdr:row>1</xdr:row>
      <xdr:rowOff>43396</xdr:rowOff>
    </xdr:from>
    <xdr:to>
      <xdr:col>13</xdr:col>
      <xdr:colOff>222252</xdr:colOff>
      <xdr:row>4</xdr:row>
      <xdr:rowOff>67505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973610" y="233896"/>
          <a:ext cx="1186392" cy="786109"/>
        </a:xfrm>
        <a:prstGeom prst="rect">
          <a:avLst/>
        </a:prstGeom>
        <a:noFill/>
      </xdr:spPr>
    </xdr:pic>
    <xdr:clientData/>
  </xdr:twoCellAnchor>
  <xdr:twoCellAnchor>
    <xdr:from>
      <xdr:col>12</xdr:col>
      <xdr:colOff>328083</xdr:colOff>
      <xdr:row>21</xdr:row>
      <xdr:rowOff>0</xdr:rowOff>
    </xdr:from>
    <xdr:to>
      <xdr:col>13</xdr:col>
      <xdr:colOff>598073</xdr:colOff>
      <xdr:row>25</xdr:row>
      <xdr:rowOff>23284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472083" y="4282718"/>
          <a:ext cx="1031990" cy="905233"/>
        </a:xfrm>
        <a:prstGeom prst="rect">
          <a:avLst/>
        </a:prstGeom>
        <a:noFill/>
      </xdr:spPr>
    </xdr:pic>
    <xdr:clientData/>
  </xdr:twoCellAnchor>
  <xdr:twoCellAnchor>
    <xdr:from>
      <xdr:col>1</xdr:col>
      <xdr:colOff>687876</xdr:colOff>
      <xdr:row>21</xdr:row>
      <xdr:rowOff>480</xdr:rowOff>
    </xdr:from>
    <xdr:to>
      <xdr:col>8</xdr:col>
      <xdr:colOff>10542</xdr:colOff>
      <xdr:row>24</xdr:row>
      <xdr:rowOff>185208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49876" y="4593647"/>
          <a:ext cx="4656666" cy="756228"/>
        </a:xfrm>
        <a:prstGeom prst="rect">
          <a:avLst/>
        </a:prstGeom>
        <a:noFill/>
      </xdr:spPr>
    </xdr:pic>
    <xdr:clientData/>
  </xdr:twoCellAnchor>
  <xdr:twoCellAnchor>
    <xdr:from>
      <xdr:col>3</xdr:col>
      <xdr:colOff>710370</xdr:colOff>
      <xdr:row>49</xdr:row>
      <xdr:rowOff>71440</xdr:rowOff>
    </xdr:from>
    <xdr:to>
      <xdr:col>11</xdr:col>
      <xdr:colOff>79340</xdr:colOff>
      <xdr:row>51</xdr:row>
      <xdr:rowOff>83908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96370" y="9035523"/>
          <a:ext cx="5464970" cy="393468"/>
        </a:xfrm>
        <a:prstGeom prst="rect">
          <a:avLst/>
        </a:prstGeom>
        <a:noFill/>
      </xdr:spPr>
    </xdr:pic>
    <xdr:clientData/>
  </xdr:twoCellAnchor>
  <xdr:twoCellAnchor>
    <xdr:from>
      <xdr:col>12</xdr:col>
      <xdr:colOff>459054</xdr:colOff>
      <xdr:row>48</xdr:row>
      <xdr:rowOff>302950</xdr:rowOff>
    </xdr:from>
    <xdr:to>
      <xdr:col>14</xdr:col>
      <xdr:colOff>359833</xdr:colOff>
      <xdr:row>52</xdr:row>
      <xdr:rowOff>30367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634804" y="8727283"/>
          <a:ext cx="1424779" cy="637584"/>
        </a:xfrm>
        <a:prstGeom prst="rect">
          <a:avLst/>
        </a:prstGeom>
        <a:noFill/>
      </xdr:spPr>
    </xdr:pic>
    <xdr:clientData/>
  </xdr:twoCellAnchor>
  <xdr:twoCellAnchor>
    <xdr:from>
      <xdr:col>1</xdr:col>
      <xdr:colOff>209021</xdr:colOff>
      <xdr:row>70</xdr:row>
      <xdr:rowOff>133615</xdr:rowOff>
    </xdr:from>
    <xdr:to>
      <xdr:col>4</xdr:col>
      <xdr:colOff>685271</xdr:colOff>
      <xdr:row>73</xdr:row>
      <xdr:rowOff>121838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71021" y="13140532"/>
          <a:ext cx="2762250" cy="559723"/>
        </a:xfrm>
        <a:prstGeom prst="rect">
          <a:avLst/>
        </a:prstGeom>
        <a:noFill/>
      </xdr:spPr>
    </xdr:pic>
    <xdr:clientData/>
  </xdr:twoCellAnchor>
  <xdr:twoCellAnchor>
    <xdr:from>
      <xdr:col>7</xdr:col>
      <xdr:colOff>456405</xdr:colOff>
      <xdr:row>71</xdr:row>
      <xdr:rowOff>60856</xdr:rowOff>
    </xdr:from>
    <xdr:to>
      <xdr:col>14</xdr:col>
      <xdr:colOff>590549</xdr:colOff>
      <xdr:row>72</xdr:row>
      <xdr:rowOff>175156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822155" y="13258273"/>
          <a:ext cx="5468144" cy="3048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254017</xdr:colOff>
      <xdr:row>89</xdr:row>
      <xdr:rowOff>84429</xdr:rowOff>
    </xdr:from>
    <xdr:to>
      <xdr:col>5</xdr:col>
      <xdr:colOff>444517</xdr:colOff>
      <xdr:row>93</xdr:row>
      <xdr:rowOff>129424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54017" y="18626429"/>
          <a:ext cx="4032250" cy="8069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72799</xdr:colOff>
      <xdr:row>89</xdr:row>
      <xdr:rowOff>111573</xdr:rowOff>
    </xdr:from>
    <xdr:to>
      <xdr:col>12</xdr:col>
      <xdr:colOff>539788</xdr:colOff>
      <xdr:row>93</xdr:row>
      <xdr:rowOff>10319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70299" y="18653573"/>
          <a:ext cx="4276989" cy="66074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31750</xdr:colOff>
      <xdr:row>116</xdr:row>
      <xdr:rowOff>148168</xdr:rowOff>
    </xdr:from>
    <xdr:to>
      <xdr:col>10</xdr:col>
      <xdr:colOff>391583</xdr:colOff>
      <xdr:row>131</xdr:row>
      <xdr:rowOff>184036</xdr:rowOff>
    </xdr:to>
    <xdr:pic>
      <xdr:nvPicPr>
        <xdr:cNvPr id="11" name="10 Imagen" descr="DPA_1.png"/>
        <xdr:cNvPicPr>
          <a:picLocks noChangeAspect="1"/>
        </xdr:cNvPicPr>
      </xdr:nvPicPr>
      <xdr:blipFill>
        <a:blip xmlns:r="http://schemas.openxmlformats.org/officeDocument/2006/relationships" r:embed="rId10"/>
        <a:srcRect l="4656" t="30503" r="5365" b="21523"/>
        <a:stretch>
          <a:fillRect/>
        </a:stretch>
      </xdr:blipFill>
      <xdr:spPr>
        <a:xfrm>
          <a:off x="31750" y="23389168"/>
          <a:ext cx="8043333" cy="3030952"/>
        </a:xfrm>
        <a:prstGeom prst="rect">
          <a:avLst/>
        </a:prstGeom>
      </xdr:spPr>
    </xdr:pic>
    <xdr:clientData/>
  </xdr:twoCellAnchor>
  <xdr:twoCellAnchor>
    <xdr:from>
      <xdr:col>12</xdr:col>
      <xdr:colOff>42333</xdr:colOff>
      <xdr:row>117</xdr:row>
      <xdr:rowOff>84667</xdr:rowOff>
    </xdr:from>
    <xdr:to>
      <xdr:col>15</xdr:col>
      <xdr:colOff>547158</xdr:colOff>
      <xdr:row>119</xdr:row>
      <xdr:rowOff>179917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249833" y="23516167"/>
          <a:ext cx="2790825" cy="4762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285750</xdr:colOff>
      <xdr:row>120</xdr:row>
      <xdr:rowOff>127000</xdr:rowOff>
    </xdr:from>
    <xdr:to>
      <xdr:col>16</xdr:col>
      <xdr:colOff>685800</xdr:colOff>
      <xdr:row>123</xdr:row>
      <xdr:rowOff>22225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69250" y="24130000"/>
          <a:ext cx="4972050" cy="466725"/>
        </a:xfrm>
        <a:prstGeom prst="rect">
          <a:avLst/>
        </a:prstGeom>
        <a:noFill/>
      </xdr:spPr>
    </xdr:pic>
    <xdr:clientData/>
  </xdr:twoCellAnchor>
  <xdr:twoCellAnchor>
    <xdr:from>
      <xdr:col>9</xdr:col>
      <xdr:colOff>317500</xdr:colOff>
      <xdr:row>129</xdr:row>
      <xdr:rowOff>137583</xdr:rowOff>
    </xdr:from>
    <xdr:to>
      <xdr:col>16</xdr:col>
      <xdr:colOff>622300</xdr:colOff>
      <xdr:row>132</xdr:row>
      <xdr:rowOff>32808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39000" y="25992666"/>
          <a:ext cx="5638800" cy="4667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74084</xdr:colOff>
      <xdr:row>131</xdr:row>
      <xdr:rowOff>95252</xdr:rowOff>
    </xdr:from>
    <xdr:to>
      <xdr:col>7</xdr:col>
      <xdr:colOff>179917</xdr:colOff>
      <xdr:row>134</xdr:row>
      <xdr:rowOff>137584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36084" y="26331335"/>
          <a:ext cx="4741333" cy="613832"/>
        </a:xfrm>
        <a:prstGeom prst="rect">
          <a:avLst/>
        </a:prstGeom>
        <a:noFill/>
      </xdr:spPr>
    </xdr:pic>
    <xdr:clientData/>
  </xdr:twoCellAnchor>
  <xdr:twoCellAnchor>
    <xdr:from>
      <xdr:col>9</xdr:col>
      <xdr:colOff>465667</xdr:colOff>
      <xdr:row>132</xdr:row>
      <xdr:rowOff>31750</xdr:rowOff>
    </xdr:from>
    <xdr:to>
      <xdr:col>16</xdr:col>
      <xdr:colOff>446617</xdr:colOff>
      <xdr:row>135</xdr:row>
      <xdr:rowOff>84667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87167" y="26458333"/>
          <a:ext cx="5314950" cy="624417"/>
        </a:xfrm>
        <a:prstGeom prst="rect">
          <a:avLst/>
        </a:prstGeom>
        <a:noFill/>
      </xdr:spPr>
    </xdr:pic>
    <xdr:clientData/>
  </xdr:twoCellAnchor>
  <xdr:twoCellAnchor>
    <xdr:from>
      <xdr:col>7</xdr:col>
      <xdr:colOff>201083</xdr:colOff>
      <xdr:row>209</xdr:row>
      <xdr:rowOff>74083</xdr:rowOff>
    </xdr:from>
    <xdr:to>
      <xdr:col>10</xdr:col>
      <xdr:colOff>458258</xdr:colOff>
      <xdr:row>211</xdr:row>
      <xdr:rowOff>159808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8583" y="37041666"/>
          <a:ext cx="2543175" cy="4667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201083</xdr:colOff>
      <xdr:row>253</xdr:row>
      <xdr:rowOff>127000</xdr:rowOff>
    </xdr:from>
    <xdr:to>
      <xdr:col>1</xdr:col>
      <xdr:colOff>420158</xdr:colOff>
      <xdr:row>255</xdr:row>
      <xdr:rowOff>174625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01083" y="48641000"/>
          <a:ext cx="981075" cy="42862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84668</xdr:colOff>
      <xdr:row>250</xdr:row>
      <xdr:rowOff>148167</xdr:rowOff>
    </xdr:from>
    <xdr:to>
      <xdr:col>13</xdr:col>
      <xdr:colOff>760943</xdr:colOff>
      <xdr:row>252</xdr:row>
      <xdr:rowOff>5292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530168" y="44587584"/>
          <a:ext cx="2200275" cy="238125"/>
        </a:xfrm>
        <a:prstGeom prst="rect">
          <a:avLst/>
        </a:prstGeom>
        <a:noFill/>
      </xdr:spPr>
    </xdr:pic>
    <xdr:clientData/>
  </xdr:twoCellAnchor>
  <xdr:twoCellAnchor>
    <xdr:from>
      <xdr:col>11</xdr:col>
      <xdr:colOff>486833</xdr:colOff>
      <xdr:row>253</xdr:row>
      <xdr:rowOff>95249</xdr:rowOff>
    </xdr:from>
    <xdr:to>
      <xdr:col>13</xdr:col>
      <xdr:colOff>401108</xdr:colOff>
      <xdr:row>255</xdr:row>
      <xdr:rowOff>190499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932333" y="45106166"/>
          <a:ext cx="1438275" cy="4762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190500</xdr:colOff>
      <xdr:row>223</xdr:row>
      <xdr:rowOff>116417</xdr:rowOff>
    </xdr:from>
    <xdr:to>
      <xdr:col>10</xdr:col>
      <xdr:colOff>436628</xdr:colOff>
      <xdr:row>226</xdr:row>
      <xdr:rowOff>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88000" y="39867417"/>
          <a:ext cx="2532128" cy="455083"/>
        </a:xfrm>
        <a:prstGeom prst="rect">
          <a:avLst/>
        </a:prstGeom>
        <a:noFill/>
      </xdr:spPr>
    </xdr:pic>
    <xdr:clientData/>
  </xdr:twoCellAnchor>
  <xdr:twoCellAnchor>
    <xdr:from>
      <xdr:col>2</xdr:col>
      <xdr:colOff>169333</xdr:colOff>
      <xdr:row>261</xdr:row>
      <xdr:rowOff>74084</xdr:rowOff>
    </xdr:from>
    <xdr:to>
      <xdr:col>5</xdr:col>
      <xdr:colOff>550333</xdr:colOff>
      <xdr:row>262</xdr:row>
      <xdr:rowOff>74084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25083" y="46704251"/>
          <a:ext cx="26670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222252</xdr:colOff>
      <xdr:row>135</xdr:row>
      <xdr:rowOff>10584</xdr:rowOff>
    </xdr:from>
    <xdr:to>
      <xdr:col>13</xdr:col>
      <xdr:colOff>656168</xdr:colOff>
      <xdr:row>157</xdr:row>
      <xdr:rowOff>10584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2052" t="12890" r="13631" b="11525"/>
        <a:stretch>
          <a:fillRect/>
        </a:stretch>
      </xdr:blipFill>
      <xdr:spPr bwMode="auto">
        <a:xfrm>
          <a:off x="3302002" y="27008667"/>
          <a:ext cx="7323666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68036</xdr:colOff>
      <xdr:row>168</xdr:row>
      <xdr:rowOff>81642</xdr:rowOff>
    </xdr:from>
    <xdr:to>
      <xdr:col>26</xdr:col>
      <xdr:colOff>325211</xdr:colOff>
      <xdr:row>170</xdr:row>
      <xdr:rowOff>167367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648465" y="34085892"/>
          <a:ext cx="2543175" cy="466725"/>
        </a:xfrm>
        <a:prstGeom prst="rect">
          <a:avLst/>
        </a:prstGeom>
        <a:noFill/>
      </xdr:spPr>
    </xdr:pic>
    <xdr:clientData/>
  </xdr:twoCellAnchor>
  <xdr:twoCellAnchor>
    <xdr:from>
      <xdr:col>23</xdr:col>
      <xdr:colOff>40821</xdr:colOff>
      <xdr:row>172</xdr:row>
      <xdr:rowOff>176893</xdr:rowOff>
    </xdr:from>
    <xdr:to>
      <xdr:col>26</xdr:col>
      <xdr:colOff>286949</xdr:colOff>
      <xdr:row>174</xdr:row>
      <xdr:rowOff>142119</xdr:rowOff>
    </xdr:to>
    <xdr:pic>
      <xdr:nvPicPr>
        <xdr:cNvPr id="2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621250" y="34943143"/>
          <a:ext cx="2532128" cy="455083"/>
        </a:xfrm>
        <a:prstGeom prst="rect">
          <a:avLst/>
        </a:prstGeom>
        <a:noFill/>
      </xdr:spPr>
    </xdr:pic>
    <xdr:clientData/>
  </xdr:twoCellAnchor>
  <xdr:twoCellAnchor>
    <xdr:from>
      <xdr:col>23</xdr:col>
      <xdr:colOff>54428</xdr:colOff>
      <xdr:row>177</xdr:row>
      <xdr:rowOff>13607</xdr:rowOff>
    </xdr:from>
    <xdr:to>
      <xdr:col>25</xdr:col>
      <xdr:colOff>538846</xdr:colOff>
      <xdr:row>178</xdr:row>
      <xdr:rowOff>27214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634857" y="35854821"/>
          <a:ext cx="2008418" cy="24492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452434</xdr:colOff>
      <xdr:row>75</xdr:row>
      <xdr:rowOff>171791</xdr:rowOff>
    </xdr:from>
    <xdr:to>
      <xdr:col>7</xdr:col>
      <xdr:colOff>112255</xdr:colOff>
      <xdr:row>79</xdr:row>
      <xdr:rowOff>76541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42291" y="743291"/>
          <a:ext cx="4490357" cy="666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340180</xdr:colOff>
      <xdr:row>92</xdr:row>
      <xdr:rowOff>136071</xdr:rowOff>
    </xdr:from>
    <xdr:to>
      <xdr:col>6</xdr:col>
      <xdr:colOff>457003</xdr:colOff>
      <xdr:row>95</xdr:row>
      <xdr:rowOff>136072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30037" y="4082142"/>
          <a:ext cx="4185359" cy="571501"/>
        </a:xfrm>
        <a:prstGeom prst="rect">
          <a:avLst/>
        </a:prstGeom>
        <a:noFill/>
      </xdr:spPr>
    </xdr:pic>
    <xdr:clientData/>
  </xdr:twoCellAnchor>
  <xdr:twoCellAnchor>
    <xdr:from>
      <xdr:col>0</xdr:col>
      <xdr:colOff>272144</xdr:colOff>
      <xdr:row>99</xdr:row>
      <xdr:rowOff>54429</xdr:rowOff>
    </xdr:from>
    <xdr:to>
      <xdr:col>7</xdr:col>
      <xdr:colOff>506187</xdr:colOff>
      <xdr:row>101</xdr:row>
      <xdr:rowOff>111579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72144" y="5470072"/>
          <a:ext cx="5554436" cy="4381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925287</xdr:colOff>
      <xdr:row>105</xdr:row>
      <xdr:rowOff>27214</xdr:rowOff>
    </xdr:from>
    <xdr:to>
      <xdr:col>5</xdr:col>
      <xdr:colOff>127908</xdr:colOff>
      <xdr:row>108</xdr:row>
      <xdr:rowOff>4082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15144" y="6749143"/>
          <a:ext cx="2509157" cy="5619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447675</xdr:colOff>
      <xdr:row>137</xdr:row>
      <xdr:rowOff>57150</xdr:rowOff>
    </xdr:from>
    <xdr:to>
      <xdr:col>3</xdr:col>
      <xdr:colOff>333375</xdr:colOff>
      <xdr:row>138</xdr:row>
      <xdr:rowOff>57150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7675" y="28594050"/>
          <a:ext cx="2314575" cy="1905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76200</xdr:colOff>
      <xdr:row>137</xdr:row>
      <xdr:rowOff>19050</xdr:rowOff>
    </xdr:from>
    <xdr:to>
      <xdr:col>7</xdr:col>
      <xdr:colOff>361950</xdr:colOff>
      <xdr:row>138</xdr:row>
      <xdr:rowOff>19050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76600" y="28555950"/>
          <a:ext cx="2571750" cy="1905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3</xdr:col>
      <xdr:colOff>409575</xdr:colOff>
      <xdr:row>146</xdr:row>
      <xdr:rowOff>0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6750" y="30060900"/>
          <a:ext cx="2171700" cy="1905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7</xdr:col>
      <xdr:colOff>342900</xdr:colOff>
      <xdr:row>146</xdr:row>
      <xdr:rowOff>0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00400" y="30060900"/>
          <a:ext cx="2628900" cy="19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42332</xdr:colOff>
      <xdr:row>1</xdr:row>
      <xdr:rowOff>2644</xdr:rowOff>
    </xdr:from>
    <xdr:to>
      <xdr:col>13</xdr:col>
      <xdr:colOff>604569</xdr:colOff>
      <xdr:row>40</xdr:row>
      <xdr:rowOff>0</xdr:rowOff>
    </xdr:to>
    <xdr:pic>
      <xdr:nvPicPr>
        <xdr:cNvPr id="718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475" t="9277" r="5250" b="6087"/>
        <a:stretch>
          <a:fillRect/>
        </a:stretch>
      </xdr:blipFill>
      <xdr:spPr bwMode="auto">
        <a:xfrm>
          <a:off x="42332" y="193144"/>
          <a:ext cx="10690487" cy="74268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368012</xdr:colOff>
      <xdr:row>3</xdr:row>
      <xdr:rowOff>62779</xdr:rowOff>
    </xdr:from>
    <xdr:to>
      <xdr:col>8</xdr:col>
      <xdr:colOff>377537</xdr:colOff>
      <xdr:row>7</xdr:row>
      <xdr:rowOff>10824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237543" y="931935"/>
          <a:ext cx="2295525" cy="71004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311726</xdr:colOff>
      <xdr:row>23</xdr:row>
      <xdr:rowOff>129887</xdr:rowOff>
    </xdr:from>
    <xdr:to>
      <xdr:col>4</xdr:col>
      <xdr:colOff>199159</xdr:colOff>
      <xdr:row>26</xdr:row>
      <xdr:rowOff>87689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1726" y="4606637"/>
          <a:ext cx="2173433" cy="529302"/>
        </a:xfrm>
        <a:prstGeom prst="rect">
          <a:avLst/>
        </a:prstGeom>
        <a:noFill/>
      </xdr:spPr>
    </xdr:pic>
    <xdr:clientData/>
  </xdr:twoCellAnchor>
  <xdr:twoCellAnchor>
    <xdr:from>
      <xdr:col>9</xdr:col>
      <xdr:colOff>510886</xdr:colOff>
      <xdr:row>23</xdr:row>
      <xdr:rowOff>51956</xdr:rowOff>
    </xdr:from>
    <xdr:to>
      <xdr:col>12</xdr:col>
      <xdr:colOff>548986</xdr:colOff>
      <xdr:row>26</xdr:row>
      <xdr:rowOff>51956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06886" y="4528706"/>
          <a:ext cx="2324100" cy="5715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175346</xdr:colOff>
      <xdr:row>67</xdr:row>
      <xdr:rowOff>50006</xdr:rowOff>
    </xdr:from>
    <xdr:to>
      <xdr:col>8</xdr:col>
      <xdr:colOff>70571</xdr:colOff>
      <xdr:row>71</xdr:row>
      <xdr:rowOff>50006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044877" y="8336756"/>
          <a:ext cx="2181225" cy="7620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445943</xdr:colOff>
      <xdr:row>85</xdr:row>
      <xdr:rowOff>187251</xdr:rowOff>
    </xdr:from>
    <xdr:to>
      <xdr:col>7</xdr:col>
      <xdr:colOff>207818</xdr:colOff>
      <xdr:row>88</xdr:row>
      <xdr:rowOff>187251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53474" y="12081595"/>
          <a:ext cx="2047875" cy="5715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628867</xdr:colOff>
      <xdr:row>109</xdr:row>
      <xdr:rowOff>49141</xdr:rowOff>
    </xdr:from>
    <xdr:to>
      <xdr:col>8</xdr:col>
      <xdr:colOff>428842</xdr:colOff>
      <xdr:row>111</xdr:row>
      <xdr:rowOff>184873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736398" y="16658360"/>
          <a:ext cx="2847975" cy="588169"/>
        </a:xfrm>
        <a:prstGeom prst="rect">
          <a:avLst/>
        </a:prstGeom>
        <a:noFill/>
      </xdr:spPr>
    </xdr:pic>
    <xdr:clientData/>
  </xdr:twoCellAnchor>
  <xdr:twoCellAnchor>
    <xdr:from>
      <xdr:col>5</xdr:col>
      <xdr:colOff>302852</xdr:colOff>
      <xdr:row>129</xdr:row>
      <xdr:rowOff>98065</xdr:rowOff>
    </xdr:from>
    <xdr:to>
      <xdr:col>8</xdr:col>
      <xdr:colOff>302852</xdr:colOff>
      <xdr:row>132</xdr:row>
      <xdr:rowOff>79015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172383" y="20743503"/>
          <a:ext cx="2286000" cy="5524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452438</xdr:colOff>
      <xdr:row>150</xdr:row>
      <xdr:rowOff>142875</xdr:rowOff>
    </xdr:from>
    <xdr:to>
      <xdr:col>7</xdr:col>
      <xdr:colOff>633413</xdr:colOff>
      <xdr:row>154</xdr:row>
      <xdr:rowOff>9525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59969" y="24943594"/>
          <a:ext cx="2466975" cy="6286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419100</xdr:colOff>
      <xdr:row>171</xdr:row>
      <xdr:rowOff>35719</xdr:rowOff>
    </xdr:from>
    <xdr:to>
      <xdr:col>7</xdr:col>
      <xdr:colOff>466725</xdr:colOff>
      <xdr:row>174</xdr:row>
      <xdr:rowOff>92869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26631" y="28979813"/>
          <a:ext cx="2333625" cy="6286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180975</xdr:colOff>
      <xdr:row>192</xdr:row>
      <xdr:rowOff>176212</xdr:rowOff>
    </xdr:from>
    <xdr:to>
      <xdr:col>7</xdr:col>
      <xdr:colOff>571500</xdr:colOff>
      <xdr:row>197</xdr:row>
      <xdr:rowOff>42862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288506" y="33168431"/>
          <a:ext cx="2676525" cy="8191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39688</xdr:colOff>
      <xdr:row>3</xdr:row>
      <xdr:rowOff>166688</xdr:rowOff>
    </xdr:from>
    <xdr:to>
      <xdr:col>14</xdr:col>
      <xdr:colOff>488157</xdr:colOff>
      <xdr:row>19</xdr:row>
      <xdr:rowOff>119063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349248</xdr:colOff>
      <xdr:row>40</xdr:row>
      <xdr:rowOff>119063</xdr:rowOff>
    </xdr:from>
    <xdr:to>
      <xdr:col>6</xdr:col>
      <xdr:colOff>333375</xdr:colOff>
      <xdr:row>57</xdr:row>
      <xdr:rowOff>83344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587374</xdr:colOff>
      <xdr:row>40</xdr:row>
      <xdr:rowOff>142875</xdr:rowOff>
    </xdr:from>
    <xdr:to>
      <xdr:col>13</xdr:col>
      <xdr:colOff>571499</xdr:colOff>
      <xdr:row>57</xdr:row>
      <xdr:rowOff>63500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214314</xdr:colOff>
      <xdr:row>68</xdr:row>
      <xdr:rowOff>11907</xdr:rowOff>
    </xdr:from>
    <xdr:to>
      <xdr:col>14</xdr:col>
      <xdr:colOff>214314</xdr:colOff>
      <xdr:row>82</xdr:row>
      <xdr:rowOff>47625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202407</xdr:colOff>
      <xdr:row>85</xdr:row>
      <xdr:rowOff>95251</xdr:rowOff>
    </xdr:from>
    <xdr:to>
      <xdr:col>14</xdr:col>
      <xdr:colOff>202407</xdr:colOff>
      <xdr:row>99</xdr:row>
      <xdr:rowOff>166688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535782</xdr:colOff>
      <xdr:row>110</xdr:row>
      <xdr:rowOff>11906</xdr:rowOff>
    </xdr:from>
    <xdr:to>
      <xdr:col>14</xdr:col>
      <xdr:colOff>535782</xdr:colOff>
      <xdr:row>124</xdr:row>
      <xdr:rowOff>35718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511969</xdr:colOff>
      <xdr:row>129</xdr:row>
      <xdr:rowOff>154781</xdr:rowOff>
    </xdr:from>
    <xdr:to>
      <xdr:col>14</xdr:col>
      <xdr:colOff>511969</xdr:colOff>
      <xdr:row>144</xdr:row>
      <xdr:rowOff>35719</xdr:rowOff>
    </xdr:to>
    <xdr:graphicFrame macro="">
      <xdr:nvGraphicFramePr>
        <xdr:cNvPr id="18" name="1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523875</xdr:colOff>
      <xdr:row>149</xdr:row>
      <xdr:rowOff>71437</xdr:rowOff>
    </xdr:from>
    <xdr:to>
      <xdr:col>14</xdr:col>
      <xdr:colOff>523875</xdr:colOff>
      <xdr:row>163</xdr:row>
      <xdr:rowOff>142875</xdr:rowOff>
    </xdr:to>
    <xdr:graphicFrame macro="">
      <xdr:nvGraphicFramePr>
        <xdr:cNvPr id="19" name="1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523876</xdr:colOff>
      <xdr:row>168</xdr:row>
      <xdr:rowOff>71437</xdr:rowOff>
    </xdr:from>
    <xdr:to>
      <xdr:col>14</xdr:col>
      <xdr:colOff>523876</xdr:colOff>
      <xdr:row>182</xdr:row>
      <xdr:rowOff>142875</xdr:rowOff>
    </xdr:to>
    <xdr:graphicFrame macro="">
      <xdr:nvGraphicFramePr>
        <xdr:cNvPr id="20" name="1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547688</xdr:colOff>
      <xdr:row>190</xdr:row>
      <xdr:rowOff>11907</xdr:rowOff>
    </xdr:from>
    <xdr:to>
      <xdr:col>14</xdr:col>
      <xdr:colOff>547688</xdr:colOff>
      <xdr:row>204</xdr:row>
      <xdr:rowOff>83345</xdr:rowOff>
    </xdr:to>
    <xdr:graphicFrame macro="">
      <xdr:nvGraphicFramePr>
        <xdr:cNvPr id="21" name="2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440532</xdr:colOff>
      <xdr:row>210</xdr:row>
      <xdr:rowOff>47624</xdr:rowOff>
    </xdr:from>
    <xdr:to>
      <xdr:col>14</xdr:col>
      <xdr:colOff>440532</xdr:colOff>
      <xdr:row>224</xdr:row>
      <xdr:rowOff>119062</xdr:rowOff>
    </xdr:to>
    <xdr:graphicFrame macro="">
      <xdr:nvGraphicFramePr>
        <xdr:cNvPr id="22" name="2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381002</xdr:colOff>
      <xdr:row>231</xdr:row>
      <xdr:rowOff>23812</xdr:rowOff>
    </xdr:from>
    <xdr:to>
      <xdr:col>14</xdr:col>
      <xdr:colOff>381002</xdr:colOff>
      <xdr:row>245</xdr:row>
      <xdr:rowOff>95250</xdr:rowOff>
    </xdr:to>
    <xdr:graphicFrame macro="">
      <xdr:nvGraphicFramePr>
        <xdr:cNvPr id="23" name="2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416719</xdr:colOff>
      <xdr:row>250</xdr:row>
      <xdr:rowOff>95249</xdr:rowOff>
    </xdr:from>
    <xdr:to>
      <xdr:col>14</xdr:col>
      <xdr:colOff>416719</xdr:colOff>
      <xdr:row>264</xdr:row>
      <xdr:rowOff>166687</xdr:rowOff>
    </xdr:to>
    <xdr:graphicFrame macro="">
      <xdr:nvGraphicFramePr>
        <xdr:cNvPr id="24" name="2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369095</xdr:colOff>
      <xdr:row>274</xdr:row>
      <xdr:rowOff>0</xdr:rowOff>
    </xdr:from>
    <xdr:to>
      <xdr:col>14</xdr:col>
      <xdr:colOff>369095</xdr:colOff>
      <xdr:row>288</xdr:row>
      <xdr:rowOff>1</xdr:rowOff>
    </xdr:to>
    <xdr:graphicFrame macro="">
      <xdr:nvGraphicFramePr>
        <xdr:cNvPr id="25" name="2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226219</xdr:colOff>
      <xdr:row>327</xdr:row>
      <xdr:rowOff>119060</xdr:rowOff>
    </xdr:from>
    <xdr:to>
      <xdr:col>16</xdr:col>
      <xdr:colOff>476250</xdr:colOff>
      <xdr:row>356</xdr:row>
      <xdr:rowOff>166687</xdr:rowOff>
    </xdr:to>
    <xdr:graphicFrame macro="">
      <xdr:nvGraphicFramePr>
        <xdr:cNvPr id="26" name="2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226219</xdr:colOff>
      <xdr:row>358</xdr:row>
      <xdr:rowOff>23813</xdr:rowOff>
    </xdr:from>
    <xdr:to>
      <xdr:col>16</xdr:col>
      <xdr:colOff>381000</xdr:colOff>
      <xdr:row>388</xdr:row>
      <xdr:rowOff>95250</xdr:rowOff>
    </xdr:to>
    <xdr:graphicFrame macro="">
      <xdr:nvGraphicFramePr>
        <xdr:cNvPr id="27" name="2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16</xdr:col>
      <xdr:colOff>449034</xdr:colOff>
      <xdr:row>357</xdr:row>
      <xdr:rowOff>176893</xdr:rowOff>
    </xdr:from>
    <xdr:to>
      <xdr:col>30</xdr:col>
      <xdr:colOff>394607</xdr:colOff>
      <xdr:row>381</xdr:row>
      <xdr:rowOff>122464</xdr:rowOff>
    </xdr:to>
    <xdr:graphicFrame macro="">
      <xdr:nvGraphicFramePr>
        <xdr:cNvPr id="28" name="2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17</xdr:col>
      <xdr:colOff>-1</xdr:colOff>
      <xdr:row>327</xdr:row>
      <xdr:rowOff>136072</xdr:rowOff>
    </xdr:from>
    <xdr:to>
      <xdr:col>30</xdr:col>
      <xdr:colOff>326571</xdr:colOff>
      <xdr:row>357</xdr:row>
      <xdr:rowOff>0</xdr:rowOff>
    </xdr:to>
    <xdr:graphicFrame macro="">
      <xdr:nvGraphicFramePr>
        <xdr:cNvPr id="29" name="2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64</xdr:row>
      <xdr:rowOff>0</xdr:rowOff>
    </xdr:from>
    <xdr:to>
      <xdr:col>2</xdr:col>
      <xdr:colOff>381000</xdr:colOff>
      <xdr:row>66</xdr:row>
      <xdr:rowOff>47625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62000" y="3048000"/>
          <a:ext cx="1143000" cy="4286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85725</xdr:colOff>
      <xdr:row>39</xdr:row>
      <xdr:rowOff>76200</xdr:rowOff>
    </xdr:from>
    <xdr:to>
      <xdr:col>2</xdr:col>
      <xdr:colOff>247650</xdr:colOff>
      <xdr:row>41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52475" y="33442275"/>
          <a:ext cx="1162050" cy="4667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152400</xdr:colOff>
      <xdr:row>39</xdr:row>
      <xdr:rowOff>85725</xdr:rowOff>
    </xdr:from>
    <xdr:to>
      <xdr:col>4</xdr:col>
      <xdr:colOff>504825</xdr:colOff>
      <xdr:row>41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581275" y="33451800"/>
          <a:ext cx="1123950" cy="428625"/>
        </a:xfrm>
        <a:prstGeom prst="rect">
          <a:avLst/>
        </a:prstGeom>
        <a:noFill/>
      </xdr:spPr>
    </xdr:pic>
    <xdr:clientData/>
  </xdr:twoCellAnchor>
  <xdr:twoCellAnchor>
    <xdr:from>
      <xdr:col>5</xdr:col>
      <xdr:colOff>257175</xdr:colOff>
      <xdr:row>39</xdr:row>
      <xdr:rowOff>95250</xdr:rowOff>
    </xdr:from>
    <xdr:to>
      <xdr:col>6</xdr:col>
      <xdr:colOff>619125</xdr:colOff>
      <xdr:row>41</xdr:row>
      <xdr:rowOff>142875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219575" y="33461325"/>
          <a:ext cx="1123950" cy="428625"/>
        </a:xfrm>
        <a:prstGeom prst="rect">
          <a:avLst/>
        </a:prstGeom>
        <a:noFill/>
      </xdr:spPr>
    </xdr:pic>
    <xdr:clientData/>
  </xdr:twoCellAnchor>
  <xdr:twoCellAnchor>
    <xdr:from>
      <xdr:col>2</xdr:col>
      <xdr:colOff>19050</xdr:colOff>
      <xdr:row>48</xdr:row>
      <xdr:rowOff>76200</xdr:rowOff>
    </xdr:from>
    <xdr:to>
      <xdr:col>3</xdr:col>
      <xdr:colOff>409575</xdr:colOff>
      <xdr:row>50</xdr:row>
      <xdr:rowOff>123825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685925" y="35156775"/>
          <a:ext cx="1152525" cy="4286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381001</xdr:colOff>
      <xdr:row>56</xdr:row>
      <xdr:rowOff>57150</xdr:rowOff>
    </xdr:from>
    <xdr:to>
      <xdr:col>5</xdr:col>
      <xdr:colOff>589723</xdr:colOff>
      <xdr:row>58</xdr:row>
      <xdr:rowOff>133350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47751" y="36661725"/>
          <a:ext cx="3504372" cy="4572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495300</xdr:colOff>
      <xdr:row>168</xdr:row>
      <xdr:rowOff>152400</xdr:rowOff>
    </xdr:from>
    <xdr:to>
      <xdr:col>7</xdr:col>
      <xdr:colOff>133350</xdr:colOff>
      <xdr:row>171</xdr:row>
      <xdr:rowOff>47625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5300" y="16925925"/>
          <a:ext cx="4972050" cy="4667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123824</xdr:colOff>
      <xdr:row>113</xdr:row>
      <xdr:rowOff>45793</xdr:rowOff>
    </xdr:from>
    <xdr:to>
      <xdr:col>13</xdr:col>
      <xdr:colOff>266699</xdr:colOff>
      <xdr:row>130</xdr:row>
      <xdr:rowOff>0</xdr:rowOff>
    </xdr:to>
    <xdr:pic>
      <xdr:nvPicPr>
        <xdr:cNvPr id="616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3426" t="10807" r="25183" b="15365"/>
        <a:stretch>
          <a:fillRect/>
        </a:stretch>
      </xdr:blipFill>
      <xdr:spPr bwMode="auto">
        <a:xfrm>
          <a:off x="6245801" y="13934975"/>
          <a:ext cx="3952875" cy="3192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95249</xdr:colOff>
      <xdr:row>174</xdr:row>
      <xdr:rowOff>85725</xdr:rowOff>
    </xdr:from>
    <xdr:to>
      <xdr:col>2</xdr:col>
      <xdr:colOff>323850</xdr:colOff>
      <xdr:row>176</xdr:row>
      <xdr:rowOff>95251</xdr:rowOff>
    </xdr:to>
    <xdr:cxnSp macro="">
      <xdr:nvCxnSpPr>
        <xdr:cNvPr id="11" name="10 Conector recto"/>
        <xdr:cNvCxnSpPr/>
      </xdr:nvCxnSpPr>
      <xdr:spPr>
        <a:xfrm flipV="1">
          <a:off x="95249" y="30708600"/>
          <a:ext cx="1752601" cy="39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177</xdr:row>
      <xdr:rowOff>66675</xdr:rowOff>
    </xdr:from>
    <xdr:to>
      <xdr:col>2</xdr:col>
      <xdr:colOff>333375</xdr:colOff>
      <xdr:row>179</xdr:row>
      <xdr:rowOff>57150</xdr:rowOff>
    </xdr:to>
    <xdr:cxnSp macro="">
      <xdr:nvCxnSpPr>
        <xdr:cNvPr id="15" name="14 Conector recto"/>
        <xdr:cNvCxnSpPr/>
      </xdr:nvCxnSpPr>
      <xdr:spPr>
        <a:xfrm>
          <a:off x="85725" y="31261050"/>
          <a:ext cx="1771650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173</xdr:row>
      <xdr:rowOff>85725</xdr:rowOff>
    </xdr:from>
    <xdr:to>
      <xdr:col>2</xdr:col>
      <xdr:colOff>523875</xdr:colOff>
      <xdr:row>175</xdr:row>
      <xdr:rowOff>85725</xdr:rowOff>
    </xdr:to>
    <xdr:cxnSp macro="">
      <xdr:nvCxnSpPr>
        <xdr:cNvPr id="17" name="16 Conector recto"/>
        <xdr:cNvCxnSpPr/>
      </xdr:nvCxnSpPr>
      <xdr:spPr>
        <a:xfrm>
          <a:off x="1628775" y="30518100"/>
          <a:ext cx="419100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178</xdr:row>
      <xdr:rowOff>95250</xdr:rowOff>
    </xdr:from>
    <xdr:to>
      <xdr:col>2</xdr:col>
      <xdr:colOff>533400</xdr:colOff>
      <xdr:row>180</xdr:row>
      <xdr:rowOff>66675</xdr:rowOff>
    </xdr:to>
    <xdr:cxnSp macro="">
      <xdr:nvCxnSpPr>
        <xdr:cNvPr id="20" name="19 Conector recto"/>
        <xdr:cNvCxnSpPr/>
      </xdr:nvCxnSpPr>
      <xdr:spPr>
        <a:xfrm flipV="1">
          <a:off x="1638300" y="31480125"/>
          <a:ext cx="41910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174</xdr:row>
      <xdr:rowOff>161925</xdr:rowOff>
    </xdr:from>
    <xdr:to>
      <xdr:col>7</xdr:col>
      <xdr:colOff>533400</xdr:colOff>
      <xdr:row>176</xdr:row>
      <xdr:rowOff>171450</xdr:rowOff>
    </xdr:to>
    <xdr:cxnSp macro="">
      <xdr:nvCxnSpPr>
        <xdr:cNvPr id="22" name="21 Conector recto"/>
        <xdr:cNvCxnSpPr/>
      </xdr:nvCxnSpPr>
      <xdr:spPr>
        <a:xfrm>
          <a:off x="1905000" y="30784800"/>
          <a:ext cx="4019550" cy="390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176</xdr:row>
      <xdr:rowOff>171450</xdr:rowOff>
    </xdr:from>
    <xdr:to>
      <xdr:col>7</xdr:col>
      <xdr:colOff>533400</xdr:colOff>
      <xdr:row>179</xdr:row>
      <xdr:rowOff>9525</xdr:rowOff>
    </xdr:to>
    <xdr:cxnSp macro="">
      <xdr:nvCxnSpPr>
        <xdr:cNvPr id="24" name="23 Conector recto"/>
        <xdr:cNvCxnSpPr/>
      </xdr:nvCxnSpPr>
      <xdr:spPr>
        <a:xfrm flipV="1">
          <a:off x="1943100" y="31175325"/>
          <a:ext cx="3981450" cy="409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333376</xdr:colOff>
      <xdr:row>92</xdr:row>
      <xdr:rowOff>19050</xdr:rowOff>
    </xdr:from>
    <xdr:to>
      <xdr:col>4</xdr:col>
      <xdr:colOff>161926</xdr:colOff>
      <xdr:row>93</xdr:row>
      <xdr:rowOff>179436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95376" y="14554200"/>
          <a:ext cx="2143125" cy="350886"/>
        </a:xfrm>
        <a:prstGeom prst="rect">
          <a:avLst/>
        </a:prstGeom>
        <a:noFill/>
      </xdr:spPr>
    </xdr:pic>
    <xdr:clientData/>
  </xdr:twoCellAnchor>
  <xdr:twoCellAnchor>
    <xdr:from>
      <xdr:col>0</xdr:col>
      <xdr:colOff>542925</xdr:colOff>
      <xdr:row>171</xdr:row>
      <xdr:rowOff>66675</xdr:rowOff>
    </xdr:from>
    <xdr:to>
      <xdr:col>5</xdr:col>
      <xdr:colOff>171450</xdr:colOff>
      <xdr:row>174</xdr:row>
      <xdr:rowOff>19272</xdr:rowOff>
    </xdr:to>
    <xdr:pic>
      <xdr:nvPicPr>
        <xdr:cNvPr id="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2925" y="34718625"/>
          <a:ext cx="3467100" cy="524097"/>
        </a:xfrm>
        <a:prstGeom prst="rect">
          <a:avLst/>
        </a:prstGeom>
        <a:noFill/>
      </xdr:spPr>
    </xdr:pic>
    <xdr:clientData/>
  </xdr:twoCellAnchor>
  <xdr:twoCellAnchor>
    <xdr:from>
      <xdr:col>5</xdr:col>
      <xdr:colOff>66675</xdr:colOff>
      <xdr:row>207</xdr:row>
      <xdr:rowOff>76200</xdr:rowOff>
    </xdr:from>
    <xdr:to>
      <xdr:col>6</xdr:col>
      <xdr:colOff>653415</xdr:colOff>
      <xdr:row>210</xdr:row>
      <xdr:rowOff>47625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05250" y="31365825"/>
          <a:ext cx="1348740" cy="5715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118</xdr:row>
      <xdr:rowOff>76200</xdr:rowOff>
    </xdr:from>
    <xdr:to>
      <xdr:col>6</xdr:col>
      <xdr:colOff>352202</xdr:colOff>
      <xdr:row>121</xdr:row>
      <xdr:rowOff>19050</xdr:rowOff>
    </xdr:to>
    <xdr:pic>
      <xdr:nvPicPr>
        <xdr:cNvPr id="1332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85949" y="22945725"/>
          <a:ext cx="3066828" cy="51435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400050</xdr:colOff>
      <xdr:row>118</xdr:row>
      <xdr:rowOff>171450</xdr:rowOff>
    </xdr:from>
    <xdr:to>
      <xdr:col>9</xdr:col>
      <xdr:colOff>609600</xdr:colOff>
      <xdr:row>120</xdr:row>
      <xdr:rowOff>180975</xdr:rowOff>
    </xdr:to>
    <xdr:pic>
      <xdr:nvPicPr>
        <xdr:cNvPr id="133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553200" y="23040975"/>
          <a:ext cx="971550" cy="390525"/>
        </a:xfrm>
        <a:prstGeom prst="rect">
          <a:avLst/>
        </a:prstGeom>
        <a:noFill/>
      </xdr:spPr>
    </xdr:pic>
    <xdr:clientData/>
  </xdr:twoCellAnchor>
  <xdr:twoCellAnchor>
    <xdr:from>
      <xdr:col>3</xdr:col>
      <xdr:colOff>761999</xdr:colOff>
      <xdr:row>156</xdr:row>
      <xdr:rowOff>1</xdr:rowOff>
    </xdr:from>
    <xdr:to>
      <xdr:col>6</xdr:col>
      <xdr:colOff>685800</xdr:colOff>
      <xdr:row>157</xdr:row>
      <xdr:rowOff>82316</xdr:rowOff>
    </xdr:to>
    <xdr:pic>
      <xdr:nvPicPr>
        <xdr:cNvPr id="1332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47999" y="29918026"/>
          <a:ext cx="2209801" cy="272815"/>
        </a:xfrm>
        <a:prstGeom prst="rect">
          <a:avLst/>
        </a:prstGeom>
        <a:noFill/>
      </xdr:spPr>
    </xdr:pic>
    <xdr:clientData/>
  </xdr:twoCellAnchor>
  <xdr:twoCellAnchor>
    <xdr:from>
      <xdr:col>5</xdr:col>
      <xdr:colOff>228599</xdr:colOff>
      <xdr:row>163</xdr:row>
      <xdr:rowOff>66675</xdr:rowOff>
    </xdr:from>
    <xdr:to>
      <xdr:col>7</xdr:col>
      <xdr:colOff>419099</xdr:colOff>
      <xdr:row>164</xdr:row>
      <xdr:rowOff>161925</xdr:rowOff>
    </xdr:to>
    <xdr:pic>
      <xdr:nvPicPr>
        <xdr:cNvPr id="1332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038599" y="31318200"/>
          <a:ext cx="1743075" cy="2857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104775</xdr:colOff>
      <xdr:row>224</xdr:row>
      <xdr:rowOff>104774</xdr:rowOff>
    </xdr:from>
    <xdr:to>
      <xdr:col>12</xdr:col>
      <xdr:colOff>647700</xdr:colOff>
      <xdr:row>245</xdr:row>
      <xdr:rowOff>122556</xdr:rowOff>
    </xdr:to>
    <xdr:pic>
      <xdr:nvPicPr>
        <xdr:cNvPr id="1334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2150" t="19795" r="49861" b="8654"/>
        <a:stretch>
          <a:fillRect/>
        </a:stretch>
      </xdr:blipFill>
      <xdr:spPr bwMode="auto">
        <a:xfrm>
          <a:off x="7019925" y="45300899"/>
          <a:ext cx="2828925" cy="4065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19050</xdr:colOff>
      <xdr:row>154</xdr:row>
      <xdr:rowOff>142875</xdr:rowOff>
    </xdr:from>
    <xdr:to>
      <xdr:col>12</xdr:col>
      <xdr:colOff>752475</xdr:colOff>
      <xdr:row>181</xdr:row>
      <xdr:rowOff>123825</xdr:rowOff>
    </xdr:to>
    <xdr:pic>
      <xdr:nvPicPr>
        <xdr:cNvPr id="1335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52928" t="20313" r="23866" b="8594"/>
        <a:stretch>
          <a:fillRect/>
        </a:stretch>
      </xdr:blipFill>
      <xdr:spPr bwMode="auto">
        <a:xfrm>
          <a:off x="6934200" y="31803975"/>
          <a:ext cx="3019425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85</xdr:row>
      <xdr:rowOff>76200</xdr:rowOff>
    </xdr:from>
    <xdr:to>
      <xdr:col>6</xdr:col>
      <xdr:colOff>419100</xdr:colOff>
      <xdr:row>87</xdr:row>
      <xdr:rowOff>66675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390775" y="838200"/>
          <a:ext cx="2600325" cy="371475"/>
        </a:xfrm>
        <a:prstGeom prst="rect">
          <a:avLst/>
        </a:prstGeom>
        <a:noFill/>
      </xdr:spPr>
    </xdr:pic>
    <xdr:clientData/>
  </xdr:twoCellAnchor>
  <xdr:twoCellAnchor>
    <xdr:from>
      <xdr:col>3</xdr:col>
      <xdr:colOff>161925</xdr:colOff>
      <xdr:row>87</xdr:row>
      <xdr:rowOff>133351</xdr:rowOff>
    </xdr:from>
    <xdr:to>
      <xdr:col>8</xdr:col>
      <xdr:colOff>476250</xdr:colOff>
      <xdr:row>100</xdr:row>
      <xdr:rowOff>19051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561975</xdr:colOff>
      <xdr:row>131</xdr:row>
      <xdr:rowOff>47625</xdr:rowOff>
    </xdr:from>
    <xdr:to>
      <xdr:col>9</xdr:col>
      <xdr:colOff>495300</xdr:colOff>
      <xdr:row>150</xdr:row>
      <xdr:rowOff>171450</xdr:rowOff>
    </xdr:to>
    <xdr:pic>
      <xdr:nvPicPr>
        <xdr:cNvPr id="17410" name="irc_mi" descr="http://marlongofast.tripod.com/pdf_files/CdCylRaw.gif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61975" y="26641425"/>
          <a:ext cx="6791325" cy="3743325"/>
        </a:xfrm>
        <a:prstGeom prst="rect">
          <a:avLst/>
        </a:prstGeom>
        <a:noFill/>
      </xdr:spPr>
    </xdr:pic>
    <xdr:clientData/>
  </xdr:twoCellAnchor>
  <xdr:twoCellAnchor>
    <xdr:from>
      <xdr:col>0</xdr:col>
      <xdr:colOff>619126</xdr:colOff>
      <xdr:row>242</xdr:row>
      <xdr:rowOff>0</xdr:rowOff>
    </xdr:from>
    <xdr:to>
      <xdr:col>2</xdr:col>
      <xdr:colOff>238125</xdr:colOff>
      <xdr:row>242</xdr:row>
      <xdr:rowOff>185854</xdr:rowOff>
    </xdr:to>
    <xdr:pic>
      <xdr:nvPicPr>
        <xdr:cNvPr id="174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19126" y="47834550"/>
          <a:ext cx="1142999" cy="185854"/>
        </a:xfrm>
        <a:prstGeom prst="rect">
          <a:avLst/>
        </a:prstGeom>
        <a:noFill/>
      </xdr:spPr>
    </xdr:pic>
    <xdr:clientData/>
  </xdr:twoCellAnchor>
  <xdr:twoCellAnchor>
    <xdr:from>
      <xdr:col>3</xdr:col>
      <xdr:colOff>295275</xdr:colOff>
      <xdr:row>242</xdr:row>
      <xdr:rowOff>19050</xdr:rowOff>
    </xdr:from>
    <xdr:to>
      <xdr:col>5</xdr:col>
      <xdr:colOff>361950</xdr:colOff>
      <xdr:row>243</xdr:row>
      <xdr:rowOff>19050</xdr:rowOff>
    </xdr:to>
    <xdr:pic>
      <xdr:nvPicPr>
        <xdr:cNvPr id="174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581275" y="47853600"/>
          <a:ext cx="1590675" cy="190500"/>
        </a:xfrm>
        <a:prstGeom prst="rect">
          <a:avLst/>
        </a:prstGeom>
        <a:noFill/>
      </xdr:spPr>
    </xdr:pic>
    <xdr:clientData/>
  </xdr:twoCellAnchor>
  <xdr:twoCellAnchor>
    <xdr:from>
      <xdr:col>6</xdr:col>
      <xdr:colOff>381000</xdr:colOff>
      <xdr:row>241</xdr:row>
      <xdr:rowOff>171450</xdr:rowOff>
    </xdr:from>
    <xdr:to>
      <xdr:col>8</xdr:col>
      <xdr:colOff>447675</xdr:colOff>
      <xdr:row>242</xdr:row>
      <xdr:rowOff>171450</xdr:rowOff>
    </xdr:to>
    <xdr:pic>
      <xdr:nvPicPr>
        <xdr:cNvPr id="174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53000" y="47815500"/>
          <a:ext cx="1590675" cy="190500"/>
        </a:xfrm>
        <a:prstGeom prst="rect">
          <a:avLst/>
        </a:prstGeom>
        <a:noFill/>
      </xdr:spPr>
    </xdr:pic>
    <xdr:clientData/>
  </xdr:twoCellAnchor>
  <xdr:twoCellAnchor>
    <xdr:from>
      <xdr:col>3</xdr:col>
      <xdr:colOff>333375</xdr:colOff>
      <xdr:row>267</xdr:row>
      <xdr:rowOff>114300</xdr:rowOff>
    </xdr:from>
    <xdr:to>
      <xdr:col>4</xdr:col>
      <xdr:colOff>219075</xdr:colOff>
      <xdr:row>269</xdr:row>
      <xdr:rowOff>104775</xdr:rowOff>
    </xdr:to>
    <xdr:pic>
      <xdr:nvPicPr>
        <xdr:cNvPr id="174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9375" y="53025675"/>
          <a:ext cx="647700" cy="37147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296</xdr:row>
      <xdr:rowOff>133350</xdr:rowOff>
    </xdr:from>
    <xdr:to>
      <xdr:col>9</xdr:col>
      <xdr:colOff>0</xdr:colOff>
      <xdr:row>303</xdr:row>
      <xdr:rowOff>180975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3309" t="56120" r="32943" b="25000"/>
        <a:stretch>
          <a:fillRect/>
        </a:stretch>
      </xdr:blipFill>
      <xdr:spPr bwMode="auto">
        <a:xfrm>
          <a:off x="3067050" y="56749950"/>
          <a:ext cx="4391025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447675</xdr:colOff>
      <xdr:row>323</xdr:row>
      <xdr:rowOff>104390</xdr:rowOff>
    </xdr:from>
    <xdr:to>
      <xdr:col>7</xdr:col>
      <xdr:colOff>295275</xdr:colOff>
      <xdr:row>334</xdr:row>
      <xdr:rowOff>38100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1669" t="35937" r="20351" b="22136"/>
        <a:stretch>
          <a:fillRect/>
        </a:stretch>
      </xdr:blipFill>
      <xdr:spPr bwMode="auto">
        <a:xfrm>
          <a:off x="1209675" y="61893065"/>
          <a:ext cx="4991100" cy="2029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"/>
  <sheetViews>
    <sheetView workbookViewId="0">
      <selection activeCell="E5" sqref="E5"/>
    </sheetView>
  </sheetViews>
  <sheetFormatPr baseColWidth="10" defaultRowHeight="15"/>
  <sheetData>
    <row r="1" spans="1:11" ht="23.25">
      <c r="A1" s="476" t="s">
        <v>662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</row>
    <row r="3" spans="1:11">
      <c r="B3" s="347" t="s">
        <v>969</v>
      </c>
      <c r="C3" s="474" t="s">
        <v>971</v>
      </c>
      <c r="D3" s="474"/>
      <c r="E3" s="474"/>
      <c r="F3" s="474" t="s">
        <v>970</v>
      </c>
      <c r="G3" s="474"/>
      <c r="H3" s="475" t="s">
        <v>972</v>
      </c>
      <c r="I3" s="475"/>
      <c r="J3" s="475"/>
      <c r="K3" s="475"/>
    </row>
    <row r="5" spans="1:11">
      <c r="A5" s="474" t="s">
        <v>663</v>
      </c>
      <c r="B5" s="474"/>
      <c r="C5" s="474"/>
      <c r="D5" s="474"/>
      <c r="E5" s="347">
        <v>40</v>
      </c>
    </row>
    <row r="6" spans="1:11">
      <c r="A6" s="474" t="s">
        <v>853</v>
      </c>
      <c r="B6" s="474"/>
      <c r="C6" s="474"/>
      <c r="D6" s="474"/>
      <c r="E6" s="347" t="s">
        <v>854</v>
      </c>
    </row>
  </sheetData>
  <mergeCells count="6">
    <mergeCell ref="A5:D5"/>
    <mergeCell ref="A6:D6"/>
    <mergeCell ref="C3:E3"/>
    <mergeCell ref="H3:K3"/>
    <mergeCell ref="A1:K1"/>
    <mergeCell ref="F3:G3"/>
  </mergeCells>
  <dataValidations count="2">
    <dataValidation type="list" allowBlank="1" showInputMessage="1" showErrorMessage="1" sqref="E5">
      <formula1>Profundidades</formula1>
    </dataValidation>
    <dataValidation type="list" allowBlank="1" showInputMessage="1" showErrorMessage="1" sqref="E6">
      <formula1>"Duro, Intermedio, Blando, 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"/>
  <sheetViews>
    <sheetView workbookViewId="0">
      <selection activeCell="B6" sqref="B6"/>
    </sheetView>
  </sheetViews>
  <sheetFormatPr baseColWidth="10" defaultRowHeight="15"/>
  <cols>
    <col min="1" max="1" width="16.5703125" customWidth="1"/>
  </cols>
  <sheetData>
    <row r="1" spans="1:11">
      <c r="A1" s="477" t="s">
        <v>312</v>
      </c>
      <c r="B1" s="477"/>
      <c r="C1" s="477"/>
      <c r="D1" s="477"/>
      <c r="E1" s="477"/>
      <c r="F1" s="477"/>
      <c r="G1" s="477"/>
      <c r="H1" s="477"/>
      <c r="I1" s="477"/>
      <c r="J1" s="477"/>
      <c r="K1" s="477"/>
    </row>
    <row r="2" spans="1:11">
      <c r="A2" s="477"/>
      <c r="B2" s="477"/>
      <c r="C2" s="477"/>
      <c r="D2" s="477"/>
      <c r="E2" s="477"/>
      <c r="F2" s="477"/>
      <c r="G2" s="477"/>
      <c r="H2" s="477"/>
      <c r="I2" s="477"/>
      <c r="J2" s="477"/>
      <c r="K2" s="477"/>
    </row>
    <row r="3" spans="1:11">
      <c r="A3" s="477" t="s">
        <v>313</v>
      </c>
      <c r="B3" s="477"/>
      <c r="C3" s="477"/>
      <c r="D3" s="477"/>
      <c r="E3" s="477"/>
      <c r="F3" s="477"/>
      <c r="G3" s="477"/>
    </row>
    <row r="4" spans="1:11">
      <c r="A4" t="s">
        <v>314</v>
      </c>
      <c r="B4" s="477" t="s">
        <v>315</v>
      </c>
      <c r="C4" s="477"/>
    </row>
    <row r="5" spans="1:11">
      <c r="A5" t="s">
        <v>316</v>
      </c>
      <c r="B5">
        <v>2.5</v>
      </c>
      <c r="C5" s="223" t="s">
        <v>560</v>
      </c>
    </row>
    <row r="6" spans="1:11">
      <c r="A6" s="223" t="s">
        <v>637</v>
      </c>
      <c r="B6" s="223">
        <v>1.8</v>
      </c>
      <c r="C6" s="223" t="s">
        <v>560</v>
      </c>
    </row>
    <row r="7" spans="1:11">
      <c r="A7" s="255" t="s">
        <v>938</v>
      </c>
    </row>
    <row r="8" spans="1:11">
      <c r="A8" s="255" t="s">
        <v>939</v>
      </c>
    </row>
  </sheetData>
  <mergeCells count="3">
    <mergeCell ref="A1:K2"/>
    <mergeCell ref="A3:G3"/>
    <mergeCell ref="B4: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H43"/>
  <sheetViews>
    <sheetView topLeftCell="A8" zoomScale="70" zoomScaleNormal="70" workbookViewId="0">
      <selection activeCell="C24" sqref="C24:D24"/>
    </sheetView>
  </sheetViews>
  <sheetFormatPr baseColWidth="10" defaultRowHeight="15"/>
  <cols>
    <col min="8" max="8" width="11.85546875" bestFit="1" customWidth="1"/>
  </cols>
  <sheetData>
    <row r="2" spans="1:7">
      <c r="A2" t="s">
        <v>2</v>
      </c>
    </row>
    <row r="4" spans="1:7" ht="18">
      <c r="B4" s="1" t="s">
        <v>3</v>
      </c>
      <c r="C4" s="2"/>
      <c r="D4" s="3"/>
      <c r="G4" t="s">
        <v>295</v>
      </c>
    </row>
    <row r="5" spans="1:7">
      <c r="G5" t="s">
        <v>296</v>
      </c>
    </row>
    <row r="6" spans="1:7">
      <c r="G6" t="s">
        <v>297</v>
      </c>
    </row>
    <row r="7" spans="1:7">
      <c r="G7" t="s">
        <v>298</v>
      </c>
    </row>
    <row r="8" spans="1:7">
      <c r="G8" t="s">
        <v>299</v>
      </c>
    </row>
    <row r="9" spans="1:7">
      <c r="G9" t="s">
        <v>283</v>
      </c>
    </row>
    <row r="10" spans="1:7">
      <c r="G10" t="s">
        <v>284</v>
      </c>
    </row>
    <row r="11" spans="1:7">
      <c r="G11" t="s">
        <v>285</v>
      </c>
    </row>
    <row r="12" spans="1:7">
      <c r="G12" t="s">
        <v>286</v>
      </c>
    </row>
    <row r="13" spans="1:7">
      <c r="G13" t="s">
        <v>287</v>
      </c>
    </row>
    <row r="14" spans="1:7">
      <c r="G14" t="s">
        <v>288</v>
      </c>
    </row>
    <row r="15" spans="1:7">
      <c r="G15" t="s">
        <v>289</v>
      </c>
    </row>
    <row r="16" spans="1:7">
      <c r="G16" t="s">
        <v>290</v>
      </c>
    </row>
    <row r="17" spans="1:8">
      <c r="G17" t="s">
        <v>291</v>
      </c>
    </row>
    <row r="18" spans="1:8">
      <c r="G18" t="s">
        <v>292</v>
      </c>
    </row>
    <row r="19" spans="1:8">
      <c r="G19" t="s">
        <v>293</v>
      </c>
    </row>
    <row r="20" spans="1:8">
      <c r="G20" t="s">
        <v>294</v>
      </c>
    </row>
    <row r="23" spans="1:8">
      <c r="A23" s="474" t="s">
        <v>308</v>
      </c>
      <c r="B23" s="474"/>
      <c r="C23" s="474" t="s">
        <v>300</v>
      </c>
      <c r="D23" s="474"/>
      <c r="E23" s="474" t="s">
        <v>301</v>
      </c>
      <c r="F23" s="474"/>
    </row>
    <row r="24" spans="1:8">
      <c r="A24" s="474" t="s">
        <v>311</v>
      </c>
      <c r="B24" s="474"/>
      <c r="C24" s="474">
        <f>C25+(C25*0.33)</f>
        <v>199.5</v>
      </c>
      <c r="D24" s="474"/>
      <c r="E24" s="474">
        <f>C24*0.745</f>
        <v>148.6275</v>
      </c>
      <c r="F24" s="474"/>
    </row>
    <row r="25" spans="1:8">
      <c r="A25" s="474" t="s">
        <v>310</v>
      </c>
      <c r="B25" s="474"/>
      <c r="C25" s="474">
        <v>150</v>
      </c>
      <c r="D25" s="474"/>
      <c r="E25" s="474">
        <f t="shared" ref="E25:E31" si="0">C25*0.745</f>
        <v>111.75</v>
      </c>
      <c r="F25" s="474"/>
    </row>
    <row r="26" spans="1:8">
      <c r="A26" s="474" t="s">
        <v>302</v>
      </c>
      <c r="B26" s="474"/>
      <c r="C26" s="474">
        <f>(C25*0.33)</f>
        <v>49.5</v>
      </c>
      <c r="D26" s="474"/>
      <c r="E26" s="474">
        <f t="shared" si="0"/>
        <v>36.877499999999998</v>
      </c>
      <c r="F26" s="474"/>
    </row>
    <row r="27" spans="1:8">
      <c r="A27" s="474" t="s">
        <v>303</v>
      </c>
      <c r="B27" s="474"/>
      <c r="C27" s="474">
        <f>(C25*0.35)</f>
        <v>52.5</v>
      </c>
      <c r="D27" s="474"/>
      <c r="E27" s="474">
        <f t="shared" si="0"/>
        <v>39.112499999999997</v>
      </c>
      <c r="F27" s="474"/>
      <c r="G27" t="s">
        <v>309</v>
      </c>
      <c r="H27">
        <f>((C24*285)/(10^(2/3)))^(1/3)</f>
        <v>23.051916146294214</v>
      </c>
    </row>
    <row r="28" spans="1:8">
      <c r="A28" s="474" t="s">
        <v>304</v>
      </c>
      <c r="B28" s="474"/>
      <c r="C28" s="474">
        <f>(C25*0.27)</f>
        <v>40.5</v>
      </c>
      <c r="D28" s="474"/>
      <c r="E28" s="474">
        <f t="shared" si="0"/>
        <v>30.172499999999999</v>
      </c>
      <c r="F28" s="474"/>
    </row>
    <row r="29" spans="1:8">
      <c r="A29" s="474" t="s">
        <v>305</v>
      </c>
      <c r="B29" s="474"/>
      <c r="C29" s="474">
        <f>(C25*0.18)</f>
        <v>27</v>
      </c>
      <c r="D29" s="474"/>
      <c r="E29" s="474">
        <f t="shared" si="0"/>
        <v>20.114999999999998</v>
      </c>
      <c r="F29" s="474"/>
    </row>
    <row r="30" spans="1:8">
      <c r="A30" s="474" t="s">
        <v>306</v>
      </c>
      <c r="B30" s="474"/>
      <c r="C30" s="474">
        <f>(C25*0.17)</f>
        <v>25.500000000000004</v>
      </c>
      <c r="D30" s="474"/>
      <c r="E30" s="474">
        <f t="shared" si="0"/>
        <v>18.997500000000002</v>
      </c>
      <c r="F30" s="474"/>
    </row>
    <row r="31" spans="1:8">
      <c r="A31" s="474" t="s">
        <v>307</v>
      </c>
      <c r="B31" s="474"/>
      <c r="C31" s="474">
        <f>(C25*0.03)</f>
        <v>4.5</v>
      </c>
      <c r="D31" s="474"/>
      <c r="E31" s="474">
        <f t="shared" si="0"/>
        <v>3.3525</v>
      </c>
      <c r="F31" s="474"/>
    </row>
    <row r="35" spans="1:8">
      <c r="A35" s="474" t="s">
        <v>308</v>
      </c>
      <c r="B35" s="474"/>
      <c r="C35" s="474" t="s">
        <v>300</v>
      </c>
      <c r="D35" s="474"/>
      <c r="E35" s="474" t="s">
        <v>301</v>
      </c>
      <c r="F35" s="474"/>
    </row>
    <row r="36" spans="1:8">
      <c r="A36" s="474" t="s">
        <v>311</v>
      </c>
      <c r="B36" s="474"/>
      <c r="C36" s="474">
        <f>C37+(C37*0.33)</f>
        <v>239.4</v>
      </c>
      <c r="D36" s="474"/>
      <c r="E36" s="474">
        <f>C36*0.745</f>
        <v>178.35300000000001</v>
      </c>
      <c r="F36" s="474"/>
    </row>
    <row r="37" spans="1:8">
      <c r="A37" s="474" t="s">
        <v>310</v>
      </c>
      <c r="B37" s="474"/>
      <c r="C37" s="474">
        <v>180</v>
      </c>
      <c r="D37" s="474"/>
      <c r="E37" s="474">
        <f t="shared" ref="E37:E43" si="1">C37*0.745</f>
        <v>134.1</v>
      </c>
      <c r="F37" s="474"/>
    </row>
    <row r="38" spans="1:8">
      <c r="A38" s="474" t="s">
        <v>302</v>
      </c>
      <c r="B38" s="474"/>
      <c r="C38" s="474">
        <f>(C37*0.33)</f>
        <v>59.400000000000006</v>
      </c>
      <c r="D38" s="474"/>
      <c r="E38" s="474">
        <f t="shared" si="1"/>
        <v>44.253000000000007</v>
      </c>
      <c r="F38" s="474"/>
      <c r="G38" t="s">
        <v>309</v>
      </c>
      <c r="H38">
        <f>((C36*285)/(12^(2/3)))^(1/3)</f>
        <v>23.523662906689772</v>
      </c>
    </row>
    <row r="39" spans="1:8">
      <c r="A39" s="474" t="s">
        <v>303</v>
      </c>
      <c r="B39" s="474"/>
      <c r="C39" s="474">
        <f>(C37*0.35)</f>
        <v>62.999999999999993</v>
      </c>
      <c r="D39" s="474"/>
      <c r="E39" s="474">
        <f t="shared" si="1"/>
        <v>46.934999999999995</v>
      </c>
      <c r="F39" s="474"/>
    </row>
    <row r="40" spans="1:8">
      <c r="A40" s="474" t="s">
        <v>304</v>
      </c>
      <c r="B40" s="474"/>
      <c r="C40" s="474">
        <f>(C37*0.27)</f>
        <v>48.6</v>
      </c>
      <c r="D40" s="474"/>
      <c r="E40" s="474">
        <f t="shared" si="1"/>
        <v>36.207000000000001</v>
      </c>
      <c r="F40" s="474"/>
    </row>
    <row r="41" spans="1:8">
      <c r="A41" s="474" t="s">
        <v>305</v>
      </c>
      <c r="B41" s="474"/>
      <c r="C41" s="474">
        <f>(C37*0.18)</f>
        <v>32.4</v>
      </c>
      <c r="D41" s="474"/>
      <c r="E41" s="474">
        <f t="shared" si="1"/>
        <v>24.137999999999998</v>
      </c>
      <c r="F41" s="474"/>
    </row>
    <row r="42" spans="1:8">
      <c r="A42" s="474" t="s">
        <v>306</v>
      </c>
      <c r="B42" s="474"/>
      <c r="C42" s="474">
        <f>(C37*0.17)</f>
        <v>30.6</v>
      </c>
      <c r="D42" s="474"/>
      <c r="E42" s="474">
        <f t="shared" si="1"/>
        <v>22.797000000000001</v>
      </c>
      <c r="F42" s="474"/>
    </row>
    <row r="43" spans="1:8">
      <c r="A43" s="474" t="s">
        <v>307</v>
      </c>
      <c r="B43" s="474"/>
      <c r="C43" s="474">
        <f>(C37*0.03)</f>
        <v>5.3999999999999995</v>
      </c>
      <c r="D43" s="474"/>
      <c r="E43" s="474">
        <f t="shared" si="1"/>
        <v>4.0229999999999997</v>
      </c>
      <c r="F43" s="474"/>
    </row>
  </sheetData>
  <mergeCells count="54">
    <mergeCell ref="A23:B23"/>
    <mergeCell ref="C23:D23"/>
    <mergeCell ref="E23:F23"/>
    <mergeCell ref="A24:B24"/>
    <mergeCell ref="C24:D24"/>
    <mergeCell ref="E24:F24"/>
    <mergeCell ref="A25:B25"/>
    <mergeCell ref="C25:D25"/>
    <mergeCell ref="E25:F25"/>
    <mergeCell ref="A26:B26"/>
    <mergeCell ref="C26:D26"/>
    <mergeCell ref="E26:F26"/>
    <mergeCell ref="A27:B27"/>
    <mergeCell ref="C27:D27"/>
    <mergeCell ref="E27:F27"/>
    <mergeCell ref="A28:B28"/>
    <mergeCell ref="C28:D28"/>
    <mergeCell ref="E28:F28"/>
    <mergeCell ref="A29:B29"/>
    <mergeCell ref="C29:D29"/>
    <mergeCell ref="E29:F29"/>
    <mergeCell ref="A30:B30"/>
    <mergeCell ref="C30:D30"/>
    <mergeCell ref="E30:F30"/>
    <mergeCell ref="A31:B31"/>
    <mergeCell ref="C31:D31"/>
    <mergeCell ref="E31:F31"/>
    <mergeCell ref="A35:B35"/>
    <mergeCell ref="C35:D35"/>
    <mergeCell ref="E35:F35"/>
    <mergeCell ref="A36:B36"/>
    <mergeCell ref="C36:D36"/>
    <mergeCell ref="E36:F36"/>
    <mergeCell ref="A37:B37"/>
    <mergeCell ref="C37:D37"/>
    <mergeCell ref="E37:F37"/>
    <mergeCell ref="A38:B38"/>
    <mergeCell ref="C38:D38"/>
    <mergeCell ref="E38:F38"/>
    <mergeCell ref="A39:B39"/>
    <mergeCell ref="C39:D39"/>
    <mergeCell ref="E39:F39"/>
    <mergeCell ref="A40:B40"/>
    <mergeCell ref="C40:D40"/>
    <mergeCell ref="E40:F40"/>
    <mergeCell ref="A41:B41"/>
    <mergeCell ref="C41:D41"/>
    <mergeCell ref="E41:F41"/>
    <mergeCell ref="A42:B42"/>
    <mergeCell ref="C42:D42"/>
    <mergeCell ref="E42:F42"/>
    <mergeCell ref="A43:B43"/>
    <mergeCell ref="C43:D43"/>
    <mergeCell ref="E43:F4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49"/>
  <sheetViews>
    <sheetView zoomScale="90" zoomScaleNormal="90" zoomScalePageLayoutView="30" workbookViewId="0">
      <selection activeCell="M392" sqref="M392"/>
    </sheetView>
  </sheetViews>
  <sheetFormatPr baseColWidth="10" defaultRowHeight="15"/>
  <cols>
    <col min="1" max="1" width="11.85546875" customWidth="1"/>
    <col min="2" max="2" width="12.42578125" customWidth="1"/>
    <col min="3" max="3" width="11.85546875" bestFit="1" customWidth="1"/>
    <col min="4" max="4" width="13.7109375" customWidth="1"/>
    <col min="5" max="5" width="12.140625" customWidth="1"/>
    <col min="6" max="6" width="11.85546875" bestFit="1" customWidth="1"/>
    <col min="8" max="8" width="12.28515625" customWidth="1"/>
    <col min="11" max="11" width="12.28515625" customWidth="1"/>
    <col min="12" max="12" width="14.7109375" customWidth="1"/>
  </cols>
  <sheetData>
    <row r="1" spans="1:15" ht="28.5">
      <c r="A1" s="492" t="s">
        <v>319</v>
      </c>
      <c r="B1" s="492"/>
      <c r="C1" s="492"/>
      <c r="D1" s="492"/>
      <c r="E1" s="492"/>
      <c r="F1" s="492"/>
      <c r="G1" s="492"/>
      <c r="H1" s="492"/>
      <c r="I1" s="492"/>
      <c r="J1" s="492"/>
      <c r="K1" s="492"/>
      <c r="L1" s="492"/>
      <c r="M1" s="492"/>
      <c r="N1" s="492"/>
    </row>
    <row r="2" spans="1:1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496" t="s">
        <v>107</v>
      </c>
      <c r="M2" s="496"/>
      <c r="N2" s="5"/>
    </row>
    <row r="3" spans="1:15" ht="18">
      <c r="A3" s="5"/>
      <c r="B3" s="499" t="s">
        <v>4</v>
      </c>
      <c r="C3" s="499"/>
      <c r="D3" s="5"/>
      <c r="E3" s="497" t="s">
        <v>6</v>
      </c>
      <c r="F3" s="497"/>
      <c r="G3" s="497"/>
      <c r="H3" s="497"/>
      <c r="I3" s="498"/>
      <c r="J3" s="90"/>
      <c r="K3" s="5"/>
      <c r="L3" s="78" t="s">
        <v>318</v>
      </c>
      <c r="M3" s="78"/>
      <c r="N3" s="5"/>
    </row>
    <row r="4" spans="1:15" ht="18">
      <c r="A4" s="5"/>
      <c r="B4" s="5"/>
      <c r="C4" s="5"/>
      <c r="D4" s="5"/>
      <c r="E4" s="497" t="s">
        <v>7</v>
      </c>
      <c r="F4" s="497"/>
      <c r="G4" s="497"/>
      <c r="H4" s="497"/>
      <c r="I4" s="497"/>
      <c r="J4" s="497"/>
      <c r="K4" s="5"/>
      <c r="L4" s="5"/>
      <c r="M4" s="5"/>
      <c r="N4" s="5"/>
    </row>
    <row r="5" spans="1:1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5">
      <c r="A6" s="496" t="s">
        <v>5</v>
      </c>
      <c r="B6" s="496"/>
      <c r="C6" s="496"/>
      <c r="D6" s="496"/>
      <c r="E6" s="496"/>
      <c r="F6" s="496"/>
      <c r="G6" s="5"/>
      <c r="H6" s="5"/>
      <c r="I6" s="5"/>
      <c r="J6" s="5"/>
      <c r="K6" s="5"/>
      <c r="L6" s="5"/>
      <c r="M6" s="5"/>
      <c r="N6" s="5"/>
    </row>
    <row r="7" spans="1:15">
      <c r="A7" s="481" t="s">
        <v>39</v>
      </c>
      <c r="B7" s="481"/>
      <c r="C7" s="481"/>
      <c r="D7" s="481"/>
      <c r="E7" s="481"/>
      <c r="F7" s="481"/>
      <c r="G7" s="481"/>
      <c r="H7" s="5"/>
      <c r="I7" s="5"/>
      <c r="J7" s="5"/>
      <c r="K7" s="5"/>
      <c r="L7" s="5"/>
      <c r="M7" s="5"/>
      <c r="N7" s="5"/>
    </row>
    <row r="8" spans="1:15">
      <c r="A8" s="79" t="s">
        <v>8</v>
      </c>
      <c r="B8" s="6" t="s">
        <v>8</v>
      </c>
      <c r="C8" s="6" t="s">
        <v>10</v>
      </c>
      <c r="D8" s="79" t="s">
        <v>12</v>
      </c>
      <c r="E8" s="6" t="s">
        <v>13</v>
      </c>
      <c r="F8" s="79" t="s">
        <v>15</v>
      </c>
      <c r="G8" s="7" t="s">
        <v>16</v>
      </c>
      <c r="H8" s="5"/>
      <c r="I8" s="27"/>
      <c r="J8" s="27" t="s">
        <v>609</v>
      </c>
      <c r="K8" s="262" t="s">
        <v>512</v>
      </c>
      <c r="L8" s="482" t="str">
        <f>A7</f>
        <v>150 HP</v>
      </c>
      <c r="M8" s="483"/>
      <c r="N8" s="482" t="str">
        <f>A19</f>
        <v>180 HP</v>
      </c>
      <c r="O8" s="483"/>
    </row>
    <row r="9" spans="1:15">
      <c r="A9" s="80"/>
      <c r="B9" s="8" t="s">
        <v>9</v>
      </c>
      <c r="C9" s="8" t="s">
        <v>11</v>
      </c>
      <c r="D9" s="80"/>
      <c r="E9" s="8" t="s">
        <v>14</v>
      </c>
      <c r="F9" s="80"/>
      <c r="G9" s="9" t="s">
        <v>17</v>
      </c>
      <c r="H9" s="5"/>
      <c r="I9" s="28" t="s">
        <v>8</v>
      </c>
      <c r="J9" s="28" t="s">
        <v>56</v>
      </c>
      <c r="K9" s="28" t="s">
        <v>56</v>
      </c>
      <c r="L9" s="6" t="s">
        <v>13</v>
      </c>
      <c r="M9" s="7" t="s">
        <v>16</v>
      </c>
      <c r="N9" s="6" t="s">
        <v>13</v>
      </c>
      <c r="O9" s="7" t="s">
        <v>16</v>
      </c>
    </row>
    <row r="10" spans="1:15">
      <c r="A10" s="82" t="s">
        <v>18</v>
      </c>
      <c r="B10" s="10">
        <v>1</v>
      </c>
      <c r="C10" s="10">
        <f>'Potenc disponible para arrastre'!C25:D25</f>
        <v>150</v>
      </c>
      <c r="D10" s="82" t="str">
        <f>MID(E3,38,2)</f>
        <v>10</v>
      </c>
      <c r="E10" s="10">
        <f>C10*(D10-(0.7*B10))</f>
        <v>1395</v>
      </c>
      <c r="F10" s="81" t="str">
        <f>MID(E4,40,2)</f>
        <v>15</v>
      </c>
      <c r="G10" s="10">
        <f>C10*(F10-(0.7*B10))</f>
        <v>2145</v>
      </c>
      <c r="H10" s="5"/>
      <c r="I10" s="10" t="s">
        <v>57</v>
      </c>
      <c r="J10" s="10" t="s">
        <v>55</v>
      </c>
      <c r="K10" s="10" t="s">
        <v>55</v>
      </c>
      <c r="L10" s="8" t="s">
        <v>14</v>
      </c>
      <c r="M10" s="9" t="s">
        <v>17</v>
      </c>
      <c r="N10" s="8" t="s">
        <v>14</v>
      </c>
      <c r="O10" s="9" t="s">
        <v>17</v>
      </c>
    </row>
    <row r="11" spans="1:15">
      <c r="A11" s="83" t="s">
        <v>19</v>
      </c>
      <c r="B11" s="11">
        <v>1.5</v>
      </c>
      <c r="C11" s="10">
        <f>C10</f>
        <v>150</v>
      </c>
      <c r="D11" s="82" t="str">
        <f>D10</f>
        <v>10</v>
      </c>
      <c r="E11" s="10">
        <f t="shared" ref="E11:E18" si="0">C11*(D11-(0.7*B11))</f>
        <v>1342.5</v>
      </c>
      <c r="F11" s="81" t="str">
        <f>F10</f>
        <v>15</v>
      </c>
      <c r="G11" s="10">
        <f t="shared" ref="G11:G18" si="1">C11*(F11-(0.7*B11))</f>
        <v>2092.5</v>
      </c>
      <c r="H11" s="5"/>
      <c r="I11" s="10" t="s">
        <v>18</v>
      </c>
      <c r="J11" s="261">
        <f>'Resistencia de la RED'!N302*1000</f>
        <v>422.36322657644956</v>
      </c>
      <c r="K11" s="261">
        <f>'Resistencia de la RED'!N317*1000</f>
        <v>413.44914989192739</v>
      </c>
      <c r="L11" s="11">
        <f t="shared" ref="L11:L19" si="2">E10</f>
        <v>1395</v>
      </c>
      <c r="M11" s="11">
        <f t="shared" ref="M11:M19" si="3">G10</f>
        <v>2145</v>
      </c>
      <c r="N11" s="11">
        <f t="shared" ref="N11:N19" si="4">E22</f>
        <v>1674.0000000000002</v>
      </c>
      <c r="O11" s="11">
        <f t="shared" ref="O11:O19" si="5">G22</f>
        <v>2574</v>
      </c>
    </row>
    <row r="12" spans="1:15">
      <c r="A12" s="83" t="s">
        <v>20</v>
      </c>
      <c r="B12" s="11">
        <v>2</v>
      </c>
      <c r="C12" s="10">
        <f>C10</f>
        <v>150</v>
      </c>
      <c r="D12" s="82" t="str">
        <f t="shared" ref="D12:D18" si="6">D11</f>
        <v>10</v>
      </c>
      <c r="E12" s="10">
        <f t="shared" si="0"/>
        <v>1290</v>
      </c>
      <c r="F12" s="81" t="str">
        <f t="shared" ref="F12:F18" si="7">F11</f>
        <v>15</v>
      </c>
      <c r="G12" s="10">
        <f t="shared" si="1"/>
        <v>2040</v>
      </c>
      <c r="H12" s="5"/>
      <c r="I12" s="11" t="s">
        <v>19</v>
      </c>
      <c r="J12" s="261">
        <f>'Resistencia de la RED'!N303*1000</f>
        <v>631.52956087214341</v>
      </c>
      <c r="K12" s="261">
        <f>'Resistencia de la RED'!N318*1000</f>
        <v>618.20097878939919</v>
      </c>
      <c r="L12" s="77">
        <f t="shared" si="2"/>
        <v>1342.5</v>
      </c>
      <c r="M12" s="77">
        <f t="shared" si="3"/>
        <v>2092.5</v>
      </c>
      <c r="N12" s="77">
        <f t="shared" si="4"/>
        <v>1610.9999999999998</v>
      </c>
      <c r="O12" s="77">
        <f t="shared" si="5"/>
        <v>2511</v>
      </c>
    </row>
    <row r="13" spans="1:15">
      <c r="A13" s="83" t="s">
        <v>21</v>
      </c>
      <c r="B13" s="10">
        <v>2.5</v>
      </c>
      <c r="C13" s="10">
        <f>C10</f>
        <v>150</v>
      </c>
      <c r="D13" s="82" t="str">
        <f t="shared" si="6"/>
        <v>10</v>
      </c>
      <c r="E13" s="10">
        <f t="shared" si="0"/>
        <v>1237.5</v>
      </c>
      <c r="F13" s="81" t="str">
        <f t="shared" si="7"/>
        <v>15</v>
      </c>
      <c r="G13" s="10">
        <f t="shared" si="1"/>
        <v>1987.5</v>
      </c>
      <c r="H13" s="5"/>
      <c r="I13" s="11" t="s">
        <v>20</v>
      </c>
      <c r="J13" s="261">
        <f>'Resistencia de la RED'!N304*1000</f>
        <v>914.90100549547947</v>
      </c>
      <c r="K13" s="261">
        <f>'Resistencia de la RED'!N319*1000</f>
        <v>895.5918014536428</v>
      </c>
      <c r="L13" s="77">
        <f t="shared" si="2"/>
        <v>1290</v>
      </c>
      <c r="M13" s="77">
        <f t="shared" si="3"/>
        <v>2040</v>
      </c>
      <c r="N13" s="77">
        <f t="shared" si="4"/>
        <v>1548</v>
      </c>
      <c r="O13" s="77">
        <f t="shared" si="5"/>
        <v>2448</v>
      </c>
    </row>
    <row r="14" spans="1:15">
      <c r="A14" s="83" t="s">
        <v>22</v>
      </c>
      <c r="B14" s="11">
        <v>3</v>
      </c>
      <c r="C14" s="10">
        <f>C10</f>
        <v>150</v>
      </c>
      <c r="D14" s="82" t="str">
        <f t="shared" si="6"/>
        <v>10</v>
      </c>
      <c r="E14" s="10">
        <f t="shared" si="0"/>
        <v>1185</v>
      </c>
      <c r="F14" s="81" t="str">
        <f t="shared" si="7"/>
        <v>15</v>
      </c>
      <c r="G14" s="10">
        <f t="shared" si="1"/>
        <v>1935</v>
      </c>
      <c r="H14" s="5"/>
      <c r="I14" s="11" t="s">
        <v>21</v>
      </c>
      <c r="J14" s="261">
        <f>'Resistencia de la RED'!N305*1000</f>
        <v>1266.3281776772249</v>
      </c>
      <c r="K14" s="261">
        <f>'Resistencia de la RED'!N320*1000</f>
        <v>1239.6020193061838</v>
      </c>
      <c r="L14" s="77">
        <f t="shared" si="2"/>
        <v>1237.5</v>
      </c>
      <c r="M14" s="77">
        <f t="shared" si="3"/>
        <v>1987.5</v>
      </c>
      <c r="N14" s="77">
        <f t="shared" si="4"/>
        <v>1485</v>
      </c>
      <c r="O14" s="77">
        <f t="shared" si="5"/>
        <v>2385</v>
      </c>
    </row>
    <row r="15" spans="1:15">
      <c r="A15" s="83" t="s">
        <v>23</v>
      </c>
      <c r="B15" s="11">
        <v>3.5</v>
      </c>
      <c r="C15" s="10">
        <f>C14</f>
        <v>150</v>
      </c>
      <c r="D15" s="82" t="str">
        <f t="shared" si="6"/>
        <v>10</v>
      </c>
      <c r="E15" s="10">
        <f t="shared" si="0"/>
        <v>1132.5</v>
      </c>
      <c r="F15" s="81" t="str">
        <f t="shared" si="7"/>
        <v>15</v>
      </c>
      <c r="G15" s="10">
        <f t="shared" si="1"/>
        <v>1882.5</v>
      </c>
      <c r="H15" s="5"/>
      <c r="I15" s="11" t="s">
        <v>22</v>
      </c>
      <c r="J15" s="261">
        <f>'Resistencia de la RED'!N306*1000</f>
        <v>1680.3228964186867</v>
      </c>
      <c r="K15" s="261">
        <f>'Resistencia de la RED'!N321*1000</f>
        <v>1644.8592807179402</v>
      </c>
      <c r="L15" s="77">
        <f t="shared" si="2"/>
        <v>1185</v>
      </c>
      <c r="M15" s="77">
        <f t="shared" si="3"/>
        <v>1935</v>
      </c>
      <c r="N15" s="77">
        <f t="shared" si="4"/>
        <v>1422</v>
      </c>
      <c r="O15" s="77">
        <f t="shared" si="5"/>
        <v>2322</v>
      </c>
    </row>
    <row r="16" spans="1:15">
      <c r="A16" s="83" t="s">
        <v>24</v>
      </c>
      <c r="B16" s="10">
        <v>4</v>
      </c>
      <c r="C16" s="10">
        <f>C15</f>
        <v>150</v>
      </c>
      <c r="D16" s="82" t="str">
        <f t="shared" si="6"/>
        <v>10</v>
      </c>
      <c r="E16" s="10">
        <f t="shared" si="0"/>
        <v>1080</v>
      </c>
      <c r="F16" s="81" t="str">
        <f t="shared" si="7"/>
        <v>15</v>
      </c>
      <c r="G16" s="10">
        <f t="shared" si="1"/>
        <v>1830</v>
      </c>
      <c r="H16" s="5"/>
      <c r="I16" s="11" t="s">
        <v>23</v>
      </c>
      <c r="J16" s="261">
        <f>'Resistencia de la RED'!N307*1000</f>
        <v>2151.9716405847998</v>
      </c>
      <c r="K16" s="261">
        <f>'Resistencia de la RED'!N322*1000</f>
        <v>2106.5537655899047</v>
      </c>
      <c r="L16" s="77">
        <f t="shared" si="2"/>
        <v>1132.5</v>
      </c>
      <c r="M16" s="77">
        <f t="shared" si="3"/>
        <v>1882.5</v>
      </c>
      <c r="N16" s="77">
        <f t="shared" si="4"/>
        <v>1359.0000000000002</v>
      </c>
      <c r="O16" s="77">
        <f t="shared" si="5"/>
        <v>2259</v>
      </c>
    </row>
    <row r="17" spans="1:15">
      <c r="A17" s="83" t="s">
        <v>25</v>
      </c>
      <c r="B17" s="11">
        <v>4.5</v>
      </c>
      <c r="C17" s="10">
        <f>C15</f>
        <v>150</v>
      </c>
      <c r="D17" s="82" t="str">
        <f t="shared" si="6"/>
        <v>10</v>
      </c>
      <c r="E17" s="10">
        <f t="shared" si="0"/>
        <v>1027.5</v>
      </c>
      <c r="F17" s="81" t="str">
        <f t="shared" si="7"/>
        <v>15</v>
      </c>
      <c r="G17" s="10">
        <f t="shared" si="1"/>
        <v>1777.5</v>
      </c>
      <c r="H17" s="5"/>
      <c r="I17" s="11" t="s">
        <v>24</v>
      </c>
      <c r="J17" s="261">
        <f>'Resistencia de la RED'!N308*1000</f>
        <v>2676.8622527857369</v>
      </c>
      <c r="K17" s="261">
        <f>'Resistencia de la RED'!N323*1000</f>
        <v>2620.3664361668261</v>
      </c>
      <c r="L17" s="77">
        <f t="shared" si="2"/>
        <v>1080</v>
      </c>
      <c r="M17" s="77">
        <f t="shared" si="3"/>
        <v>1830</v>
      </c>
      <c r="N17" s="77">
        <f t="shared" si="4"/>
        <v>1296</v>
      </c>
      <c r="O17" s="77">
        <f t="shared" si="5"/>
        <v>2196</v>
      </c>
    </row>
    <row r="18" spans="1:15">
      <c r="A18" s="83" t="s">
        <v>26</v>
      </c>
      <c r="B18" s="11">
        <v>5</v>
      </c>
      <c r="C18" s="10">
        <f>C15</f>
        <v>150</v>
      </c>
      <c r="D18" s="82" t="str">
        <f t="shared" si="6"/>
        <v>10</v>
      </c>
      <c r="E18" s="10">
        <f t="shared" si="0"/>
        <v>975</v>
      </c>
      <c r="F18" s="81" t="str">
        <f t="shared" si="7"/>
        <v>15</v>
      </c>
      <c r="G18" s="10">
        <f t="shared" si="1"/>
        <v>1725</v>
      </c>
      <c r="H18" s="5"/>
      <c r="I18" s="11" t="s">
        <v>25</v>
      </c>
      <c r="J18" s="261">
        <f>'Resistencia de la RED'!N309*1000</f>
        <v>3251.0215826380531</v>
      </c>
      <c r="K18" s="261">
        <f>'Resistencia de la RED'!N324*1000</f>
        <v>3182.4079963522054</v>
      </c>
      <c r="L18" s="77">
        <f t="shared" si="2"/>
        <v>1027.5</v>
      </c>
      <c r="M18" s="77">
        <f t="shared" si="3"/>
        <v>1777.5</v>
      </c>
      <c r="N18" s="77">
        <f t="shared" si="4"/>
        <v>1233</v>
      </c>
      <c r="O18" s="77">
        <f t="shared" si="5"/>
        <v>2133</v>
      </c>
    </row>
    <row r="19" spans="1:15">
      <c r="A19" s="482" t="s">
        <v>53</v>
      </c>
      <c r="B19" s="500"/>
      <c r="C19" s="500"/>
      <c r="D19" s="500"/>
      <c r="E19" s="500"/>
      <c r="F19" s="500"/>
      <c r="G19" s="483"/>
      <c r="H19" s="5"/>
      <c r="I19" s="11" t="s">
        <v>26</v>
      </c>
      <c r="J19" s="261">
        <f>'Resistencia de la RED'!N310*1000</f>
        <v>3870.8622108292311</v>
      </c>
      <c r="K19" s="261">
        <f>'Resistencia de la RED'!N325*1000</f>
        <v>3789.1667401741761</v>
      </c>
      <c r="L19" s="77">
        <f t="shared" si="2"/>
        <v>975</v>
      </c>
      <c r="M19" s="77">
        <f t="shared" si="3"/>
        <v>1725</v>
      </c>
      <c r="N19" s="77">
        <f t="shared" si="4"/>
        <v>1170</v>
      </c>
      <c r="O19" s="77">
        <f t="shared" si="5"/>
        <v>2070</v>
      </c>
    </row>
    <row r="20" spans="1:15">
      <c r="A20" s="79" t="s">
        <v>8</v>
      </c>
      <c r="B20" s="6" t="s">
        <v>8</v>
      </c>
      <c r="C20" s="6" t="s">
        <v>10</v>
      </c>
      <c r="D20" s="79" t="s">
        <v>12</v>
      </c>
      <c r="E20" s="6" t="s">
        <v>13</v>
      </c>
      <c r="F20" s="79" t="s">
        <v>15</v>
      </c>
      <c r="G20" s="7" t="s">
        <v>16</v>
      </c>
      <c r="H20" s="5"/>
      <c r="I20" s="11"/>
      <c r="J20" s="11"/>
      <c r="K20" s="221"/>
      <c r="L20" s="11"/>
      <c r="M20" s="11"/>
      <c r="N20" s="11"/>
      <c r="O20" s="11"/>
    </row>
    <row r="21" spans="1:15">
      <c r="A21" s="80"/>
      <c r="B21" s="8" t="s">
        <v>9</v>
      </c>
      <c r="C21" s="8" t="s">
        <v>11</v>
      </c>
      <c r="D21" s="80"/>
      <c r="E21" s="8" t="s">
        <v>14</v>
      </c>
      <c r="F21" s="80"/>
      <c r="G21" s="9" t="s">
        <v>17</v>
      </c>
      <c r="H21" s="5"/>
      <c r="I21" s="11"/>
      <c r="J21" s="11"/>
      <c r="K21" s="221"/>
      <c r="L21" s="11"/>
      <c r="M21" s="11"/>
      <c r="N21" s="11"/>
      <c r="O21" s="11"/>
    </row>
    <row r="22" spans="1:15">
      <c r="A22" s="82" t="s">
        <v>18</v>
      </c>
      <c r="B22" s="10">
        <v>1</v>
      </c>
      <c r="C22" s="10">
        <f>'Potenc disponible para arrastre'!C37:D37</f>
        <v>180</v>
      </c>
      <c r="D22" s="82" t="str">
        <f>D10</f>
        <v>10</v>
      </c>
      <c r="E22" s="10">
        <f t="shared" ref="E22:E30" si="8">C22*(D22-0.7*B22)</f>
        <v>1674.0000000000002</v>
      </c>
      <c r="F22" s="81" t="str">
        <f>F10</f>
        <v>15</v>
      </c>
      <c r="G22" s="10">
        <f t="shared" ref="G22:G30" si="9">C22*(F22-0.7*B22)</f>
        <v>2574</v>
      </c>
      <c r="H22" s="5"/>
      <c r="I22" s="5"/>
      <c r="J22" s="5"/>
      <c r="K22" s="5"/>
      <c r="L22" s="5"/>
      <c r="M22" s="5"/>
      <c r="N22" s="5"/>
    </row>
    <row r="23" spans="1:15">
      <c r="A23" s="83" t="s">
        <v>19</v>
      </c>
      <c r="B23" s="11">
        <v>1.5</v>
      </c>
      <c r="C23" s="10">
        <f>C22</f>
        <v>180</v>
      </c>
      <c r="D23" s="82" t="str">
        <f t="shared" ref="D23:D30" si="10">D11</f>
        <v>10</v>
      </c>
      <c r="E23" s="10">
        <f t="shared" si="8"/>
        <v>1610.9999999999998</v>
      </c>
      <c r="F23" s="81" t="str">
        <f t="shared" ref="F23:F30" si="11">F11</f>
        <v>15</v>
      </c>
      <c r="G23" s="10">
        <f t="shared" si="9"/>
        <v>2511</v>
      </c>
      <c r="H23" s="5"/>
      <c r="I23" s="5"/>
      <c r="J23" s="5"/>
      <c r="K23" s="5"/>
      <c r="L23" s="5"/>
      <c r="M23" s="5"/>
      <c r="N23" s="5"/>
    </row>
    <row r="24" spans="1:15">
      <c r="A24" s="83" t="s">
        <v>20</v>
      </c>
      <c r="B24" s="11">
        <v>2</v>
      </c>
      <c r="C24" s="10">
        <f t="shared" ref="C24:C30" si="12">C23</f>
        <v>180</v>
      </c>
      <c r="D24" s="82" t="str">
        <f t="shared" si="10"/>
        <v>10</v>
      </c>
      <c r="E24" s="10">
        <f t="shared" si="8"/>
        <v>1548</v>
      </c>
      <c r="F24" s="81" t="str">
        <f t="shared" si="11"/>
        <v>15</v>
      </c>
      <c r="G24" s="10">
        <f t="shared" si="9"/>
        <v>2448</v>
      </c>
      <c r="H24" s="5"/>
      <c r="I24" s="5"/>
      <c r="J24" s="5"/>
      <c r="K24" s="5"/>
      <c r="L24" s="5"/>
      <c r="M24" s="5"/>
      <c r="N24" s="5"/>
    </row>
    <row r="25" spans="1:15">
      <c r="A25" s="83" t="s">
        <v>21</v>
      </c>
      <c r="B25" s="10">
        <v>2.5</v>
      </c>
      <c r="C25" s="10">
        <f t="shared" si="12"/>
        <v>180</v>
      </c>
      <c r="D25" s="82" t="str">
        <f t="shared" si="10"/>
        <v>10</v>
      </c>
      <c r="E25" s="10">
        <f t="shared" si="8"/>
        <v>1485</v>
      </c>
      <c r="F25" s="81" t="str">
        <f t="shared" si="11"/>
        <v>15</v>
      </c>
      <c r="G25" s="10">
        <f t="shared" si="9"/>
        <v>2385</v>
      </c>
      <c r="H25" s="5"/>
      <c r="I25" s="5"/>
      <c r="J25" s="5"/>
      <c r="K25" s="5"/>
      <c r="L25" s="5"/>
      <c r="M25" s="5"/>
      <c r="N25" s="5"/>
    </row>
    <row r="26" spans="1:15">
      <c r="A26" s="83" t="s">
        <v>22</v>
      </c>
      <c r="B26" s="11">
        <v>3</v>
      </c>
      <c r="C26" s="10">
        <f t="shared" si="12"/>
        <v>180</v>
      </c>
      <c r="D26" s="82" t="str">
        <f t="shared" si="10"/>
        <v>10</v>
      </c>
      <c r="E26" s="10">
        <f t="shared" si="8"/>
        <v>1422</v>
      </c>
      <c r="F26" s="81" t="str">
        <f t="shared" si="11"/>
        <v>15</v>
      </c>
      <c r="G26" s="10">
        <f t="shared" si="9"/>
        <v>2322</v>
      </c>
      <c r="H26" s="5"/>
      <c r="I26" s="5"/>
      <c r="J26" s="5"/>
      <c r="K26" s="5"/>
      <c r="L26" s="5"/>
      <c r="M26" s="5"/>
      <c r="N26" s="5"/>
    </row>
    <row r="27" spans="1:15">
      <c r="A27" s="83" t="s">
        <v>23</v>
      </c>
      <c r="B27" s="11">
        <v>3.5</v>
      </c>
      <c r="C27" s="10">
        <f t="shared" si="12"/>
        <v>180</v>
      </c>
      <c r="D27" s="82" t="str">
        <f t="shared" si="10"/>
        <v>10</v>
      </c>
      <c r="E27" s="10">
        <f t="shared" si="8"/>
        <v>1359.0000000000002</v>
      </c>
      <c r="F27" s="81" t="str">
        <f t="shared" si="11"/>
        <v>15</v>
      </c>
      <c r="G27" s="10">
        <f t="shared" si="9"/>
        <v>2259</v>
      </c>
      <c r="H27" s="5"/>
      <c r="I27" s="5"/>
      <c r="J27" s="5"/>
      <c r="K27" s="5"/>
      <c r="L27" s="5"/>
      <c r="M27" s="5"/>
      <c r="N27" s="5"/>
    </row>
    <row r="28" spans="1:15">
      <c r="A28" s="83" t="s">
        <v>24</v>
      </c>
      <c r="B28" s="10">
        <v>4</v>
      </c>
      <c r="C28" s="10">
        <f t="shared" si="12"/>
        <v>180</v>
      </c>
      <c r="D28" s="82" t="str">
        <f t="shared" si="10"/>
        <v>10</v>
      </c>
      <c r="E28" s="10">
        <f t="shared" si="8"/>
        <v>1296</v>
      </c>
      <c r="F28" s="81" t="str">
        <f t="shared" si="11"/>
        <v>15</v>
      </c>
      <c r="G28" s="10">
        <f t="shared" si="9"/>
        <v>2196</v>
      </c>
      <c r="H28" s="5"/>
      <c r="I28" s="5"/>
      <c r="J28" s="5"/>
      <c r="K28" s="5"/>
      <c r="L28" s="5"/>
      <c r="M28" s="5"/>
      <c r="N28" s="5"/>
    </row>
    <row r="29" spans="1:15">
      <c r="A29" s="83" t="s">
        <v>25</v>
      </c>
      <c r="B29" s="11">
        <v>4.5</v>
      </c>
      <c r="C29" s="10">
        <f t="shared" si="12"/>
        <v>180</v>
      </c>
      <c r="D29" s="82" t="str">
        <f t="shared" si="10"/>
        <v>10</v>
      </c>
      <c r="E29" s="10">
        <f t="shared" si="8"/>
        <v>1233</v>
      </c>
      <c r="F29" s="81" t="str">
        <f t="shared" si="11"/>
        <v>15</v>
      </c>
      <c r="G29" s="10">
        <f t="shared" si="9"/>
        <v>2133</v>
      </c>
      <c r="H29" s="5"/>
      <c r="I29" s="5"/>
      <c r="J29" s="5"/>
      <c r="K29" s="5"/>
      <c r="L29" s="5"/>
      <c r="M29" s="5"/>
      <c r="N29" s="5"/>
    </row>
    <row r="30" spans="1:15">
      <c r="A30" s="83" t="s">
        <v>26</v>
      </c>
      <c r="B30" s="11">
        <v>5</v>
      </c>
      <c r="C30" s="10">
        <f t="shared" si="12"/>
        <v>180</v>
      </c>
      <c r="D30" s="82" t="str">
        <f t="shared" si="10"/>
        <v>10</v>
      </c>
      <c r="E30" s="10">
        <f t="shared" si="8"/>
        <v>1170</v>
      </c>
      <c r="F30" s="81" t="str">
        <f t="shared" si="11"/>
        <v>15</v>
      </c>
      <c r="G30" s="10">
        <f t="shared" si="9"/>
        <v>2070</v>
      </c>
      <c r="H30" s="5"/>
      <c r="I30" s="5"/>
      <c r="J30" s="5"/>
      <c r="K30" s="5"/>
      <c r="L30" s="5"/>
      <c r="M30" s="5"/>
      <c r="N30" s="5"/>
    </row>
    <row r="31" spans="1: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1:15">
      <c r="A32" s="84"/>
      <c r="B32" s="84"/>
      <c r="C32" s="84"/>
      <c r="D32" s="84"/>
      <c r="E32" s="84"/>
      <c r="F32" s="84"/>
      <c r="G32" s="84"/>
      <c r="H32" s="5"/>
      <c r="I32" s="5"/>
      <c r="J32" s="5"/>
      <c r="K32" s="5"/>
      <c r="L32" s="5"/>
      <c r="M32" s="5"/>
      <c r="N32" s="5"/>
    </row>
    <row r="33" spans="1:14">
      <c r="A33" s="84"/>
      <c r="B33" s="84"/>
      <c r="C33" s="84"/>
      <c r="D33" s="84"/>
      <c r="E33" s="84"/>
      <c r="F33" s="84"/>
      <c r="G33" s="84"/>
      <c r="H33" s="5"/>
      <c r="I33" s="5"/>
      <c r="J33" s="5"/>
      <c r="K33" s="5"/>
      <c r="L33" s="5"/>
      <c r="M33" s="5"/>
      <c r="N33" s="5"/>
    </row>
    <row r="34" spans="1:14">
      <c r="A34" s="84"/>
      <c r="B34" s="84"/>
      <c r="C34" s="84"/>
      <c r="D34" s="84"/>
      <c r="E34" s="84"/>
      <c r="F34" s="84"/>
      <c r="G34" s="84"/>
      <c r="H34" s="5"/>
      <c r="I34" s="5"/>
      <c r="J34" s="5"/>
      <c r="K34" s="5"/>
      <c r="L34" s="5"/>
      <c r="M34" s="5"/>
      <c r="N34" s="5"/>
    </row>
    <row r="35" spans="1:14">
      <c r="A35" s="84"/>
      <c r="B35" s="84"/>
      <c r="C35" s="84"/>
      <c r="D35" s="84"/>
      <c r="E35" s="84"/>
      <c r="F35" s="84"/>
      <c r="G35" s="84"/>
      <c r="H35" s="5"/>
      <c r="I35" s="5"/>
      <c r="J35" s="5"/>
      <c r="K35" s="5"/>
      <c r="L35" s="5"/>
      <c r="M35" s="5"/>
      <c r="N35" s="5"/>
    </row>
    <row r="36" spans="1:14">
      <c r="A36" s="84"/>
      <c r="B36" s="84"/>
      <c r="C36" s="84"/>
      <c r="D36" s="84"/>
      <c r="E36" s="84"/>
      <c r="F36" s="84"/>
      <c r="G36" s="84"/>
      <c r="H36" s="5"/>
      <c r="I36" s="5"/>
      <c r="J36" s="5"/>
      <c r="K36" s="5"/>
      <c r="L36" s="5"/>
      <c r="M36" s="5"/>
      <c r="N36" s="5"/>
    </row>
    <row r="37" spans="1:14">
      <c r="A37" s="84"/>
      <c r="B37" s="84"/>
      <c r="C37" s="84"/>
      <c r="D37" s="84"/>
      <c r="E37" s="84"/>
      <c r="F37" s="84"/>
      <c r="G37" s="84"/>
      <c r="H37" s="5"/>
      <c r="I37" s="5"/>
      <c r="J37" s="5"/>
      <c r="K37" s="5"/>
      <c r="L37" s="5"/>
      <c r="M37" s="5"/>
      <c r="N37" s="5"/>
    </row>
    <row r="38" spans="1:14" s="223" customFormat="1">
      <c r="A38" s="222"/>
      <c r="B38" s="222"/>
      <c r="C38" s="222"/>
      <c r="D38" s="222"/>
      <c r="E38" s="222"/>
      <c r="F38" s="222"/>
      <c r="G38" s="222"/>
      <c r="H38" s="222"/>
      <c r="I38" s="222"/>
      <c r="J38" s="222"/>
      <c r="K38" s="222"/>
      <c r="L38" s="222"/>
      <c r="M38" s="222"/>
      <c r="N38" s="222"/>
    </row>
    <row r="39" spans="1:14" s="223" customFormat="1">
      <c r="A39" s="222"/>
      <c r="B39" s="222"/>
      <c r="C39" s="222"/>
      <c r="D39" s="222"/>
      <c r="E39" s="222"/>
      <c r="F39" s="222"/>
      <c r="G39" s="222"/>
      <c r="H39" s="222"/>
      <c r="I39" s="222"/>
      <c r="J39" s="222"/>
      <c r="K39" s="222"/>
      <c r="L39" s="222"/>
      <c r="M39" s="222"/>
      <c r="N39" s="222"/>
    </row>
    <row r="40" spans="1:14" s="223" customFormat="1">
      <c r="A40" s="222"/>
      <c r="B40" s="222"/>
      <c r="C40" s="222"/>
      <c r="D40" s="222"/>
      <c r="E40" s="222"/>
      <c r="F40" s="222"/>
      <c r="G40" s="222"/>
      <c r="H40" s="222"/>
      <c r="I40" s="222"/>
      <c r="J40" s="222"/>
      <c r="K40" s="222"/>
      <c r="L40" s="222"/>
      <c r="M40" s="222"/>
      <c r="N40" s="222"/>
    </row>
    <row r="41" spans="1:14">
      <c r="A41" s="84"/>
      <c r="B41" s="84"/>
      <c r="C41" s="84"/>
      <c r="D41" s="84"/>
      <c r="E41" s="84"/>
      <c r="F41" s="84"/>
      <c r="G41" s="84"/>
      <c r="H41" s="5"/>
      <c r="I41" s="5"/>
      <c r="J41" s="5"/>
      <c r="K41" s="5"/>
      <c r="L41" s="5"/>
      <c r="M41" s="5"/>
      <c r="N41" s="5"/>
    </row>
    <row r="42" spans="1:14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</row>
    <row r="43" spans="1:14">
      <c r="A43" s="84"/>
      <c r="B43" s="84"/>
      <c r="C43" s="84"/>
      <c r="D43" s="84"/>
      <c r="E43" s="84"/>
      <c r="F43" s="84"/>
      <c r="G43" s="84"/>
      <c r="H43" s="5"/>
      <c r="I43" s="5"/>
      <c r="J43" s="5"/>
      <c r="K43" s="5"/>
      <c r="L43" s="5"/>
      <c r="M43" s="5"/>
      <c r="N43" s="5"/>
    </row>
    <row r="44" spans="1:14" ht="15" customHeight="1">
      <c r="A44" s="503" t="s">
        <v>320</v>
      </c>
      <c r="B44" s="503"/>
      <c r="C44" s="503"/>
      <c r="D44" s="503"/>
      <c r="E44" s="503"/>
      <c r="F44" s="503"/>
      <c r="G44" s="503"/>
      <c r="H44" s="503"/>
      <c r="I44" s="503"/>
      <c r="J44" s="503"/>
      <c r="K44" s="503"/>
      <c r="L44" s="503"/>
      <c r="M44" s="503"/>
      <c r="N44" s="503"/>
    </row>
    <row r="45" spans="1:14" ht="15" customHeight="1">
      <c r="A45" s="503"/>
      <c r="B45" s="503"/>
      <c r="C45" s="503"/>
      <c r="D45" s="503"/>
      <c r="E45" s="503"/>
      <c r="F45" s="503"/>
      <c r="G45" s="503"/>
      <c r="H45" s="503"/>
      <c r="I45" s="503"/>
      <c r="J45" s="503"/>
      <c r="K45" s="503"/>
      <c r="L45" s="503"/>
      <c r="M45" s="503"/>
      <c r="N45" s="503"/>
    </row>
    <row r="46" spans="1:14" ht="15" customHeight="1">
      <c r="A46" s="501" t="s">
        <v>27</v>
      </c>
      <c r="B46" s="501"/>
      <c r="C46" s="501"/>
      <c r="D46" s="501"/>
      <c r="E46" s="93"/>
      <c r="F46" s="93"/>
      <c r="G46" s="93"/>
      <c r="H46" s="480" t="s">
        <v>322</v>
      </c>
      <c r="I46" s="480"/>
      <c r="J46" s="480"/>
      <c r="K46" s="480"/>
      <c r="L46" s="480"/>
      <c r="M46" s="12"/>
      <c r="N46" s="12"/>
    </row>
    <row r="47" spans="1:14" ht="15" customHeight="1">
      <c r="A47" s="93"/>
      <c r="B47" s="93"/>
      <c r="C47" s="93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</row>
    <row r="48" spans="1:14">
      <c r="A48" s="84"/>
      <c r="B48" s="84"/>
      <c r="C48" s="84"/>
      <c r="D48" s="84"/>
      <c r="E48" s="84"/>
      <c r="F48" s="12"/>
      <c r="G48" s="12"/>
      <c r="H48" s="87"/>
      <c r="I48" s="87"/>
      <c r="J48" s="87"/>
      <c r="K48" s="87"/>
      <c r="L48" s="87"/>
      <c r="M48" s="87"/>
      <c r="N48" s="12"/>
    </row>
    <row r="49" spans="1:14">
      <c r="A49" s="489" t="s">
        <v>28</v>
      </c>
      <c r="B49" s="489"/>
      <c r="C49" s="489"/>
      <c r="D49" s="489"/>
      <c r="E49" s="84"/>
      <c r="F49" s="12"/>
      <c r="G49" s="12"/>
      <c r="H49" s="87"/>
      <c r="I49" s="87"/>
      <c r="J49" s="87"/>
      <c r="K49" s="87"/>
      <c r="L49" s="87"/>
      <c r="M49" s="87"/>
      <c r="N49" s="12"/>
    </row>
    <row r="50" spans="1:14">
      <c r="A50" s="84"/>
      <c r="B50" s="84"/>
      <c r="C50" s="84"/>
      <c r="D50" s="84"/>
      <c r="E50" s="84"/>
      <c r="F50" s="12"/>
      <c r="G50" s="12"/>
      <c r="H50" s="87"/>
      <c r="I50" s="87"/>
      <c r="J50" s="87"/>
      <c r="K50" s="87"/>
      <c r="L50" s="87"/>
      <c r="M50" s="87"/>
      <c r="N50" s="12"/>
    </row>
    <row r="51" spans="1:14">
      <c r="A51" s="489" t="s">
        <v>29</v>
      </c>
      <c r="B51" s="489"/>
      <c r="C51" s="489"/>
      <c r="D51" s="489"/>
      <c r="E51" s="84"/>
      <c r="F51" s="12"/>
      <c r="G51" s="12"/>
      <c r="H51" s="481" t="s">
        <v>324</v>
      </c>
      <c r="I51" s="481"/>
      <c r="J51" s="481"/>
      <c r="K51" s="86" t="str">
        <f>A7</f>
        <v>150 HP</v>
      </c>
      <c r="L51" s="86" t="str">
        <f>A19</f>
        <v>180 HP</v>
      </c>
      <c r="M51" s="87"/>
      <c r="N51" s="12"/>
    </row>
    <row r="52" spans="1:14">
      <c r="A52" s="84"/>
      <c r="B52" s="84"/>
      <c r="C52" s="84"/>
      <c r="D52" s="84"/>
      <c r="E52" s="84"/>
      <c r="F52" s="12"/>
      <c r="G52" s="12"/>
      <c r="H52" s="481" t="s">
        <v>326</v>
      </c>
      <c r="I52" s="481"/>
      <c r="J52" s="481"/>
      <c r="K52" s="86">
        <v>11.23</v>
      </c>
      <c r="L52" s="86">
        <v>11.21</v>
      </c>
      <c r="M52" s="87"/>
      <c r="N52" s="12"/>
    </row>
    <row r="53" spans="1:14">
      <c r="A53" s="489" t="s">
        <v>30</v>
      </c>
      <c r="B53" s="489"/>
      <c r="C53" s="489"/>
      <c r="D53" s="489"/>
      <c r="E53" s="84"/>
      <c r="F53" s="12"/>
      <c r="G53" s="12"/>
      <c r="H53" s="481" t="s">
        <v>325</v>
      </c>
      <c r="I53" s="481"/>
      <c r="J53" s="481"/>
      <c r="K53" s="86">
        <v>13.35</v>
      </c>
      <c r="L53" s="86">
        <v>13.32</v>
      </c>
      <c r="M53" s="87"/>
      <c r="N53" s="12"/>
    </row>
    <row r="54" spans="1:14">
      <c r="A54" s="84"/>
      <c r="B54" s="84"/>
      <c r="C54" s="84"/>
      <c r="D54" s="84"/>
      <c r="E54" s="84"/>
      <c r="F54" s="505" t="s">
        <v>334</v>
      </c>
      <c r="G54" s="506"/>
      <c r="H54" s="481" t="s">
        <v>327</v>
      </c>
      <c r="I54" s="481"/>
      <c r="J54" s="481"/>
      <c r="K54" s="86">
        <v>11.73</v>
      </c>
      <c r="L54" s="86">
        <v>11.71</v>
      </c>
      <c r="M54" s="87"/>
      <c r="N54" s="12"/>
    </row>
    <row r="55" spans="1:14">
      <c r="A55" s="489" t="s">
        <v>31</v>
      </c>
      <c r="B55" s="489"/>
      <c r="C55" s="489"/>
      <c r="D55" s="489"/>
      <c r="E55" s="84"/>
      <c r="F55" s="35"/>
      <c r="G55" s="35"/>
      <c r="H55" s="481" t="s">
        <v>328</v>
      </c>
      <c r="I55" s="481"/>
      <c r="J55" s="481"/>
      <c r="K55" s="86">
        <v>13.73</v>
      </c>
      <c r="L55" s="86">
        <v>13.71</v>
      </c>
      <c r="M55" s="87"/>
      <c r="N55" s="12"/>
    </row>
    <row r="56" spans="1:14">
      <c r="A56" s="84"/>
      <c r="B56" s="84"/>
      <c r="C56" s="84"/>
      <c r="D56" s="84"/>
      <c r="E56" s="84"/>
      <c r="F56" s="100" t="s">
        <v>32</v>
      </c>
      <c r="G56" s="113" t="str">
        <f>B58</f>
        <v>150</v>
      </c>
      <c r="H56" s="87"/>
      <c r="I56" s="87"/>
      <c r="J56" s="87"/>
      <c r="K56" s="87"/>
      <c r="L56" s="87"/>
      <c r="M56" s="87"/>
      <c r="N56" s="12"/>
    </row>
    <row r="57" spans="1:14">
      <c r="A57" s="84"/>
      <c r="B57" s="84"/>
      <c r="C57" s="84"/>
      <c r="D57" s="84"/>
      <c r="E57" s="84"/>
      <c r="F57" s="101" t="s">
        <v>33</v>
      </c>
      <c r="G57" s="114" t="s">
        <v>359</v>
      </c>
      <c r="H57" s="7" t="s">
        <v>32</v>
      </c>
      <c r="I57" s="7" t="s">
        <v>39</v>
      </c>
      <c r="J57" s="7" t="s">
        <v>330</v>
      </c>
      <c r="K57" s="7">
        <v>180</v>
      </c>
      <c r="L57" s="7" t="s">
        <v>321</v>
      </c>
      <c r="M57" s="87"/>
      <c r="N57" s="12"/>
    </row>
    <row r="58" spans="1:14">
      <c r="A58" s="6" t="s">
        <v>32</v>
      </c>
      <c r="B58" s="7" t="str">
        <f>MID(A7,1,3)</f>
        <v>150</v>
      </c>
      <c r="C58" s="7" t="s">
        <v>331</v>
      </c>
      <c r="D58" s="7" t="str">
        <f>MID(A19,1,3)</f>
        <v>180</v>
      </c>
      <c r="E58" s="7" t="s">
        <v>321</v>
      </c>
      <c r="F58" s="101" t="s">
        <v>35</v>
      </c>
      <c r="G58" s="55">
        <f>AVERAGE(B60,(I59*1000))</f>
        <v>1584.75</v>
      </c>
      <c r="H58" s="9" t="s">
        <v>33</v>
      </c>
      <c r="I58" s="9" t="s">
        <v>329</v>
      </c>
      <c r="J58" s="9"/>
      <c r="K58" s="9" t="s">
        <v>40</v>
      </c>
      <c r="L58" s="9"/>
      <c r="M58" s="87"/>
      <c r="N58" s="12"/>
    </row>
    <row r="59" spans="1:14">
      <c r="A59" s="8" t="s">
        <v>33</v>
      </c>
      <c r="B59" s="9" t="s">
        <v>323</v>
      </c>
      <c r="C59" s="9"/>
      <c r="D59" s="9" t="s">
        <v>332</v>
      </c>
      <c r="E59" s="9"/>
      <c r="F59" s="89" t="s">
        <v>38</v>
      </c>
      <c r="G59" s="55">
        <f>AVERAGE(B61,(I60*1000))</f>
        <v>1811.25</v>
      </c>
      <c r="H59" s="9" t="s">
        <v>35</v>
      </c>
      <c r="I59" s="282">
        <f>K52*(C10/1000)</f>
        <v>1.6845000000000001</v>
      </c>
      <c r="J59" s="282">
        <f>(I59*100)/1.36</f>
        <v>123.86029411764706</v>
      </c>
      <c r="K59" s="282">
        <f>L52*(C22/1000)</f>
        <v>2.0178000000000003</v>
      </c>
      <c r="L59" s="282">
        <f>(K59*100)/1.36</f>
        <v>148.36764705882354</v>
      </c>
      <c r="M59" s="87"/>
      <c r="N59" s="12"/>
    </row>
    <row r="60" spans="1:14">
      <c r="A60" s="8" t="s">
        <v>35</v>
      </c>
      <c r="B60" s="8">
        <f>(C10*(0.9)*(1.1/100)*1000)</f>
        <v>1485</v>
      </c>
      <c r="C60" s="8">
        <f>B60/1000</f>
        <v>1.4850000000000001</v>
      </c>
      <c r="D60" s="8">
        <f>C22*0.9*(1.1/100)*1000</f>
        <v>1782.0000000000002</v>
      </c>
      <c r="E60" s="8">
        <f>D60/1000</f>
        <v>1.7820000000000003</v>
      </c>
      <c r="F60" s="89" t="s">
        <v>37</v>
      </c>
      <c r="G60" s="55">
        <f>AVERAGE(B62,(I61*1000))</f>
        <v>1723.5</v>
      </c>
      <c r="H60" s="91" t="s">
        <v>38</v>
      </c>
      <c r="I60" s="282">
        <f>K53*(C11/1000)</f>
        <v>2.0024999999999999</v>
      </c>
      <c r="J60" s="282">
        <f>(I60*100)/1.36</f>
        <v>147.24264705882351</v>
      </c>
      <c r="K60" s="282">
        <f>L53*(C23/1000)</f>
        <v>2.3976000000000002</v>
      </c>
      <c r="L60" s="282">
        <f>(K60*100)/1.36</f>
        <v>176.29411764705881</v>
      </c>
      <c r="M60" s="87"/>
      <c r="N60" s="12"/>
    </row>
    <row r="61" spans="1:14">
      <c r="A61" s="85" t="s">
        <v>38</v>
      </c>
      <c r="B61" s="8">
        <f>(C11*(0.9)*(1.2/100)*1000)</f>
        <v>1620</v>
      </c>
      <c r="C61" s="8">
        <f>B61/1000</f>
        <v>1.62</v>
      </c>
      <c r="D61" s="8">
        <f>C22*0.9*(1.2/100)*1000</f>
        <v>1944</v>
      </c>
      <c r="E61" s="8">
        <f>D61/1000</f>
        <v>1.944</v>
      </c>
      <c r="F61" s="89" t="s">
        <v>36</v>
      </c>
      <c r="G61" s="55">
        <f>AVERAGE(B63,(I62*1000))</f>
        <v>1974.75</v>
      </c>
      <c r="H61" s="91" t="s">
        <v>37</v>
      </c>
      <c r="I61" s="282">
        <f>K54*(C12/1000)</f>
        <v>1.7595000000000001</v>
      </c>
      <c r="J61" s="282">
        <f>(I61*100)/1.36</f>
        <v>129.375</v>
      </c>
      <c r="K61" s="282">
        <f>L54*(C24/1000)</f>
        <v>2.1078000000000001</v>
      </c>
      <c r="L61" s="282">
        <f>(K61*100)/1.36</f>
        <v>154.98529411764704</v>
      </c>
      <c r="M61" s="87"/>
      <c r="N61" s="12"/>
    </row>
    <row r="62" spans="1:14">
      <c r="A62" s="85" t="s">
        <v>37</v>
      </c>
      <c r="B62" s="8">
        <f>C10*0.9*(1.25/100)*1000</f>
        <v>1687.5</v>
      </c>
      <c r="C62" s="8">
        <f>B62/1000</f>
        <v>1.6875</v>
      </c>
      <c r="D62" s="8">
        <f>C22*0.9*(1.25/100)*1000</f>
        <v>2025</v>
      </c>
      <c r="E62" s="8">
        <f>D62/1000</f>
        <v>2.0249999999999999</v>
      </c>
      <c r="F62" s="35"/>
      <c r="G62" s="35"/>
      <c r="H62" s="88" t="s">
        <v>36</v>
      </c>
      <c r="I62" s="282">
        <f>K55*(C13/1000)</f>
        <v>2.0594999999999999</v>
      </c>
      <c r="J62" s="282">
        <f>(I62*100)/1.36</f>
        <v>151.43382352941174</v>
      </c>
      <c r="K62" s="282">
        <f>L55*(C25/1000)</f>
        <v>2.4678</v>
      </c>
      <c r="L62" s="282">
        <f>(K62*100)/1.36</f>
        <v>181.45588235294116</v>
      </c>
      <c r="M62" s="87"/>
      <c r="N62" s="12"/>
    </row>
    <row r="63" spans="1:14">
      <c r="A63" s="85" t="s">
        <v>36</v>
      </c>
      <c r="B63" s="8">
        <f>C10*0.9*(1.4/100)*1000</f>
        <v>1890</v>
      </c>
      <c r="C63" s="8">
        <f>B63/1000</f>
        <v>1.89</v>
      </c>
      <c r="D63" s="8">
        <f>C22*0.9*(1.4/100)*1000</f>
        <v>2268</v>
      </c>
      <c r="E63" s="8">
        <f>D63/1000</f>
        <v>2.2679999999999998</v>
      </c>
      <c r="F63" s="100" t="s">
        <v>32</v>
      </c>
      <c r="G63" s="115" t="str">
        <f>D58</f>
        <v>180</v>
      </c>
      <c r="H63" s="87"/>
      <c r="I63" s="87"/>
      <c r="J63" s="87"/>
      <c r="K63" s="87"/>
      <c r="L63" s="87"/>
      <c r="M63" s="87"/>
      <c r="N63" s="12"/>
    </row>
    <row r="64" spans="1:14">
      <c r="A64" s="12"/>
      <c r="B64" s="12"/>
      <c r="C64" s="12"/>
      <c r="D64" s="12"/>
      <c r="E64" s="12"/>
      <c r="F64" s="101" t="s">
        <v>33</v>
      </c>
      <c r="G64" s="114" t="s">
        <v>359</v>
      </c>
      <c r="H64" s="12"/>
      <c r="I64" s="12"/>
      <c r="J64" s="12"/>
      <c r="K64" s="12"/>
      <c r="L64" s="12"/>
      <c r="M64" s="12"/>
      <c r="N64" s="12"/>
    </row>
    <row r="65" spans="1:14">
      <c r="A65" s="504" t="s">
        <v>333</v>
      </c>
      <c r="B65" s="504"/>
      <c r="C65" s="504"/>
      <c r="D65" s="504"/>
      <c r="E65" s="504"/>
      <c r="F65" s="101" t="s">
        <v>35</v>
      </c>
      <c r="G65" s="55">
        <f>AVERAGE(E60,K59)*1000</f>
        <v>1899.9</v>
      </c>
      <c r="H65" s="507" t="s">
        <v>42</v>
      </c>
      <c r="I65" s="504"/>
      <c r="J65" s="504"/>
      <c r="K65" s="504"/>
      <c r="L65" s="504"/>
      <c r="M65" s="504"/>
      <c r="N65" s="12"/>
    </row>
    <row r="66" spans="1:14">
      <c r="A66" s="87"/>
      <c r="B66" s="87"/>
      <c r="C66" s="87"/>
      <c r="D66" s="87"/>
      <c r="E66" s="87"/>
      <c r="F66" s="89" t="s">
        <v>38</v>
      </c>
      <c r="G66" s="55">
        <f>AVERAGE(E61,K60)*1000</f>
        <v>2170.7999999999997</v>
      </c>
      <c r="H66" s="87"/>
      <c r="I66" s="87"/>
      <c r="J66" s="87"/>
      <c r="K66" s="87"/>
      <c r="L66" s="87"/>
      <c r="M66" s="87"/>
      <c r="N66" s="12"/>
    </row>
    <row r="67" spans="1:14">
      <c r="A67" s="99"/>
      <c r="B67" s="99"/>
      <c r="C67" s="99"/>
      <c r="D67" s="99"/>
      <c r="E67" s="87"/>
      <c r="F67" s="89" t="s">
        <v>37</v>
      </c>
      <c r="G67" s="55">
        <f>AVERAGE(E62,K61)*1000</f>
        <v>2066.3999999999996</v>
      </c>
      <c r="H67" s="87"/>
      <c r="I67" s="87"/>
      <c r="J67" s="87"/>
      <c r="K67" s="20" t="str">
        <f>K51</f>
        <v>150 HP</v>
      </c>
      <c r="L67" s="20" t="str">
        <f>L51</f>
        <v>180 HP</v>
      </c>
      <c r="M67" s="87"/>
      <c r="N67" s="12"/>
    </row>
    <row r="68" spans="1:14">
      <c r="A68" s="87"/>
      <c r="B68" s="87"/>
      <c r="C68" s="87"/>
      <c r="D68" s="87"/>
      <c r="E68" s="87"/>
      <c r="F68" s="89" t="s">
        <v>36</v>
      </c>
      <c r="G68" s="55">
        <f>AVERAGE(E63,K62)*1000</f>
        <v>2367.8999999999996</v>
      </c>
      <c r="H68" s="87"/>
      <c r="I68" s="484" t="s">
        <v>43</v>
      </c>
      <c r="J68" s="485"/>
      <c r="K68" s="280">
        <f>0.75 *0.2*B73</f>
        <v>21.394125000000003</v>
      </c>
      <c r="L68" s="280">
        <f>0.75 *0.2*C73</f>
        <v>25.648650000000007</v>
      </c>
      <c r="M68" s="486" t="s">
        <v>34</v>
      </c>
      <c r="N68" s="12"/>
    </row>
    <row r="69" spans="1:14">
      <c r="A69" s="496"/>
      <c r="B69" s="496"/>
      <c r="C69" s="87"/>
      <c r="D69" s="87"/>
      <c r="E69" s="87"/>
      <c r="F69" s="35"/>
      <c r="G69" s="35"/>
      <c r="H69" s="87"/>
      <c r="I69" s="484" t="s">
        <v>44</v>
      </c>
      <c r="J69" s="485"/>
      <c r="K69" s="281">
        <f>0.75 *0.25*B73</f>
        <v>26.74265625</v>
      </c>
      <c r="L69" s="281">
        <f>0.75 *0.25*C73</f>
        <v>32.060812500000004</v>
      </c>
      <c r="M69" s="487"/>
      <c r="N69" s="12"/>
    </row>
    <row r="70" spans="1:14">
      <c r="A70" s="87"/>
      <c r="B70" s="87"/>
      <c r="C70" s="87"/>
      <c r="D70" s="87"/>
      <c r="E70" s="87"/>
      <c r="F70" s="12"/>
      <c r="G70" s="12"/>
      <c r="H70" s="87"/>
      <c r="I70" s="484" t="s">
        <v>45</v>
      </c>
      <c r="J70" s="485"/>
      <c r="K70" s="281">
        <f>0.75 *0.28*B73</f>
        <v>29.951775000000001</v>
      </c>
      <c r="L70" s="281">
        <f>0.75 *0.28*C73</f>
        <v>35.908110000000008</v>
      </c>
      <c r="M70" s="487"/>
      <c r="N70" s="12"/>
    </row>
    <row r="71" spans="1:14">
      <c r="A71" s="6" t="s">
        <v>32</v>
      </c>
      <c r="B71" s="7" t="str">
        <f>B58</f>
        <v>150</v>
      </c>
      <c r="C71" s="7" t="str">
        <f>D58</f>
        <v>180</v>
      </c>
      <c r="D71" s="87"/>
      <c r="E71" s="87"/>
      <c r="F71" s="12"/>
      <c r="G71" s="12"/>
      <c r="H71" s="87"/>
      <c r="I71" s="484" t="s">
        <v>46</v>
      </c>
      <c r="J71" s="485"/>
      <c r="K71" s="281">
        <f>0.75 *0.2*B74</f>
        <v>24.451875000000001</v>
      </c>
      <c r="L71" s="281">
        <f>0.75 *0.2*C74</f>
        <v>29.305799999999998</v>
      </c>
      <c r="M71" s="487"/>
      <c r="N71" s="12"/>
    </row>
    <row r="72" spans="1:14">
      <c r="A72" s="8" t="s">
        <v>33</v>
      </c>
      <c r="B72" s="9" t="s">
        <v>41</v>
      </c>
      <c r="C72" s="9" t="s">
        <v>41</v>
      </c>
      <c r="D72" s="87"/>
      <c r="E72" s="87"/>
      <c r="F72" s="12"/>
      <c r="G72" s="12"/>
      <c r="H72" s="87"/>
      <c r="I72" s="494" t="s">
        <v>47</v>
      </c>
      <c r="J72" s="495"/>
      <c r="K72" s="281">
        <f>0.75 *0.25*B74</f>
        <v>30.564843749999998</v>
      </c>
      <c r="L72" s="281">
        <f>0.75 *0.25*C74</f>
        <v>36.632249999999992</v>
      </c>
      <c r="M72" s="487"/>
      <c r="N72" s="12"/>
    </row>
    <row r="73" spans="1:14">
      <c r="A73" s="8" t="s">
        <v>317</v>
      </c>
      <c r="B73" s="282">
        <f>0.09*G58</f>
        <v>142.6275</v>
      </c>
      <c r="C73" s="282">
        <f>0.09*G65</f>
        <v>170.99100000000001</v>
      </c>
      <c r="D73" s="87"/>
      <c r="E73" s="87"/>
      <c r="F73" s="12"/>
      <c r="G73" s="12"/>
      <c r="H73" s="87"/>
      <c r="I73" s="494" t="s">
        <v>48</v>
      </c>
      <c r="J73" s="495"/>
      <c r="K73" s="281">
        <f>0.75 *0.28*B74</f>
        <v>34.232624999999999</v>
      </c>
      <c r="L73" s="281">
        <f>0.75 *0.28*C74</f>
        <v>41.028119999999994</v>
      </c>
      <c r="M73" s="487"/>
      <c r="N73" s="12"/>
    </row>
    <row r="74" spans="1:14">
      <c r="A74" s="88" t="s">
        <v>38</v>
      </c>
      <c r="B74" s="282">
        <f>0.09*G59</f>
        <v>163.01249999999999</v>
      </c>
      <c r="C74" s="282">
        <f>0.09*G66</f>
        <v>195.37199999999996</v>
      </c>
      <c r="D74" s="87"/>
      <c r="E74" s="87"/>
      <c r="F74" s="12"/>
      <c r="G74" s="12"/>
      <c r="H74" s="87"/>
      <c r="I74" s="484" t="s">
        <v>49</v>
      </c>
      <c r="J74" s="485"/>
      <c r="K74" s="281">
        <f>0.75 *0.28*B75</f>
        <v>32.574149999999996</v>
      </c>
      <c r="L74" s="281">
        <f>0.75 *0.28*C75</f>
        <v>39.054959999999994</v>
      </c>
      <c r="M74" s="487"/>
      <c r="N74" s="12"/>
    </row>
    <row r="75" spans="1:14">
      <c r="A75" s="88" t="s">
        <v>37</v>
      </c>
      <c r="B75" s="282">
        <f>0.09*G60</f>
        <v>155.11499999999998</v>
      </c>
      <c r="C75" s="282">
        <f>0.09*G67</f>
        <v>185.97599999999997</v>
      </c>
      <c r="D75" s="87"/>
      <c r="E75" s="87"/>
      <c r="F75" s="12"/>
      <c r="G75" s="12"/>
      <c r="H75" s="87"/>
      <c r="I75" s="484" t="s">
        <v>50</v>
      </c>
      <c r="J75" s="485"/>
      <c r="K75" s="281">
        <f>0.75 *0.3*B75</f>
        <v>34.900874999999992</v>
      </c>
      <c r="L75" s="281">
        <f>0.75 *0.3*C75</f>
        <v>41.844599999999993</v>
      </c>
      <c r="M75" s="487"/>
      <c r="N75" s="12"/>
    </row>
    <row r="76" spans="1:14">
      <c r="A76" s="88" t="s">
        <v>36</v>
      </c>
      <c r="B76" s="282">
        <f>0.09*G61</f>
        <v>177.72749999999999</v>
      </c>
      <c r="C76" s="282">
        <f>0.09*G68</f>
        <v>213.11099999999996</v>
      </c>
      <c r="D76" s="87"/>
      <c r="E76" s="87"/>
      <c r="F76" s="12"/>
      <c r="G76" s="12"/>
      <c r="H76" s="87"/>
      <c r="I76" s="484" t="s">
        <v>51</v>
      </c>
      <c r="J76" s="485"/>
      <c r="K76" s="281">
        <f>0.75 *0.28*B76</f>
        <v>37.322775</v>
      </c>
      <c r="L76" s="281">
        <f>0.75 *0.28*C76</f>
        <v>44.753309999999999</v>
      </c>
      <c r="M76" s="487"/>
      <c r="N76" s="12"/>
    </row>
    <row r="77" spans="1:14">
      <c r="A77" s="98"/>
      <c r="B77" s="98"/>
      <c r="C77" s="98"/>
      <c r="D77" s="87"/>
      <c r="E77" s="87"/>
      <c r="F77" s="12"/>
      <c r="G77" s="12"/>
      <c r="H77" s="87"/>
      <c r="I77" s="484" t="s">
        <v>52</v>
      </c>
      <c r="J77" s="485"/>
      <c r="K77" s="281">
        <f>0.75 *0.3*B76</f>
        <v>39.988687499999997</v>
      </c>
      <c r="L77" s="281">
        <f>0.75 *0.3*C76</f>
        <v>47.949974999999988</v>
      </c>
      <c r="M77" s="488"/>
      <c r="N77" s="12"/>
    </row>
    <row r="78" spans="1:14">
      <c r="A78" s="92"/>
      <c r="B78" s="92"/>
      <c r="C78" s="9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</row>
    <row r="79" spans="1:14" ht="15" customHeight="1">
      <c r="A79" s="92"/>
      <c r="B79" s="92"/>
      <c r="C79" s="9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</row>
    <row r="80" spans="1:14" ht="15" customHeight="1">
      <c r="A80" s="493" t="s">
        <v>54</v>
      </c>
      <c r="B80" s="493"/>
      <c r="C80" s="493"/>
      <c r="D80" s="493"/>
      <c r="E80" s="493"/>
      <c r="F80" s="493"/>
      <c r="G80" s="493"/>
      <c r="H80" s="493"/>
      <c r="I80" s="493"/>
      <c r="J80" s="493"/>
      <c r="K80" s="493"/>
      <c r="L80" s="493"/>
      <c r="M80" s="493"/>
      <c r="N80" s="493"/>
    </row>
    <row r="81" spans="1:14" ht="15" customHeight="1">
      <c r="A81" s="493"/>
      <c r="B81" s="493"/>
      <c r="C81" s="493"/>
      <c r="D81" s="493"/>
      <c r="E81" s="493"/>
      <c r="F81" s="493"/>
      <c r="G81" s="493"/>
      <c r="H81" s="493"/>
      <c r="I81" s="493"/>
      <c r="J81" s="493"/>
      <c r="K81" s="493"/>
      <c r="L81" s="493"/>
      <c r="M81" s="493"/>
      <c r="N81" s="493"/>
    </row>
    <row r="82" spans="1:14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</row>
    <row r="83" spans="1:14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</row>
    <row r="84" spans="1:1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</row>
    <row r="85" spans="1:14">
      <c r="A85" s="16"/>
      <c r="B85" s="17"/>
      <c r="C85" s="490" t="s">
        <v>58</v>
      </c>
      <c r="D85" s="491"/>
      <c r="E85" s="484" t="s">
        <v>44</v>
      </c>
      <c r="F85" s="485"/>
      <c r="G85" s="484" t="s">
        <v>45</v>
      </c>
      <c r="H85" s="485"/>
      <c r="I85" s="484" t="s">
        <v>46</v>
      </c>
      <c r="J85" s="485"/>
      <c r="K85" s="484" t="s">
        <v>47</v>
      </c>
      <c r="L85" s="485"/>
      <c r="M85" s="12"/>
      <c r="N85" s="12"/>
    </row>
    <row r="86" spans="1:14">
      <c r="A86" s="19" t="s">
        <v>8</v>
      </c>
      <c r="B86" s="19" t="s">
        <v>56</v>
      </c>
      <c r="C86" s="478" t="str">
        <f>K67</f>
        <v>150 HP</v>
      </c>
      <c r="D86" s="478" t="str">
        <f>L67</f>
        <v>180 HP</v>
      </c>
      <c r="E86" s="478" t="str">
        <f t="shared" ref="E86:J86" si="13">C86</f>
        <v>150 HP</v>
      </c>
      <c r="F86" s="478" t="str">
        <f t="shared" si="13"/>
        <v>180 HP</v>
      </c>
      <c r="G86" s="478" t="str">
        <f t="shared" si="13"/>
        <v>150 HP</v>
      </c>
      <c r="H86" s="478" t="str">
        <f t="shared" si="13"/>
        <v>180 HP</v>
      </c>
      <c r="I86" s="478" t="str">
        <f t="shared" si="13"/>
        <v>150 HP</v>
      </c>
      <c r="J86" s="478" t="str">
        <f t="shared" si="13"/>
        <v>180 HP</v>
      </c>
      <c r="K86" s="478" t="str">
        <f>G86</f>
        <v>150 HP</v>
      </c>
      <c r="L86" s="478" t="str">
        <f>H86</f>
        <v>180 HP</v>
      </c>
      <c r="M86" s="12"/>
      <c r="N86" s="12"/>
    </row>
    <row r="87" spans="1:14">
      <c r="A87" s="14" t="s">
        <v>57</v>
      </c>
      <c r="B87" s="14" t="s">
        <v>55</v>
      </c>
      <c r="C87" s="479"/>
      <c r="D87" s="479"/>
      <c r="E87" s="479"/>
      <c r="F87" s="479"/>
      <c r="G87" s="479"/>
      <c r="H87" s="479"/>
      <c r="I87" s="479"/>
      <c r="J87" s="479"/>
      <c r="K87" s="479"/>
      <c r="L87" s="479"/>
      <c r="M87" s="12"/>
      <c r="N87" s="12"/>
    </row>
    <row r="88" spans="1:14">
      <c r="A88" s="13">
        <v>1</v>
      </c>
      <c r="B88" s="13"/>
      <c r="C88" s="279">
        <f>(150*K68)/A88</f>
        <v>3209.1187500000005</v>
      </c>
      <c r="D88" s="279">
        <f>150*L68/A88</f>
        <v>3847.297500000001</v>
      </c>
      <c r="E88" s="279">
        <f>150*K69/A88</f>
        <v>4011.3984375</v>
      </c>
      <c r="F88" s="279">
        <f>150*L69/A88</f>
        <v>4809.1218750000007</v>
      </c>
      <c r="G88" s="279">
        <f>150*K70/A88</f>
        <v>4492.7662500000006</v>
      </c>
      <c r="H88" s="279">
        <f>150*L70/A88</f>
        <v>5386.2165000000014</v>
      </c>
      <c r="I88" s="279">
        <f>150*K71/A88</f>
        <v>3667.78125</v>
      </c>
      <c r="J88" s="279">
        <f>150*L71/A88</f>
        <v>4395.87</v>
      </c>
      <c r="K88" s="279">
        <f>150*K72/A88</f>
        <v>4584.7265625</v>
      </c>
      <c r="L88" s="279">
        <f>150*L72/A88</f>
        <v>5494.8374999999987</v>
      </c>
      <c r="M88" s="12"/>
      <c r="N88" s="12"/>
    </row>
    <row r="89" spans="1:14">
      <c r="A89" s="13">
        <v>1.5</v>
      </c>
      <c r="B89" s="13"/>
      <c r="C89" s="279">
        <f>150*K68/A89</f>
        <v>2139.4125000000004</v>
      </c>
      <c r="D89" s="279">
        <f>150*L68/A89</f>
        <v>2564.8650000000007</v>
      </c>
      <c r="E89" s="279">
        <f>150*K69/A89</f>
        <v>2674.265625</v>
      </c>
      <c r="F89" s="279">
        <f>150*L69/A89</f>
        <v>3206.0812500000006</v>
      </c>
      <c r="G89" s="279">
        <f>150*K70/A89</f>
        <v>2995.1775000000002</v>
      </c>
      <c r="H89" s="279">
        <f>150*L70/A89</f>
        <v>3590.8110000000011</v>
      </c>
      <c r="I89" s="279">
        <f>150*K71/A89</f>
        <v>2445.1875</v>
      </c>
      <c r="J89" s="279">
        <f>150*L71/A89</f>
        <v>2930.58</v>
      </c>
      <c r="K89" s="279">
        <f>150*K72/A89</f>
        <v>3056.484375</v>
      </c>
      <c r="L89" s="279">
        <f>150*L72/A89</f>
        <v>3663.224999999999</v>
      </c>
      <c r="M89" s="12"/>
      <c r="N89" s="12"/>
    </row>
    <row r="90" spans="1:14">
      <c r="A90" s="13">
        <v>2</v>
      </c>
      <c r="B90" s="13"/>
      <c r="C90" s="279">
        <f>150*K68/A90</f>
        <v>1604.5593750000003</v>
      </c>
      <c r="D90" s="279">
        <f>150*L68/A90</f>
        <v>1923.6487500000005</v>
      </c>
      <c r="E90" s="279">
        <f>150*K69/A90</f>
        <v>2005.69921875</v>
      </c>
      <c r="F90" s="279">
        <f>150*L69/A90</f>
        <v>2404.5609375000004</v>
      </c>
      <c r="G90" s="279">
        <f>150*K70/A90</f>
        <v>2246.3831250000003</v>
      </c>
      <c r="H90" s="279">
        <f>150*L70/A90</f>
        <v>2693.1082500000007</v>
      </c>
      <c r="I90" s="279">
        <f>150*K71/A90</f>
        <v>1833.890625</v>
      </c>
      <c r="J90" s="279">
        <f>150*L71/A90</f>
        <v>2197.9349999999999</v>
      </c>
      <c r="K90" s="279">
        <f>150*K72/A90</f>
        <v>2292.36328125</v>
      </c>
      <c r="L90" s="279">
        <f>150*L72/A90</f>
        <v>2747.4187499999994</v>
      </c>
      <c r="M90" s="12"/>
      <c r="N90" s="12"/>
    </row>
    <row r="91" spans="1:14">
      <c r="A91" s="13">
        <v>2.5</v>
      </c>
      <c r="B91" s="13"/>
      <c r="C91" s="279">
        <f>150*K68/A91</f>
        <v>1283.6475000000003</v>
      </c>
      <c r="D91" s="279">
        <f>150*L68/A91</f>
        <v>1538.9190000000003</v>
      </c>
      <c r="E91" s="279">
        <f>150*K69/A91</f>
        <v>1604.559375</v>
      </c>
      <c r="F91" s="279">
        <f>150*L69/A91</f>
        <v>1923.6487500000003</v>
      </c>
      <c r="G91" s="279">
        <f>150*K70/A91</f>
        <v>1797.1065000000003</v>
      </c>
      <c r="H91" s="279">
        <f>150*L70/A91</f>
        <v>2154.4866000000006</v>
      </c>
      <c r="I91" s="279">
        <f>150*K71/A91</f>
        <v>1467.1125</v>
      </c>
      <c r="J91" s="279">
        <f>150*L71/A91</f>
        <v>1758.348</v>
      </c>
      <c r="K91" s="279">
        <f>150*K72/A91</f>
        <v>1833.890625</v>
      </c>
      <c r="L91" s="279">
        <f>150*L72/A91</f>
        <v>2197.9349999999995</v>
      </c>
      <c r="M91" s="12"/>
      <c r="N91" s="12"/>
    </row>
    <row r="92" spans="1:14">
      <c r="A92" s="13">
        <v>3</v>
      </c>
      <c r="B92" s="13"/>
      <c r="C92" s="279">
        <f>150*K68/A92</f>
        <v>1069.7062500000002</v>
      </c>
      <c r="D92" s="279">
        <f>150*L68/A92</f>
        <v>1282.4325000000003</v>
      </c>
      <c r="E92" s="279">
        <f>150*K69/A92</f>
        <v>1337.1328125</v>
      </c>
      <c r="F92" s="279">
        <f>150*L69/A92</f>
        <v>1603.0406250000003</v>
      </c>
      <c r="G92" s="279">
        <f>150*K70/A92</f>
        <v>1497.5887500000001</v>
      </c>
      <c r="H92" s="279">
        <f>150*L70/A92</f>
        <v>1795.4055000000005</v>
      </c>
      <c r="I92" s="279">
        <f>150*K71/A92</f>
        <v>1222.59375</v>
      </c>
      <c r="J92" s="279">
        <f>150*L71/A92</f>
        <v>1465.29</v>
      </c>
      <c r="K92" s="279">
        <f>150*K72/A92</f>
        <v>1528.2421875</v>
      </c>
      <c r="L92" s="279">
        <f>150*L72/A92</f>
        <v>1831.6124999999995</v>
      </c>
      <c r="M92" s="12"/>
      <c r="N92" s="12"/>
    </row>
    <row r="93" spans="1:14">
      <c r="A93" s="13">
        <v>3.5</v>
      </c>
      <c r="B93" s="13"/>
      <c r="C93" s="279">
        <f>150*K68/A93</f>
        <v>916.89107142857154</v>
      </c>
      <c r="D93" s="279">
        <f>150*L68/A93</f>
        <v>1099.2278571428574</v>
      </c>
      <c r="E93" s="279">
        <f>150*K69/A93</f>
        <v>1146.1138392857142</v>
      </c>
      <c r="F93" s="279">
        <f>150*L69/A93</f>
        <v>1374.0348214285716</v>
      </c>
      <c r="G93" s="279">
        <f>150*K70/A93</f>
        <v>1283.6475000000003</v>
      </c>
      <c r="H93" s="279">
        <f>150*L70/A93</f>
        <v>1538.9190000000003</v>
      </c>
      <c r="I93" s="279">
        <f>150*K71/A93</f>
        <v>1047.9375</v>
      </c>
      <c r="J93" s="279">
        <f>150*L71/A93</f>
        <v>1255.962857142857</v>
      </c>
      <c r="K93" s="279">
        <f>150*K72/A93</f>
        <v>1309.921875</v>
      </c>
      <c r="L93" s="279">
        <f>150*L72/A93</f>
        <v>1569.953571428571</v>
      </c>
      <c r="M93" s="12"/>
      <c r="N93" s="12"/>
    </row>
    <row r="94" spans="1:14">
      <c r="A94" s="13">
        <v>4</v>
      </c>
      <c r="B94" s="13"/>
      <c r="C94" s="279">
        <f>150*K68/A94</f>
        <v>802.27968750000014</v>
      </c>
      <c r="D94" s="279">
        <f>150*L68/A94</f>
        <v>961.82437500000026</v>
      </c>
      <c r="E94" s="279">
        <f>150*K69/A94</f>
        <v>1002.849609375</v>
      </c>
      <c r="F94" s="279">
        <f>150*L69/A94</f>
        <v>1202.2804687500002</v>
      </c>
      <c r="G94" s="279">
        <f>150*K70/A94</f>
        <v>1123.1915625000001</v>
      </c>
      <c r="H94" s="279">
        <f>150*L70/A94</f>
        <v>1346.5541250000003</v>
      </c>
      <c r="I94" s="279">
        <f>150*K71/A94</f>
        <v>916.9453125</v>
      </c>
      <c r="J94" s="279">
        <f>150*L71/A94</f>
        <v>1098.9675</v>
      </c>
      <c r="K94" s="279">
        <f>150*K72/A94</f>
        <v>1146.181640625</v>
      </c>
      <c r="L94" s="279">
        <f>150*L72/A94</f>
        <v>1373.7093749999997</v>
      </c>
      <c r="M94" s="12"/>
      <c r="N94" s="12"/>
    </row>
    <row r="95" spans="1:14">
      <c r="A95" s="13">
        <v>4.5</v>
      </c>
      <c r="B95" s="13"/>
      <c r="C95" s="279">
        <f>150*K68/A95</f>
        <v>713.13750000000016</v>
      </c>
      <c r="D95" s="279">
        <f>150*L68/A95</f>
        <v>854.95500000000027</v>
      </c>
      <c r="E95" s="279">
        <f>150*K69/A95</f>
        <v>891.421875</v>
      </c>
      <c r="F95" s="279">
        <f>150*L69/A95</f>
        <v>1068.6937500000001</v>
      </c>
      <c r="G95" s="279">
        <f>150*K70/A95</f>
        <v>998.39250000000015</v>
      </c>
      <c r="H95" s="279">
        <f>150*L70/A95</f>
        <v>1196.9370000000004</v>
      </c>
      <c r="I95" s="279">
        <f>150*K71/A95</f>
        <v>815.0625</v>
      </c>
      <c r="J95" s="279">
        <f>150*L71/A95</f>
        <v>976.86</v>
      </c>
      <c r="K95" s="279">
        <f>150*K72/A95</f>
        <v>1018.828125</v>
      </c>
      <c r="L95" s="279">
        <f>150*L72/A95</f>
        <v>1221.0749999999998</v>
      </c>
      <c r="M95" s="12"/>
      <c r="N95" s="12"/>
    </row>
    <row r="96" spans="1:14">
      <c r="A96" s="13">
        <v>5</v>
      </c>
      <c r="B96" s="13"/>
      <c r="C96" s="279">
        <f>150*K68/A96</f>
        <v>641.82375000000013</v>
      </c>
      <c r="D96" s="279">
        <f>150*L68/A96</f>
        <v>769.45950000000016</v>
      </c>
      <c r="E96" s="279">
        <f>150*K69/A96</f>
        <v>802.27968750000002</v>
      </c>
      <c r="F96" s="279">
        <f>150*L69/A96</f>
        <v>961.82437500000015</v>
      </c>
      <c r="G96" s="279">
        <f>150*K70/A96</f>
        <v>898.55325000000016</v>
      </c>
      <c r="H96" s="279">
        <f>150*L70/A96</f>
        <v>1077.2433000000003</v>
      </c>
      <c r="I96" s="279">
        <f>150*K71/A96</f>
        <v>733.55624999999998</v>
      </c>
      <c r="J96" s="279">
        <f>150*L71/A96</f>
        <v>879.17399999999998</v>
      </c>
      <c r="K96" s="279">
        <f>150*K72/A96</f>
        <v>916.9453125</v>
      </c>
      <c r="L96" s="279">
        <f>150*L72/A96</f>
        <v>1098.9674999999997</v>
      </c>
      <c r="M96" s="12"/>
      <c r="N96" s="12"/>
    </row>
    <row r="97" spans="1:14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</row>
    <row r="98" spans="1:14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</row>
    <row r="99" spans="1:14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</row>
    <row r="100" spans="1:14">
      <c r="A100" s="12"/>
      <c r="B100" s="12"/>
      <c r="C100" s="494" t="s">
        <v>48</v>
      </c>
      <c r="D100" s="495"/>
      <c r="E100" s="484" t="s">
        <v>49</v>
      </c>
      <c r="F100" s="485"/>
      <c r="G100" s="484" t="s">
        <v>50</v>
      </c>
      <c r="H100" s="485"/>
      <c r="I100" s="484" t="s">
        <v>51</v>
      </c>
      <c r="J100" s="485"/>
      <c r="K100" s="484" t="s">
        <v>52</v>
      </c>
      <c r="L100" s="485"/>
      <c r="M100" s="12"/>
      <c r="N100" s="12"/>
    </row>
    <row r="101" spans="1:14">
      <c r="A101" s="12"/>
      <c r="B101" s="12"/>
      <c r="C101" s="478" t="str">
        <f>C86</f>
        <v>150 HP</v>
      </c>
      <c r="D101" s="478" t="str">
        <f>D86</f>
        <v>180 HP</v>
      </c>
      <c r="E101" s="478" t="str">
        <f t="shared" ref="E101:L101" si="14">E86</f>
        <v>150 HP</v>
      </c>
      <c r="F101" s="478" t="str">
        <f t="shared" si="14"/>
        <v>180 HP</v>
      </c>
      <c r="G101" s="478" t="str">
        <f t="shared" si="14"/>
        <v>150 HP</v>
      </c>
      <c r="H101" s="478" t="str">
        <f t="shared" si="14"/>
        <v>180 HP</v>
      </c>
      <c r="I101" s="478" t="str">
        <f t="shared" si="14"/>
        <v>150 HP</v>
      </c>
      <c r="J101" s="478" t="str">
        <f t="shared" si="14"/>
        <v>180 HP</v>
      </c>
      <c r="K101" s="478" t="str">
        <f t="shared" si="14"/>
        <v>150 HP</v>
      </c>
      <c r="L101" s="478" t="str">
        <f t="shared" si="14"/>
        <v>180 HP</v>
      </c>
      <c r="M101" s="12"/>
      <c r="N101" s="12"/>
    </row>
    <row r="102" spans="1:14">
      <c r="A102" s="12"/>
      <c r="B102" s="12"/>
      <c r="C102" s="479"/>
      <c r="D102" s="479"/>
      <c r="E102" s="479"/>
      <c r="F102" s="479"/>
      <c r="G102" s="479"/>
      <c r="H102" s="479"/>
      <c r="I102" s="479"/>
      <c r="J102" s="479"/>
      <c r="K102" s="479"/>
      <c r="L102" s="479"/>
      <c r="M102" s="12"/>
      <c r="N102" s="12"/>
    </row>
    <row r="103" spans="1:14">
      <c r="A103" s="12"/>
      <c r="B103" s="12"/>
      <c r="C103" s="279">
        <f>150*K73/A88</f>
        <v>5134.8937500000002</v>
      </c>
      <c r="D103" s="279">
        <f>150*L73/A88</f>
        <v>6154.2179999999989</v>
      </c>
      <c r="E103" s="279">
        <f>150*K74/A88</f>
        <v>4886.1224999999995</v>
      </c>
      <c r="F103" s="279">
        <f>150*L74/A88</f>
        <v>5858.2439999999988</v>
      </c>
      <c r="G103" s="279">
        <f>150*K75/A88</f>
        <v>5235.1312499999985</v>
      </c>
      <c r="H103" s="279">
        <f>150*L75/A88</f>
        <v>6276.6899999999987</v>
      </c>
      <c r="I103" s="279">
        <f>150*K76/A88</f>
        <v>5598.4162500000002</v>
      </c>
      <c r="J103" s="279">
        <f>150*L76/A88</f>
        <v>6712.9965000000002</v>
      </c>
      <c r="K103" s="279">
        <f>150*K77/A88</f>
        <v>5998.3031249999995</v>
      </c>
      <c r="L103" s="279">
        <f>150*L77/A88</f>
        <v>7192.4962499999983</v>
      </c>
      <c r="M103" s="12"/>
      <c r="N103" s="12"/>
    </row>
    <row r="104" spans="1:14">
      <c r="A104" s="12"/>
      <c r="B104" s="12"/>
      <c r="C104" s="279">
        <f>150*K73/A89</f>
        <v>3423.2625000000003</v>
      </c>
      <c r="D104" s="279">
        <f>150*L73/A89</f>
        <v>4102.811999999999</v>
      </c>
      <c r="E104" s="279">
        <f>150*K74/A89</f>
        <v>3257.4149999999995</v>
      </c>
      <c r="F104" s="279">
        <f>150*L74/A89</f>
        <v>3905.4959999999992</v>
      </c>
      <c r="G104" s="279">
        <f>150*K75/A89</f>
        <v>3490.0874999999992</v>
      </c>
      <c r="H104" s="279">
        <f>150*L75/A89</f>
        <v>4184.4599999999991</v>
      </c>
      <c r="I104" s="279">
        <f>150*K76/A89</f>
        <v>3732.2775000000001</v>
      </c>
      <c r="J104" s="279">
        <f>150*L76/A89</f>
        <v>4475.3310000000001</v>
      </c>
      <c r="K104" s="279">
        <f>150*K77/A89</f>
        <v>3998.8687499999996</v>
      </c>
      <c r="L104" s="279">
        <f>150*L77/A89</f>
        <v>4794.9974999999986</v>
      </c>
      <c r="M104" s="12"/>
      <c r="N104" s="12"/>
    </row>
    <row r="105" spans="1:14">
      <c r="A105" s="12"/>
      <c r="B105" s="12"/>
      <c r="C105" s="279">
        <f>150*K73/A90</f>
        <v>2567.4468750000001</v>
      </c>
      <c r="D105" s="279">
        <f>150*L73/A90</f>
        <v>3077.1089999999995</v>
      </c>
      <c r="E105" s="279">
        <f>150*K74/A90</f>
        <v>2443.0612499999997</v>
      </c>
      <c r="F105" s="279">
        <f>150*L74/A90</f>
        <v>2929.1219999999994</v>
      </c>
      <c r="G105" s="279">
        <f>150*K75/A90</f>
        <v>2617.5656249999993</v>
      </c>
      <c r="H105" s="279">
        <f>150*L75/A90</f>
        <v>3138.3449999999993</v>
      </c>
      <c r="I105" s="279">
        <f>150*K76/A90</f>
        <v>2799.2081250000001</v>
      </c>
      <c r="J105" s="279">
        <f>150*L76/A90</f>
        <v>3356.4982500000001</v>
      </c>
      <c r="K105" s="279">
        <f>150*K77/A90</f>
        <v>2999.1515624999997</v>
      </c>
      <c r="L105" s="279">
        <f>150*L77/A90</f>
        <v>3596.2481249999992</v>
      </c>
      <c r="M105" s="12"/>
      <c r="N105" s="12"/>
    </row>
    <row r="106" spans="1:14">
      <c r="A106" s="12"/>
      <c r="B106" s="12"/>
      <c r="C106" s="279">
        <f>150*K73/A91</f>
        <v>2053.9575</v>
      </c>
      <c r="D106" s="279">
        <f>150*L73/A91</f>
        <v>2461.6871999999994</v>
      </c>
      <c r="E106" s="279">
        <f>150*K74/A91</f>
        <v>1954.4489999999998</v>
      </c>
      <c r="F106" s="279">
        <f>150*L74/A91</f>
        <v>2343.2975999999994</v>
      </c>
      <c r="G106" s="279">
        <f>150*K75/A91</f>
        <v>2094.0524999999993</v>
      </c>
      <c r="H106" s="279">
        <f>150*L75/A91</f>
        <v>2510.6759999999995</v>
      </c>
      <c r="I106" s="279">
        <f>150*K76/A91</f>
        <v>2239.3665000000001</v>
      </c>
      <c r="J106" s="279">
        <f>150*L76/A91</f>
        <v>2685.1986000000002</v>
      </c>
      <c r="K106" s="279">
        <f>150*K77/A91</f>
        <v>2399.32125</v>
      </c>
      <c r="L106" s="279">
        <f>150*L77/A91</f>
        <v>2876.9984999999992</v>
      </c>
      <c r="M106" s="12"/>
      <c r="N106" s="12"/>
    </row>
    <row r="107" spans="1:14">
      <c r="A107" s="12"/>
      <c r="B107" s="12"/>
      <c r="C107" s="279">
        <f>150*K73/A92</f>
        <v>1711.6312500000001</v>
      </c>
      <c r="D107" s="279">
        <f>150*L73/A92</f>
        <v>2051.4059999999995</v>
      </c>
      <c r="E107" s="279">
        <f>150*K74/A92</f>
        <v>1628.7074999999998</v>
      </c>
      <c r="F107" s="279">
        <f>150*L74/A92</f>
        <v>1952.7479999999996</v>
      </c>
      <c r="G107" s="279">
        <f>150*K75/A92</f>
        <v>1745.0437499999996</v>
      </c>
      <c r="H107" s="279">
        <f>150*L75/A92</f>
        <v>2092.2299999999996</v>
      </c>
      <c r="I107" s="279">
        <f>150*K76/A92</f>
        <v>1866.1387500000001</v>
      </c>
      <c r="J107" s="279">
        <f>150*L76/A92</f>
        <v>2237.6655000000001</v>
      </c>
      <c r="K107" s="279">
        <f>150*K77/A92</f>
        <v>1999.4343749999998</v>
      </c>
      <c r="L107" s="279">
        <f>150*L77/A92</f>
        <v>2397.4987499999993</v>
      </c>
      <c r="M107" s="12"/>
      <c r="N107" s="12"/>
    </row>
    <row r="108" spans="1:14">
      <c r="A108" s="12"/>
      <c r="B108" s="12"/>
      <c r="C108" s="279">
        <f>150*K73/A93</f>
        <v>1467.1125</v>
      </c>
      <c r="D108" s="279">
        <f>150*L73/A93</f>
        <v>1758.3479999999997</v>
      </c>
      <c r="E108" s="279">
        <f>150*K74/A93</f>
        <v>1396.0349999999999</v>
      </c>
      <c r="F108" s="279">
        <f>150*L74/A93</f>
        <v>1673.7839999999997</v>
      </c>
      <c r="G108" s="279">
        <f>150*K75/A93</f>
        <v>1495.7517857142852</v>
      </c>
      <c r="H108" s="279">
        <f>150*L75/A93</f>
        <v>1793.3399999999997</v>
      </c>
      <c r="I108" s="279">
        <f>150*K76/A93</f>
        <v>1599.5475000000001</v>
      </c>
      <c r="J108" s="279">
        <f>150*L76/A93</f>
        <v>1917.999</v>
      </c>
      <c r="K108" s="279">
        <f>150*K77/A93</f>
        <v>1713.8008928571428</v>
      </c>
      <c r="L108" s="279">
        <f>150*L77/A93</f>
        <v>2054.9989285714282</v>
      </c>
      <c r="M108" s="12"/>
      <c r="N108" s="12"/>
    </row>
    <row r="109" spans="1:14">
      <c r="A109" s="12"/>
      <c r="B109" s="12"/>
      <c r="C109" s="279">
        <f>150*K73/A94</f>
        <v>1283.7234375</v>
      </c>
      <c r="D109" s="279">
        <f>150*L73/A94</f>
        <v>1538.5544999999997</v>
      </c>
      <c r="E109" s="279">
        <f>150*K74/A94</f>
        <v>1221.5306249999999</v>
      </c>
      <c r="F109" s="279">
        <f>150*L74/A94</f>
        <v>1464.5609999999997</v>
      </c>
      <c r="G109" s="279">
        <f>150*K75/A94</f>
        <v>1308.7828124999996</v>
      </c>
      <c r="H109" s="279">
        <f>150*L75/A94</f>
        <v>1569.1724999999997</v>
      </c>
      <c r="I109" s="279">
        <f>150*K76/A94</f>
        <v>1399.6040625000001</v>
      </c>
      <c r="J109" s="279">
        <f>150*L76/A94</f>
        <v>1678.249125</v>
      </c>
      <c r="K109" s="279">
        <f>150*K77/A94</f>
        <v>1499.5757812499999</v>
      </c>
      <c r="L109" s="279">
        <f>150*L77/A94</f>
        <v>1798.1240624999996</v>
      </c>
      <c r="M109" s="12"/>
      <c r="N109" s="12"/>
    </row>
    <row r="110" spans="1:14">
      <c r="A110" s="12"/>
      <c r="B110" s="12"/>
      <c r="C110" s="279">
        <f>150*K73/A95</f>
        <v>1141.0875000000001</v>
      </c>
      <c r="D110" s="279">
        <f>150*L73/A95</f>
        <v>1367.6039999999998</v>
      </c>
      <c r="E110" s="279">
        <f>150*K74/A95</f>
        <v>1085.8049999999998</v>
      </c>
      <c r="F110" s="279">
        <f>150*L74/A95</f>
        <v>1301.8319999999997</v>
      </c>
      <c r="G110" s="279">
        <f>150*K75/A95</f>
        <v>1163.3624999999997</v>
      </c>
      <c r="H110" s="279">
        <f>150*L75/A95</f>
        <v>1394.8199999999997</v>
      </c>
      <c r="I110" s="279">
        <f>150*K76/A95</f>
        <v>1244.0925</v>
      </c>
      <c r="J110" s="279">
        <f>150*L76/A95</f>
        <v>1491.777</v>
      </c>
      <c r="K110" s="279">
        <f>150*K77/A95</f>
        <v>1332.95625</v>
      </c>
      <c r="L110" s="279">
        <f>150*L77/A95</f>
        <v>1598.3324999999995</v>
      </c>
      <c r="M110" s="12"/>
      <c r="N110" s="12"/>
    </row>
    <row r="111" spans="1:14">
      <c r="A111" s="12"/>
      <c r="B111" s="12"/>
      <c r="C111" s="279">
        <f>150*K73/A96</f>
        <v>1026.97875</v>
      </c>
      <c r="D111" s="279">
        <f>150*L73/A96</f>
        <v>1230.8435999999997</v>
      </c>
      <c r="E111" s="279">
        <f>150*K74/A96</f>
        <v>977.22449999999992</v>
      </c>
      <c r="F111" s="279">
        <f>150*L74/A96</f>
        <v>1171.6487999999997</v>
      </c>
      <c r="G111" s="279">
        <f>150*K75/A96</f>
        <v>1047.0262499999997</v>
      </c>
      <c r="H111" s="279">
        <f>150*L75/A96</f>
        <v>1255.3379999999997</v>
      </c>
      <c r="I111" s="279">
        <f>150*K76/A96</f>
        <v>1119.68325</v>
      </c>
      <c r="J111" s="279">
        <f>150*L76/A96</f>
        <v>1342.5993000000001</v>
      </c>
      <c r="K111" s="279">
        <f>150*K77/A96</f>
        <v>1199.660625</v>
      </c>
      <c r="L111" s="279">
        <f>150*L77/A96</f>
        <v>1438.4992499999996</v>
      </c>
      <c r="M111" s="12"/>
      <c r="N111" s="12"/>
    </row>
    <row r="112" spans="1:14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</row>
    <row r="113" spans="1:14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</row>
    <row r="114" spans="1: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</row>
    <row r="115" spans="1:14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</row>
    <row r="116" spans="1:14">
      <c r="A116" s="502" t="s">
        <v>60</v>
      </c>
      <c r="B116" s="502"/>
      <c r="C116" s="502"/>
      <c r="D116" s="502"/>
      <c r="E116" s="502"/>
      <c r="F116" s="502"/>
      <c r="G116" s="502"/>
      <c r="H116" s="502"/>
      <c r="I116" s="502"/>
      <c r="J116" s="502"/>
      <c r="K116" s="502"/>
      <c r="L116" s="502"/>
      <c r="M116" s="502"/>
      <c r="N116" s="502"/>
    </row>
    <row r="117" spans="1:14">
      <c r="A117" s="502"/>
      <c r="B117" s="502"/>
      <c r="C117" s="502"/>
      <c r="D117" s="502"/>
      <c r="E117" s="502"/>
      <c r="F117" s="502"/>
      <c r="G117" s="502"/>
      <c r="H117" s="502"/>
      <c r="I117" s="502"/>
      <c r="J117" s="502"/>
      <c r="K117" s="502"/>
      <c r="L117" s="502"/>
      <c r="M117" s="502"/>
      <c r="N117" s="502"/>
    </row>
    <row r="118" spans="1:14">
      <c r="A118" s="12"/>
      <c r="B118" s="15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</row>
    <row r="119" spans="1:14">
      <c r="A119" s="15"/>
      <c r="B119" s="21"/>
      <c r="C119" s="23" t="str">
        <f>C101</f>
        <v>150 HP</v>
      </c>
      <c r="D119" s="23" t="str">
        <f>D101</f>
        <v>180 HP</v>
      </c>
      <c r="E119" s="23" t="str">
        <f>E101</f>
        <v>150 HP</v>
      </c>
      <c r="F119" s="23" t="str">
        <f>F101</f>
        <v>180 HP</v>
      </c>
      <c r="G119" s="12"/>
      <c r="H119" s="12"/>
      <c r="I119" s="12"/>
      <c r="J119" s="12"/>
      <c r="K119" s="12"/>
      <c r="L119" s="12"/>
      <c r="M119" s="12"/>
      <c r="N119" s="12"/>
    </row>
    <row r="120" spans="1:14">
      <c r="A120" s="15"/>
      <c r="B120" s="18"/>
      <c r="C120" s="24"/>
      <c r="D120" s="25"/>
      <c r="E120" s="24"/>
      <c r="F120" s="26"/>
      <c r="G120" s="12"/>
      <c r="H120" s="12"/>
      <c r="I120" s="13" t="str">
        <f>J8</f>
        <v>Estandar</v>
      </c>
      <c r="J120" s="13" t="str">
        <f>K8</f>
        <v>Modificada</v>
      </c>
      <c r="K120" s="12"/>
      <c r="L120" s="12"/>
      <c r="M120" s="12"/>
      <c r="N120" s="12"/>
    </row>
    <row r="121" spans="1:14">
      <c r="A121" s="12"/>
      <c r="B121" s="19" t="s">
        <v>8</v>
      </c>
      <c r="C121" s="94" t="s">
        <v>335</v>
      </c>
      <c r="D121" s="96" t="s">
        <v>335</v>
      </c>
      <c r="E121" s="23" t="s">
        <v>336</v>
      </c>
      <c r="F121" s="22" t="s">
        <v>336</v>
      </c>
      <c r="G121" s="12"/>
      <c r="H121" s="12"/>
      <c r="I121" s="13" t="str">
        <f t="shared" ref="I121:J130" si="15">J9</f>
        <v>RN FAO A3</v>
      </c>
      <c r="J121" s="13" t="str">
        <f t="shared" si="15"/>
        <v>RN FAO A3</v>
      </c>
      <c r="K121" s="12"/>
      <c r="L121" s="12"/>
      <c r="M121" s="12"/>
      <c r="N121" s="12"/>
    </row>
    <row r="122" spans="1:14">
      <c r="A122" s="12"/>
      <c r="B122" s="14" t="s">
        <v>57</v>
      </c>
      <c r="C122" s="95"/>
      <c r="D122" s="97"/>
      <c r="E122" s="24" t="s">
        <v>59</v>
      </c>
      <c r="F122" s="24" t="s">
        <v>59</v>
      </c>
      <c r="G122" s="12"/>
      <c r="H122" s="12"/>
      <c r="I122" s="13" t="str">
        <f t="shared" si="15"/>
        <v>[Kgf]</v>
      </c>
      <c r="J122" s="13" t="str">
        <f t="shared" si="15"/>
        <v>[Kgf]</v>
      </c>
      <c r="K122" s="12"/>
      <c r="L122" s="12"/>
      <c r="M122" s="12"/>
      <c r="N122" s="12"/>
    </row>
    <row r="123" spans="1:14">
      <c r="A123" s="12"/>
      <c r="B123" s="13">
        <v>1</v>
      </c>
      <c r="C123" s="278">
        <f t="shared" ref="C123:C131" si="16">AVERAGE(C88,E88,G88,I88,K88,C103)</f>
        <v>4183.4475000000002</v>
      </c>
      <c r="D123" s="278">
        <f t="shared" ref="D123:D131" si="17">AVERAGE(D88,F88,H88,J88,L88,D103)</f>
        <v>5014.5935624999993</v>
      </c>
      <c r="E123" s="278">
        <f>AVERAGE(E103,G103,I103,K103)</f>
        <v>5429.4932812499992</v>
      </c>
      <c r="F123" s="278">
        <f>AVERAGE(F103,H103,J103,L103)</f>
        <v>6510.1066874999997</v>
      </c>
      <c r="G123" s="513" t="s">
        <v>89</v>
      </c>
      <c r="H123" s="12"/>
      <c r="I123" s="279">
        <f t="shared" si="15"/>
        <v>422.36322657644956</v>
      </c>
      <c r="J123" s="279">
        <f t="shared" si="15"/>
        <v>413.44914989192739</v>
      </c>
      <c r="K123" s="12"/>
      <c r="L123" s="12"/>
      <c r="M123" s="12"/>
      <c r="N123" s="12"/>
    </row>
    <row r="124" spans="1:14">
      <c r="A124" s="12"/>
      <c r="B124" s="13">
        <v>1.5</v>
      </c>
      <c r="C124" s="278">
        <f t="shared" si="16"/>
        <v>2788.9650000000001</v>
      </c>
      <c r="D124" s="278">
        <f t="shared" si="17"/>
        <v>3343.062375</v>
      </c>
      <c r="E124" s="278">
        <f t="shared" ref="E124:F131" si="18">AVERAGE(E104,G104,I104,K104)</f>
        <v>3619.6621874999996</v>
      </c>
      <c r="F124" s="278">
        <f t="shared" si="18"/>
        <v>4340.0711249999995</v>
      </c>
      <c r="G124" s="513"/>
      <c r="H124" s="12"/>
      <c r="I124" s="279">
        <f t="shared" si="15"/>
        <v>631.52956087214341</v>
      </c>
      <c r="J124" s="279">
        <f t="shared" si="15"/>
        <v>618.20097878939919</v>
      </c>
      <c r="K124" s="12"/>
      <c r="L124" s="12"/>
      <c r="M124" s="12"/>
      <c r="N124" s="12"/>
    </row>
    <row r="125" spans="1:14">
      <c r="A125" s="12"/>
      <c r="B125" s="13">
        <v>2</v>
      </c>
      <c r="C125" s="278">
        <f t="shared" si="16"/>
        <v>2091.7237500000001</v>
      </c>
      <c r="D125" s="278">
        <f t="shared" si="17"/>
        <v>2507.2967812499996</v>
      </c>
      <c r="E125" s="278">
        <f t="shared" si="18"/>
        <v>2714.7466406249996</v>
      </c>
      <c r="F125" s="278">
        <f t="shared" si="18"/>
        <v>3255.0533437499998</v>
      </c>
      <c r="G125" s="513"/>
      <c r="H125" s="12"/>
      <c r="I125" s="279">
        <f t="shared" si="15"/>
        <v>914.90100549547947</v>
      </c>
      <c r="J125" s="279">
        <f t="shared" si="15"/>
        <v>895.5918014536428</v>
      </c>
      <c r="K125" s="12"/>
      <c r="L125" s="12"/>
      <c r="M125" s="12"/>
      <c r="N125" s="12"/>
    </row>
    <row r="126" spans="1:14">
      <c r="A126" s="12"/>
      <c r="B126" s="13">
        <v>2.5</v>
      </c>
      <c r="C126" s="278">
        <f t="shared" si="16"/>
        <v>1673.3790000000001</v>
      </c>
      <c r="D126" s="278">
        <f t="shared" si="17"/>
        <v>2005.8374250000004</v>
      </c>
      <c r="E126" s="278">
        <f t="shared" si="18"/>
        <v>2171.7973124999999</v>
      </c>
      <c r="F126" s="278">
        <f t="shared" si="18"/>
        <v>2604.0426749999997</v>
      </c>
      <c r="G126" s="513"/>
      <c r="H126" s="12"/>
      <c r="I126" s="279">
        <f t="shared" si="15"/>
        <v>1266.3281776772249</v>
      </c>
      <c r="J126" s="279">
        <f t="shared" si="15"/>
        <v>1239.6020193061838</v>
      </c>
      <c r="K126" s="12"/>
      <c r="L126" s="12"/>
      <c r="M126" s="12"/>
      <c r="N126" s="12"/>
    </row>
    <row r="127" spans="1:14">
      <c r="A127" s="12"/>
      <c r="B127" s="13">
        <v>3</v>
      </c>
      <c r="C127" s="278">
        <f t="shared" si="16"/>
        <v>1394.4825000000001</v>
      </c>
      <c r="D127" s="278">
        <f t="shared" si="17"/>
        <v>1671.5311875</v>
      </c>
      <c r="E127" s="278">
        <f t="shared" si="18"/>
        <v>1809.8310937499998</v>
      </c>
      <c r="F127" s="278">
        <f t="shared" si="18"/>
        <v>2170.0355624999997</v>
      </c>
      <c r="G127" s="513"/>
      <c r="H127" s="12"/>
      <c r="I127" s="279">
        <f t="shared" si="15"/>
        <v>1680.3228964186867</v>
      </c>
      <c r="J127" s="279">
        <f t="shared" si="15"/>
        <v>1644.8592807179402</v>
      </c>
      <c r="K127" s="12"/>
      <c r="L127" s="12"/>
      <c r="M127" s="12"/>
      <c r="N127" s="12"/>
    </row>
    <row r="128" spans="1:14">
      <c r="A128" s="12"/>
      <c r="B128" s="13">
        <v>3.5</v>
      </c>
      <c r="C128" s="278">
        <f t="shared" si="16"/>
        <v>1195.2707142857143</v>
      </c>
      <c r="D128" s="278">
        <f t="shared" si="17"/>
        <v>1432.7410178571429</v>
      </c>
      <c r="E128" s="278">
        <f t="shared" si="18"/>
        <v>1551.2837946428569</v>
      </c>
      <c r="F128" s="278">
        <f t="shared" si="18"/>
        <v>1860.030482142857</v>
      </c>
      <c r="G128" s="513"/>
      <c r="H128" s="12"/>
      <c r="I128" s="279">
        <f t="shared" si="15"/>
        <v>2151.9716405847998</v>
      </c>
      <c r="J128" s="279">
        <f t="shared" si="15"/>
        <v>2106.5537655899047</v>
      </c>
      <c r="K128" s="12"/>
      <c r="L128" s="12"/>
      <c r="M128" s="12"/>
      <c r="N128" s="12"/>
    </row>
    <row r="129" spans="1:14">
      <c r="A129" s="12"/>
      <c r="B129" s="13">
        <v>4</v>
      </c>
      <c r="C129" s="278">
        <f t="shared" si="16"/>
        <v>1045.8618750000001</v>
      </c>
      <c r="D129" s="278">
        <f t="shared" si="17"/>
        <v>1253.6483906249998</v>
      </c>
      <c r="E129" s="278">
        <f t="shared" si="18"/>
        <v>1357.3733203124998</v>
      </c>
      <c r="F129" s="278">
        <f t="shared" si="18"/>
        <v>1627.5266718749999</v>
      </c>
      <c r="G129" s="513"/>
      <c r="H129" s="12"/>
      <c r="I129" s="279">
        <f t="shared" si="15"/>
        <v>2676.8622527857369</v>
      </c>
      <c r="J129" s="279">
        <f t="shared" si="15"/>
        <v>2620.3664361668261</v>
      </c>
      <c r="K129" s="12"/>
      <c r="L129" s="12"/>
      <c r="M129" s="12"/>
      <c r="N129" s="12"/>
    </row>
    <row r="130" spans="1:14">
      <c r="A130" s="12"/>
      <c r="B130" s="13">
        <v>4.5</v>
      </c>
      <c r="C130" s="278">
        <f t="shared" si="16"/>
        <v>929.65500000000009</v>
      </c>
      <c r="D130" s="278">
        <f t="shared" si="17"/>
        <v>1114.3541250000001</v>
      </c>
      <c r="E130" s="278">
        <f t="shared" si="18"/>
        <v>1206.5540624999999</v>
      </c>
      <c r="F130" s="278">
        <f t="shared" si="18"/>
        <v>1446.6903749999997</v>
      </c>
      <c r="G130" s="513"/>
      <c r="H130" s="12"/>
      <c r="I130" s="279">
        <f t="shared" si="15"/>
        <v>3251.0215826380531</v>
      </c>
      <c r="J130" s="279">
        <f t="shared" si="15"/>
        <v>3182.4079963522054</v>
      </c>
      <c r="K130" s="12"/>
      <c r="L130" s="12"/>
      <c r="M130" s="12"/>
      <c r="N130" s="12"/>
    </row>
    <row r="131" spans="1:14">
      <c r="A131" s="12"/>
      <c r="B131" s="13">
        <v>5</v>
      </c>
      <c r="C131" s="278">
        <f t="shared" si="16"/>
        <v>836.68950000000007</v>
      </c>
      <c r="D131" s="278">
        <f t="shared" si="17"/>
        <v>1002.9187125000002</v>
      </c>
      <c r="E131" s="278">
        <f t="shared" si="18"/>
        <v>1085.8986562499999</v>
      </c>
      <c r="F131" s="278">
        <f t="shared" si="18"/>
        <v>1302.0213374999998</v>
      </c>
      <c r="G131" s="513"/>
      <c r="H131" s="12"/>
      <c r="I131" s="279">
        <f>J19</f>
        <v>3870.8622108292311</v>
      </c>
      <c r="J131" s="279">
        <f>K19</f>
        <v>3789.1667401741761</v>
      </c>
      <c r="K131" s="12"/>
      <c r="L131" s="12"/>
      <c r="M131" s="12"/>
      <c r="N131" s="12"/>
    </row>
    <row r="132" spans="1:14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</row>
    <row r="133" spans="1:14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</row>
    <row r="134" spans="1:1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</row>
    <row r="135" spans="1:14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</row>
    <row r="136" spans="1:14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</row>
    <row r="137" spans="1:14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</row>
    <row r="138" spans="1:14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</row>
    <row r="139" spans="1:14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</row>
    <row r="140" spans="1:14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</row>
    <row r="141" spans="1:14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</row>
    <row r="142" spans="1:14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</row>
    <row r="143" spans="1:14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</row>
    <row r="144" spans="1:1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</row>
    <row r="145" spans="1:14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</row>
    <row r="146" spans="1:14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</row>
    <row r="147" spans="1:14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</row>
    <row r="148" spans="1:14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</row>
    <row r="149" spans="1:14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</row>
    <row r="150" spans="1:14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</row>
    <row r="151" spans="1:14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</row>
    <row r="152" spans="1:14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</row>
    <row r="153" spans="1:14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</row>
    <row r="154" spans="1:14" s="223" customForma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</row>
    <row r="155" spans="1:14" s="223" customForma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</row>
    <row r="156" spans="1:14" s="223" customForma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</row>
    <row r="157" spans="1:14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</row>
    <row r="158" spans="1:14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</row>
    <row r="159" spans="1:14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</row>
    <row r="160" spans="1:14">
      <c r="A160" s="514" t="s">
        <v>61</v>
      </c>
      <c r="B160" s="514"/>
      <c r="C160" s="514"/>
      <c r="D160" s="514"/>
      <c r="E160" s="514"/>
      <c r="F160" s="514"/>
      <c r="G160" s="514"/>
      <c r="H160" s="514"/>
      <c r="I160" s="514"/>
      <c r="J160" s="514"/>
      <c r="K160" s="514"/>
      <c r="L160" s="514"/>
      <c r="M160" s="514"/>
      <c r="N160" s="514"/>
    </row>
    <row r="161" spans="1:15">
      <c r="A161" s="514"/>
      <c r="B161" s="514"/>
      <c r="C161" s="514"/>
      <c r="D161" s="514"/>
      <c r="E161" s="514"/>
      <c r="F161" s="514"/>
      <c r="G161" s="514"/>
      <c r="H161" s="514"/>
      <c r="I161" s="514"/>
      <c r="J161" s="514"/>
      <c r="K161" s="514"/>
      <c r="L161" s="514"/>
      <c r="M161" s="514"/>
      <c r="N161" s="514"/>
    </row>
    <row r="162" spans="1:1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1:15">
      <c r="A163" s="4"/>
      <c r="B163" s="4"/>
      <c r="C163" s="4"/>
      <c r="D163" s="4"/>
      <c r="E163" s="4"/>
      <c r="F163" s="4"/>
      <c r="G163" s="4"/>
      <c r="H163" s="4"/>
      <c r="I163" s="4"/>
      <c r="J163" s="508" t="s">
        <v>337</v>
      </c>
      <c r="K163" s="509"/>
      <c r="L163" s="509"/>
      <c r="M163" s="510"/>
      <c r="N163" s="4"/>
    </row>
    <row r="164" spans="1:15">
      <c r="A164" s="4"/>
      <c r="B164" s="4"/>
      <c r="C164" s="4"/>
      <c r="D164" s="4"/>
      <c r="E164" s="4"/>
      <c r="F164" s="4"/>
      <c r="G164" s="4"/>
      <c r="H164" s="4"/>
      <c r="I164" s="4"/>
      <c r="J164" s="103" t="s">
        <v>339</v>
      </c>
      <c r="K164" s="83" t="s">
        <v>338</v>
      </c>
      <c r="L164" s="104" t="s">
        <v>340</v>
      </c>
      <c r="M164" s="83" t="s">
        <v>62</v>
      </c>
      <c r="N164" s="4"/>
    </row>
    <row r="165" spans="1:15">
      <c r="A165" s="4"/>
      <c r="B165" s="4"/>
      <c r="C165" s="4"/>
      <c r="D165" s="4"/>
      <c r="E165" s="4"/>
      <c r="F165" s="4"/>
      <c r="G165" s="4"/>
      <c r="H165" s="4"/>
      <c r="I165" s="4"/>
      <c r="J165" s="83" t="s">
        <v>341</v>
      </c>
      <c r="K165" s="83" t="s">
        <v>342</v>
      </c>
      <c r="L165" s="83" t="s">
        <v>170</v>
      </c>
      <c r="M165" s="83">
        <v>0.15</v>
      </c>
      <c r="N165" s="4"/>
    </row>
    <row r="166" spans="1:15">
      <c r="A166" s="4"/>
      <c r="B166" s="4"/>
      <c r="C166" s="4"/>
      <c r="D166" s="4"/>
      <c r="E166" s="4"/>
      <c r="F166" s="4"/>
      <c r="G166" s="4"/>
      <c r="H166" s="4"/>
      <c r="I166" s="4"/>
      <c r="J166" s="83"/>
      <c r="K166" s="83">
        <v>1200</v>
      </c>
      <c r="L166" s="83">
        <v>2400</v>
      </c>
      <c r="M166" s="83">
        <v>0.18</v>
      </c>
      <c r="N166" s="4"/>
    </row>
    <row r="167" spans="1:15">
      <c r="A167" s="4"/>
      <c r="B167" s="4"/>
      <c r="C167" s="4"/>
      <c r="D167" s="4"/>
      <c r="E167" s="4"/>
      <c r="F167" s="4"/>
      <c r="G167" s="4"/>
      <c r="H167" s="4"/>
      <c r="I167" s="4"/>
      <c r="J167" s="83">
        <v>124</v>
      </c>
      <c r="K167" s="83">
        <v>1500</v>
      </c>
      <c r="L167" s="83" t="s">
        <v>170</v>
      </c>
      <c r="M167" s="83">
        <v>0.18</v>
      </c>
      <c r="N167" s="4"/>
    </row>
    <row r="168" spans="1:15">
      <c r="A168" s="31"/>
      <c r="B168" s="30"/>
      <c r="C168" s="29" t="str">
        <f>C119</f>
        <v>150 HP</v>
      </c>
      <c r="D168" s="29" t="str">
        <f>D119</f>
        <v>180 HP</v>
      </c>
      <c r="E168" s="4"/>
      <c r="F168" s="34"/>
      <c r="G168" s="34"/>
      <c r="H168" s="34"/>
      <c r="I168" s="33" t="str">
        <f>I120</f>
        <v>Estandar</v>
      </c>
      <c r="J168" s="33" t="str">
        <f>J120</f>
        <v>Modificada</v>
      </c>
      <c r="K168" s="4"/>
      <c r="L168" s="4"/>
      <c r="M168" s="4"/>
      <c r="N168" s="4"/>
    </row>
    <row r="169" spans="1:15" ht="18">
      <c r="A169" s="31" t="s">
        <v>343</v>
      </c>
      <c r="B169" s="30"/>
      <c r="C169" s="29">
        <f>150*0.6</f>
        <v>90</v>
      </c>
      <c r="D169" s="29">
        <f>180*0.6</f>
        <v>108</v>
      </c>
      <c r="E169" s="4" t="s">
        <v>34</v>
      </c>
      <c r="F169" s="34"/>
      <c r="G169" s="33" t="s">
        <v>8</v>
      </c>
      <c r="H169" s="263" t="s">
        <v>8</v>
      </c>
      <c r="I169" s="265" t="str">
        <f t="shared" ref="I169:J179" si="19">I121</f>
        <v>RN FAO A3</v>
      </c>
      <c r="J169" s="265" t="str">
        <f t="shared" si="19"/>
        <v>RN FAO A3</v>
      </c>
      <c r="K169" s="266" t="s">
        <v>360</v>
      </c>
      <c r="L169" s="33" t="s">
        <v>360</v>
      </c>
      <c r="M169" s="4"/>
      <c r="N169" s="4"/>
      <c r="O169" s="4"/>
    </row>
    <row r="170" spans="1:15">
      <c r="A170" s="31" t="s">
        <v>62</v>
      </c>
      <c r="B170" s="30"/>
      <c r="C170" s="29">
        <f>M165</f>
        <v>0.15</v>
      </c>
      <c r="D170" s="29">
        <f>M165</f>
        <v>0.15</v>
      </c>
      <c r="E170" s="4"/>
      <c r="F170" s="34"/>
      <c r="G170" s="32" t="s">
        <v>9</v>
      </c>
      <c r="H170" s="264" t="s">
        <v>64</v>
      </c>
      <c r="I170" s="32" t="str">
        <f t="shared" si="19"/>
        <v>[Kgf]</v>
      </c>
      <c r="J170" s="32" t="str">
        <f t="shared" si="19"/>
        <v>[Kgf]</v>
      </c>
      <c r="K170" s="267" t="str">
        <f>C168</f>
        <v>150 HP</v>
      </c>
      <c r="L170" s="32" t="str">
        <f>D168</f>
        <v>180 HP</v>
      </c>
      <c r="M170" s="4"/>
      <c r="N170" s="4"/>
      <c r="O170" s="4"/>
    </row>
    <row r="171" spans="1:15">
      <c r="A171" s="31" t="s">
        <v>63</v>
      </c>
      <c r="B171" s="30"/>
      <c r="C171" s="29">
        <f>C170*C169</f>
        <v>13.5</v>
      </c>
      <c r="D171" s="29">
        <f>D170*D169</f>
        <v>16.2</v>
      </c>
      <c r="E171" s="4" t="s">
        <v>34</v>
      </c>
      <c r="F171" s="34"/>
      <c r="G171" s="29">
        <v>1</v>
      </c>
      <c r="H171" s="29">
        <f>0.514</f>
        <v>0.51400000000000001</v>
      </c>
      <c r="I171" s="277">
        <f t="shared" si="19"/>
        <v>422.36322657644956</v>
      </c>
      <c r="J171" s="277">
        <f t="shared" si="19"/>
        <v>413.44914989192739</v>
      </c>
      <c r="K171" s="105">
        <f>C172/H171</f>
        <v>1969.8443579766536</v>
      </c>
      <c r="L171" s="105">
        <f>D172/H171</f>
        <v>2363.8132295719843</v>
      </c>
      <c r="M171" s="4"/>
      <c r="N171" s="4"/>
      <c r="O171" s="4"/>
    </row>
    <row r="172" spans="1:15">
      <c r="A172" s="31" t="s">
        <v>65</v>
      </c>
      <c r="B172" s="30"/>
      <c r="C172" s="29">
        <f>C171*75</f>
        <v>1012.5</v>
      </c>
      <c r="D172" s="29">
        <f>D171*75</f>
        <v>1215</v>
      </c>
      <c r="E172" s="4" t="s">
        <v>356</v>
      </c>
      <c r="F172" s="34"/>
      <c r="G172" s="29">
        <v>1.5</v>
      </c>
      <c r="H172" s="105">
        <f>(G172*H171)/G171</f>
        <v>0.77100000000000002</v>
      </c>
      <c r="I172" s="277">
        <f t="shared" si="19"/>
        <v>631.52956087214341</v>
      </c>
      <c r="J172" s="277">
        <f t="shared" si="19"/>
        <v>618.20097878939919</v>
      </c>
      <c r="K172" s="105">
        <f>C172/H172</f>
        <v>1313.2295719844358</v>
      </c>
      <c r="L172" s="105">
        <f>D172/H172</f>
        <v>1575.8754863813228</v>
      </c>
      <c r="M172" s="4"/>
      <c r="N172" s="4"/>
      <c r="O172" s="4"/>
    </row>
    <row r="173" spans="1:15">
      <c r="A173" s="4"/>
      <c r="B173" s="4"/>
      <c r="C173" s="4"/>
      <c r="D173" s="4"/>
      <c r="E173" s="4"/>
      <c r="F173" s="4"/>
      <c r="G173" s="29">
        <v>2</v>
      </c>
      <c r="H173" s="105">
        <f t="shared" ref="H173:H179" si="20">(G173*H172)/G172</f>
        <v>1.028</v>
      </c>
      <c r="I173" s="277">
        <f t="shared" si="19"/>
        <v>914.90100549547947</v>
      </c>
      <c r="J173" s="277">
        <f t="shared" si="19"/>
        <v>895.5918014536428</v>
      </c>
      <c r="K173" s="105">
        <f>C172/H173</f>
        <v>984.92217898832678</v>
      </c>
      <c r="L173" s="105">
        <f>D172/H173</f>
        <v>1181.9066147859921</v>
      </c>
      <c r="M173" s="4"/>
      <c r="N173" s="4"/>
      <c r="O173" s="4"/>
    </row>
    <row r="174" spans="1:15">
      <c r="A174" s="4"/>
      <c r="B174" s="4"/>
      <c r="C174" s="4"/>
      <c r="D174" s="4"/>
      <c r="E174" s="4"/>
      <c r="F174" s="4"/>
      <c r="G174" s="29">
        <v>2.5</v>
      </c>
      <c r="H174" s="105">
        <f t="shared" si="20"/>
        <v>1.2850000000000001</v>
      </c>
      <c r="I174" s="277">
        <f t="shared" si="19"/>
        <v>1266.3281776772249</v>
      </c>
      <c r="J174" s="277">
        <f t="shared" si="19"/>
        <v>1239.6020193061838</v>
      </c>
      <c r="K174" s="105">
        <f>C172/H174</f>
        <v>787.93774319066142</v>
      </c>
      <c r="L174" s="105">
        <f>D172/H174</f>
        <v>945.52529182879368</v>
      </c>
      <c r="M174" s="4"/>
      <c r="N174" s="4"/>
      <c r="O174" s="4"/>
    </row>
    <row r="175" spans="1:15">
      <c r="A175" s="4"/>
      <c r="B175" s="4"/>
      <c r="C175" s="4"/>
      <c r="D175" s="4"/>
      <c r="E175" s="4"/>
      <c r="F175" s="4"/>
      <c r="G175" s="29">
        <v>3</v>
      </c>
      <c r="H175" s="105">
        <f t="shared" si="20"/>
        <v>1.5420000000000003</v>
      </c>
      <c r="I175" s="277">
        <f t="shared" si="19"/>
        <v>1680.3228964186867</v>
      </c>
      <c r="J175" s="277">
        <f t="shared" si="19"/>
        <v>1644.8592807179402</v>
      </c>
      <c r="K175" s="105">
        <f>C172/H175</f>
        <v>656.61478599221778</v>
      </c>
      <c r="L175" s="105">
        <f>D172/H175</f>
        <v>787.93774319066131</v>
      </c>
      <c r="M175" s="4"/>
      <c r="N175" s="4"/>
      <c r="O175" s="4"/>
    </row>
    <row r="176" spans="1:15">
      <c r="A176" s="4"/>
      <c r="B176" s="4"/>
      <c r="C176" s="4"/>
      <c r="D176" s="4"/>
      <c r="E176" s="4"/>
      <c r="F176" s="4"/>
      <c r="G176" s="29">
        <v>3.5</v>
      </c>
      <c r="H176" s="105">
        <f t="shared" si="20"/>
        <v>1.7990000000000004</v>
      </c>
      <c r="I176" s="277">
        <f t="shared" si="19"/>
        <v>2151.9716405847998</v>
      </c>
      <c r="J176" s="277">
        <f t="shared" si="19"/>
        <v>2106.5537655899047</v>
      </c>
      <c r="K176" s="105">
        <f>C172/H176</f>
        <v>562.8126737076152</v>
      </c>
      <c r="L176" s="105">
        <f>D172/H176</f>
        <v>675.37520844913831</v>
      </c>
      <c r="M176" s="4"/>
      <c r="N176" s="4"/>
      <c r="O176" s="4"/>
    </row>
    <row r="177" spans="1:15">
      <c r="A177" s="4"/>
      <c r="B177" s="4"/>
      <c r="C177" s="4"/>
      <c r="D177" s="4"/>
      <c r="E177" s="4"/>
      <c r="F177" s="4"/>
      <c r="G177" s="29">
        <v>4</v>
      </c>
      <c r="H177" s="105">
        <f t="shared" si="20"/>
        <v>2.0560000000000005</v>
      </c>
      <c r="I177" s="277">
        <f t="shared" si="19"/>
        <v>2676.8622527857369</v>
      </c>
      <c r="J177" s="277">
        <f t="shared" si="19"/>
        <v>2620.3664361668261</v>
      </c>
      <c r="K177" s="105">
        <f>C172/H177</f>
        <v>492.46108949416333</v>
      </c>
      <c r="L177" s="105">
        <f>D172/H177</f>
        <v>590.95330739299595</v>
      </c>
      <c r="M177" s="4"/>
      <c r="N177" s="4"/>
      <c r="O177" s="4"/>
    </row>
    <row r="178" spans="1:15">
      <c r="A178" s="4"/>
      <c r="B178" s="4"/>
      <c r="C178" s="4"/>
      <c r="D178" s="4"/>
      <c r="E178" s="4"/>
      <c r="F178" s="4"/>
      <c r="G178" s="29">
        <v>4.5</v>
      </c>
      <c r="H178" s="105">
        <f t="shared" si="20"/>
        <v>2.3130000000000006</v>
      </c>
      <c r="I178" s="277">
        <f t="shared" si="19"/>
        <v>3251.0215826380531</v>
      </c>
      <c r="J178" s="277">
        <f t="shared" si="19"/>
        <v>3182.4079963522054</v>
      </c>
      <c r="K178" s="105">
        <f>C172/H178</f>
        <v>437.74319066147848</v>
      </c>
      <c r="L178" s="105">
        <f>D172/H178</f>
        <v>525.29182879377413</v>
      </c>
      <c r="M178" s="4"/>
      <c r="N178" s="4"/>
      <c r="O178" s="4"/>
    </row>
    <row r="179" spans="1:15">
      <c r="A179" s="4"/>
      <c r="B179" s="4"/>
      <c r="C179" s="4"/>
      <c r="D179" s="4"/>
      <c r="E179" s="4"/>
      <c r="F179" s="4"/>
      <c r="G179" s="29">
        <v>5</v>
      </c>
      <c r="H179" s="105">
        <f t="shared" si="20"/>
        <v>2.5700000000000007</v>
      </c>
      <c r="I179" s="277">
        <f t="shared" si="19"/>
        <v>3870.8622108292311</v>
      </c>
      <c r="J179" s="277">
        <f t="shared" si="19"/>
        <v>3789.1667401741761</v>
      </c>
      <c r="K179" s="105">
        <f>C172/H179</f>
        <v>393.96887159533065</v>
      </c>
      <c r="L179" s="105">
        <f>D172/H179</f>
        <v>472.76264591439673</v>
      </c>
      <c r="M179" s="4"/>
      <c r="N179" s="4"/>
      <c r="O179" s="4"/>
    </row>
    <row r="180" spans="1:1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 spans="1:1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 spans="1:1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r="183" spans="1:1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r="184" spans="1:1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 spans="1:1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r="186" spans="1:1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1:1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1:1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1:15">
      <c r="A189" s="34"/>
      <c r="B189" s="34"/>
      <c r="C189" s="34"/>
      <c r="D189" s="34"/>
      <c r="E189" s="34"/>
      <c r="F189" s="4"/>
      <c r="G189" s="4"/>
      <c r="H189" s="4"/>
      <c r="I189" s="4"/>
      <c r="J189" s="4"/>
      <c r="K189" s="4"/>
      <c r="L189" s="4"/>
      <c r="M189" s="4"/>
      <c r="N189" s="4"/>
    </row>
    <row r="190" spans="1:15">
      <c r="A190" s="34"/>
      <c r="B190" s="34"/>
      <c r="C190" s="34"/>
      <c r="D190" s="34"/>
      <c r="E190" s="34"/>
      <c r="F190" s="4"/>
      <c r="G190" s="4"/>
      <c r="H190" s="4"/>
      <c r="I190" s="4"/>
      <c r="J190" s="4"/>
      <c r="K190" s="4"/>
      <c r="L190" s="4"/>
      <c r="M190" s="4"/>
      <c r="N190" s="4"/>
    </row>
    <row r="191" spans="1:1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1:1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1:14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1:1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1:14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1:14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1:14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1:14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1:14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1:1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1:14" ht="15" customHeight="1">
      <c r="A201" s="511" t="s">
        <v>66</v>
      </c>
      <c r="B201" s="511"/>
      <c r="C201" s="511"/>
      <c r="D201" s="511"/>
      <c r="E201" s="511"/>
      <c r="F201" s="511"/>
      <c r="G201" s="511"/>
      <c r="H201" s="511"/>
      <c r="I201" s="511"/>
      <c r="J201" s="511"/>
      <c r="K201" s="511"/>
      <c r="L201" s="511"/>
      <c r="M201" s="511"/>
      <c r="N201" s="511"/>
    </row>
    <row r="202" spans="1:14" ht="15" customHeight="1">
      <c r="A202" s="511"/>
      <c r="B202" s="511"/>
      <c r="C202" s="511"/>
      <c r="D202" s="511"/>
      <c r="E202" s="511"/>
      <c r="F202" s="511"/>
      <c r="G202" s="511"/>
      <c r="H202" s="511"/>
      <c r="I202" s="511"/>
      <c r="J202" s="511"/>
      <c r="K202" s="511"/>
      <c r="L202" s="511"/>
      <c r="M202" s="511"/>
      <c r="N202" s="511"/>
    </row>
    <row r="203" spans="1:14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</row>
    <row r="204" spans="1:14">
      <c r="A204" s="43"/>
      <c r="B204" s="43"/>
      <c r="C204" s="43"/>
      <c r="D204" s="43"/>
      <c r="E204" s="43" t="s">
        <v>193</v>
      </c>
      <c r="F204" s="43"/>
      <c r="G204" s="43"/>
      <c r="H204" s="43"/>
      <c r="I204" s="512" t="s">
        <v>344</v>
      </c>
      <c r="J204" s="512"/>
      <c r="K204" s="512"/>
      <c r="L204" s="512"/>
      <c r="M204" s="106"/>
      <c r="N204" s="43"/>
    </row>
    <row r="205" spans="1:14">
      <c r="A205" s="43"/>
      <c r="B205" s="43"/>
      <c r="C205" s="43"/>
      <c r="D205" s="43"/>
      <c r="E205" s="43"/>
      <c r="F205" s="43"/>
      <c r="G205" s="43"/>
      <c r="H205" s="43"/>
      <c r="I205" s="512" t="s">
        <v>345</v>
      </c>
      <c r="J205" s="512"/>
      <c r="K205" s="512"/>
      <c r="L205" s="45">
        <v>0.85</v>
      </c>
      <c r="M205" s="43"/>
      <c r="N205" s="43"/>
    </row>
    <row r="206" spans="1:14">
      <c r="A206" s="43"/>
      <c r="B206" s="43"/>
      <c r="C206" s="43"/>
      <c r="D206" s="43"/>
      <c r="E206" s="43"/>
      <c r="F206" s="43"/>
      <c r="G206" s="43"/>
      <c r="H206" s="43"/>
      <c r="I206" s="512" t="s">
        <v>351</v>
      </c>
      <c r="J206" s="512"/>
      <c r="K206" s="512"/>
      <c r="L206" s="45">
        <v>0.85</v>
      </c>
      <c r="M206" s="43"/>
      <c r="N206" s="43"/>
    </row>
    <row r="207" spans="1:14">
      <c r="A207" s="43"/>
      <c r="B207" s="43"/>
      <c r="C207" s="43"/>
      <c r="D207" s="43"/>
      <c r="E207" s="43"/>
      <c r="F207" s="43"/>
      <c r="G207" s="43"/>
      <c r="H207" s="43"/>
      <c r="I207" s="512" t="s">
        <v>352</v>
      </c>
      <c r="J207" s="512"/>
      <c r="K207" s="512"/>
      <c r="L207" s="512"/>
      <c r="M207" s="43"/>
      <c r="N207" s="43"/>
    </row>
    <row r="208" spans="1:14">
      <c r="A208" s="43"/>
      <c r="B208" s="43"/>
      <c r="C208" s="43"/>
      <c r="D208" s="43"/>
      <c r="E208" s="43"/>
      <c r="F208" s="43"/>
      <c r="G208" s="43"/>
      <c r="H208" s="43"/>
      <c r="I208" s="512" t="s">
        <v>346</v>
      </c>
      <c r="J208" s="512"/>
      <c r="K208" s="512"/>
      <c r="L208" s="45" t="s">
        <v>353</v>
      </c>
      <c r="M208" s="43"/>
      <c r="N208" s="43"/>
    </row>
    <row r="209" spans="1:15">
      <c r="A209" s="43"/>
      <c r="B209" s="43"/>
      <c r="C209" s="43"/>
      <c r="D209" s="43"/>
      <c r="E209" s="43"/>
      <c r="F209" s="43"/>
      <c r="G209" s="43"/>
      <c r="H209" s="43"/>
      <c r="I209" s="512" t="s">
        <v>347</v>
      </c>
      <c r="J209" s="512"/>
      <c r="K209" s="512"/>
      <c r="L209" s="45">
        <v>0.2</v>
      </c>
      <c r="M209" s="43"/>
      <c r="N209" s="43"/>
    </row>
    <row r="210" spans="1:15">
      <c r="A210" s="43"/>
      <c r="B210" s="43"/>
      <c r="C210" s="43"/>
      <c r="D210" s="43"/>
      <c r="E210" s="43"/>
      <c r="F210" s="43"/>
      <c r="G210" s="43"/>
      <c r="H210" s="43"/>
      <c r="I210" s="512" t="s">
        <v>348</v>
      </c>
      <c r="J210" s="512"/>
      <c r="K210" s="512"/>
      <c r="L210" s="45" t="s">
        <v>354</v>
      </c>
      <c r="M210" s="43"/>
      <c r="N210" s="43"/>
    </row>
    <row r="211" spans="1:15">
      <c r="A211" s="43" t="s">
        <v>365</v>
      </c>
      <c r="B211" s="43"/>
      <c r="C211" s="43"/>
      <c r="D211" s="43"/>
      <c r="E211" s="43"/>
      <c r="F211" s="43"/>
      <c r="G211" s="43"/>
      <c r="H211" s="43"/>
      <c r="I211" s="512" t="s">
        <v>349</v>
      </c>
      <c r="J211" s="512"/>
      <c r="K211" s="512"/>
      <c r="L211" s="45" t="s">
        <v>355</v>
      </c>
      <c r="M211" s="43"/>
      <c r="N211" s="43"/>
    </row>
    <row r="212" spans="1:15">
      <c r="A212" s="43"/>
      <c r="B212" s="43"/>
      <c r="C212" s="43"/>
      <c r="D212" s="43"/>
      <c r="E212" s="43"/>
      <c r="F212" s="43"/>
      <c r="G212" s="43"/>
      <c r="H212" s="43"/>
      <c r="I212" s="515" t="s">
        <v>350</v>
      </c>
      <c r="J212" s="515"/>
      <c r="K212" s="515"/>
      <c r="L212" s="107">
        <f>AVERAGE(MID(L208,1,4),MID(L208,8,4),L209,MID(L210,1,4),MID(L210,8,4),MID(L211,1,4),MID(L211,8,4))</f>
        <v>0.23428571428571429</v>
      </c>
      <c r="M212" s="43"/>
      <c r="N212" s="43"/>
    </row>
    <row r="213" spans="1:15">
      <c r="A213" s="43"/>
      <c r="B213" s="43"/>
      <c r="C213" s="107" t="str">
        <f>I168</f>
        <v>Estandar</v>
      </c>
      <c r="D213" s="107" t="str">
        <f>J168</f>
        <v>Modificada</v>
      </c>
      <c r="E213" s="45" t="str">
        <f>A7</f>
        <v>150 HP</v>
      </c>
      <c r="F213" s="112" t="str">
        <f>A19</f>
        <v>180 HP</v>
      </c>
      <c r="G213" s="43"/>
      <c r="H213" s="43"/>
      <c r="I213" s="512" t="s">
        <v>366</v>
      </c>
      <c r="J213" s="512"/>
      <c r="K213" s="512"/>
      <c r="L213" s="45">
        <v>0.8</v>
      </c>
      <c r="M213" s="43"/>
      <c r="N213" s="43"/>
    </row>
    <row r="214" spans="1:15" ht="18">
      <c r="A214" s="107" t="s">
        <v>8</v>
      </c>
      <c r="B214" s="110" t="s">
        <v>8</v>
      </c>
      <c r="C214" s="275" t="str">
        <f t="shared" ref="C214:D224" si="21">I169</f>
        <v>RN FAO A3</v>
      </c>
      <c r="D214" s="275" t="str">
        <f t="shared" si="21"/>
        <v>RN FAO A3</v>
      </c>
      <c r="E214" s="107" t="s">
        <v>265</v>
      </c>
      <c r="F214" s="107" t="s">
        <v>265</v>
      </c>
      <c r="G214" s="43"/>
      <c r="H214" s="43"/>
      <c r="I214" s="512" t="s">
        <v>367</v>
      </c>
      <c r="J214" s="512"/>
      <c r="K214" s="512"/>
      <c r="L214" s="45" t="s">
        <v>368</v>
      </c>
      <c r="M214" s="43"/>
      <c r="N214" s="43"/>
    </row>
    <row r="215" spans="1:15">
      <c r="A215" s="111" t="s">
        <v>357</v>
      </c>
      <c r="B215" s="274" t="s">
        <v>358</v>
      </c>
      <c r="C215" s="111" t="str">
        <f t="shared" si="21"/>
        <v>[Kgf]</v>
      </c>
      <c r="D215" s="111" t="str">
        <f t="shared" si="21"/>
        <v>[Kgf]</v>
      </c>
      <c r="E215" s="111" t="s">
        <v>89</v>
      </c>
      <c r="F215" s="111" t="s">
        <v>89</v>
      </c>
      <c r="G215" s="43"/>
      <c r="H215" s="43"/>
      <c r="I215" s="43"/>
      <c r="J215" s="43"/>
      <c r="K215" s="43"/>
      <c r="L215" s="43"/>
      <c r="M215" s="43"/>
      <c r="N215" s="43"/>
      <c r="O215" s="43"/>
    </row>
    <row r="216" spans="1:15">
      <c r="A216" s="45">
        <f>B10</f>
        <v>1</v>
      </c>
      <c r="B216" s="107">
        <f>H171</f>
        <v>0.51400000000000001</v>
      </c>
      <c r="C216" s="276">
        <f t="shared" si="21"/>
        <v>422.36322657644956</v>
      </c>
      <c r="D216" s="276">
        <f t="shared" si="21"/>
        <v>413.44914989192739</v>
      </c>
      <c r="E216" s="117">
        <f>(L213*L205*L206*MID(L208,1,4)*MID(L214,1,2)*MID(E213,1,3))/B216</f>
        <v>2150.6322957198445</v>
      </c>
      <c r="F216" s="118">
        <f>(L213*L205*L206*MID(L208,1,4)*MID(L214,1,2)*MID(F213,1,3))/B216</f>
        <v>2580.7587548638135</v>
      </c>
      <c r="G216" s="43"/>
      <c r="H216" s="43"/>
      <c r="I216" s="43"/>
      <c r="J216" s="43"/>
      <c r="K216" s="43"/>
      <c r="L216" s="43"/>
      <c r="M216" s="43"/>
      <c r="N216" s="43"/>
      <c r="O216" s="43"/>
    </row>
    <row r="217" spans="1:15">
      <c r="A217" s="45">
        <f t="shared" ref="A217:A223" si="22">B11</f>
        <v>1.5</v>
      </c>
      <c r="B217" s="107">
        <f t="shared" ref="B217:B224" si="23">H172</f>
        <v>0.77100000000000002</v>
      </c>
      <c r="C217" s="276">
        <f t="shared" si="21"/>
        <v>631.52956087214341</v>
      </c>
      <c r="D217" s="276">
        <f t="shared" si="21"/>
        <v>618.20097878939919</v>
      </c>
      <c r="E217" s="117">
        <f>(L213*L205*L206*MID(L208,1,4)*MID(L214,1,2)*MID(E213,1,3))/B217</f>
        <v>1433.7548638132298</v>
      </c>
      <c r="F217" s="119">
        <f>(L213*L205*L206*MID(L208,1,4)*MID(L214,1,2)*MID(F213,1,3))/B217</f>
        <v>1720.5058365758757</v>
      </c>
      <c r="G217" s="43"/>
      <c r="H217" s="43"/>
      <c r="I217" s="43"/>
      <c r="J217" s="43"/>
      <c r="K217" s="43"/>
      <c r="L217" s="43"/>
      <c r="M217" s="43"/>
      <c r="N217" s="43"/>
      <c r="O217" s="43"/>
    </row>
    <row r="218" spans="1:15">
      <c r="A218" s="45">
        <f t="shared" si="22"/>
        <v>2</v>
      </c>
      <c r="B218" s="107">
        <f t="shared" si="23"/>
        <v>1.028</v>
      </c>
      <c r="C218" s="276">
        <f t="shared" si="21"/>
        <v>914.90100549547947</v>
      </c>
      <c r="D218" s="276">
        <f t="shared" si="21"/>
        <v>895.5918014536428</v>
      </c>
      <c r="E218" s="117">
        <f>(L213*L205*L206*MID(L208,1,4)*MID(L214,1,2)*MID(E213,1,3))/B218</f>
        <v>1075.3161478599222</v>
      </c>
      <c r="F218" s="120">
        <f>(L213*L205*L206*MID(L208,1,4)*MID(L214,1,2)*MID(F213,1,3))/B218</f>
        <v>1290.3793774319067</v>
      </c>
      <c r="G218" s="43"/>
      <c r="H218" s="43"/>
      <c r="I218" s="43"/>
      <c r="J218" s="43"/>
      <c r="K218" s="43"/>
      <c r="L218" s="43"/>
      <c r="M218" s="43"/>
      <c r="N218" s="43"/>
      <c r="O218" s="43"/>
    </row>
    <row r="219" spans="1:15">
      <c r="A219" s="45">
        <f t="shared" si="22"/>
        <v>2.5</v>
      </c>
      <c r="B219" s="107">
        <f t="shared" si="23"/>
        <v>1.2850000000000001</v>
      </c>
      <c r="C219" s="276">
        <f t="shared" si="21"/>
        <v>1266.3281776772249</v>
      </c>
      <c r="D219" s="276">
        <f t="shared" si="21"/>
        <v>1239.6020193061838</v>
      </c>
      <c r="E219" s="117">
        <f>(L213*L205*L206*MID(L208,1,4)*MID(L214,1,2)*MID(E213,1,3))/B219</f>
        <v>860.25291828793775</v>
      </c>
      <c r="F219" s="121">
        <f>(L213*L205*L206*MID(L208,1,4)*MID(L214,1,2)*MID(F213,1,3))/B219</f>
        <v>1032.3035019455253</v>
      </c>
      <c r="G219" s="43"/>
      <c r="H219" s="43"/>
      <c r="I219" s="43"/>
      <c r="J219" s="43"/>
      <c r="K219" s="43"/>
      <c r="L219" s="43"/>
      <c r="M219" s="43"/>
      <c r="N219" s="43"/>
      <c r="O219" s="43"/>
    </row>
    <row r="220" spans="1:15">
      <c r="A220" s="45">
        <f t="shared" si="22"/>
        <v>3</v>
      </c>
      <c r="B220" s="107">
        <f t="shared" si="23"/>
        <v>1.5420000000000003</v>
      </c>
      <c r="C220" s="276">
        <f t="shared" si="21"/>
        <v>1680.3228964186867</v>
      </c>
      <c r="D220" s="276">
        <f t="shared" si="21"/>
        <v>1644.8592807179402</v>
      </c>
      <c r="E220" s="117">
        <f>(L213*L205*L206*MID(L208,1,4)*MID(L214,1,2)*MID(E213,1,3))/B220</f>
        <v>716.87743190661479</v>
      </c>
      <c r="F220" s="120">
        <f>(L213*L205*L206*MID(L208,1,4)*MID(L214,1,2)*MID(F213,1,3))/B220</f>
        <v>860.25291828793775</v>
      </c>
      <c r="G220" s="43"/>
      <c r="H220" s="43"/>
      <c r="I220" s="43"/>
      <c r="J220" s="43"/>
      <c r="K220" s="43"/>
      <c r="L220" s="43"/>
      <c r="M220" s="43"/>
      <c r="N220" s="43"/>
      <c r="O220" s="43"/>
    </row>
    <row r="221" spans="1:15">
      <c r="A221" s="45">
        <f t="shared" si="22"/>
        <v>3.5</v>
      </c>
      <c r="B221" s="107">
        <f t="shared" si="23"/>
        <v>1.7990000000000004</v>
      </c>
      <c r="C221" s="276">
        <f t="shared" si="21"/>
        <v>2151.9716405847998</v>
      </c>
      <c r="D221" s="276">
        <f t="shared" si="21"/>
        <v>2106.5537655899047</v>
      </c>
      <c r="E221" s="117">
        <f>(L213*L205*L206*MID(L208,1,4)*MID(L214,1,2)*MID(E213,1,3))/B221</f>
        <v>614.46637020566982</v>
      </c>
      <c r="F221" s="121">
        <f>(L213*L205*L206*MID(L208,1,4)*MID(L214,1,2)*MID(F213,1,3))/B221</f>
        <v>737.35964424680378</v>
      </c>
      <c r="G221" s="43"/>
      <c r="H221" s="43"/>
      <c r="I221" s="43"/>
      <c r="J221" s="43"/>
      <c r="K221" s="43"/>
      <c r="L221" s="43"/>
      <c r="M221" s="43"/>
      <c r="N221" s="43"/>
      <c r="O221" s="43"/>
    </row>
    <row r="222" spans="1:15">
      <c r="A222" s="45">
        <f t="shared" si="22"/>
        <v>4</v>
      </c>
      <c r="B222" s="107">
        <f t="shared" si="23"/>
        <v>2.0560000000000005</v>
      </c>
      <c r="C222" s="276">
        <f t="shared" si="21"/>
        <v>2676.8622527857369</v>
      </c>
      <c r="D222" s="276">
        <f t="shared" si="21"/>
        <v>2620.3664361668261</v>
      </c>
      <c r="E222" s="117">
        <f>(L213*L205*L206*MID(L208,1,4)*MID(L214,1,2)*MID(E213,1,3))/B222</f>
        <v>537.65807392996101</v>
      </c>
      <c r="F222" s="122">
        <f>(L213*L205*L206*MID(L208,1,4)*MID(L214,1,2)*MID(F213,1,3))/B222</f>
        <v>645.18968871595325</v>
      </c>
      <c r="G222" s="43"/>
      <c r="H222" s="43"/>
      <c r="I222" s="43"/>
      <c r="J222" s="43"/>
      <c r="K222" s="43"/>
      <c r="L222" s="43"/>
      <c r="M222" s="43"/>
      <c r="N222" s="43"/>
      <c r="O222" s="43"/>
    </row>
    <row r="223" spans="1:15">
      <c r="A223" s="45">
        <f t="shared" si="22"/>
        <v>4.5</v>
      </c>
      <c r="B223" s="107">
        <f t="shared" si="23"/>
        <v>2.3130000000000006</v>
      </c>
      <c r="C223" s="276">
        <f t="shared" si="21"/>
        <v>3251.0215826380531</v>
      </c>
      <c r="D223" s="276">
        <f t="shared" si="21"/>
        <v>3182.4079963522054</v>
      </c>
      <c r="E223" s="117">
        <f>(L213*L205*L206*MID(L208,1,4)*MID(L214,1,2)*MID(E213,1,3))/B223</f>
        <v>477.91828793774312</v>
      </c>
      <c r="F223" s="120">
        <f>(L213*L205*L206*MID(L208,1,4)*MID(L214,1,2)*MID(F213,1,3))/B223</f>
        <v>573.50194552529172</v>
      </c>
      <c r="G223" s="43"/>
      <c r="H223" s="43"/>
      <c r="I223" s="43"/>
      <c r="J223" s="43"/>
      <c r="K223" s="43"/>
      <c r="L223" s="43"/>
      <c r="M223" s="43"/>
      <c r="N223" s="43"/>
      <c r="O223" s="43"/>
    </row>
    <row r="224" spans="1:15">
      <c r="A224" s="45">
        <f>B18</f>
        <v>5</v>
      </c>
      <c r="B224" s="45">
        <f t="shared" si="23"/>
        <v>2.5700000000000007</v>
      </c>
      <c r="C224" s="276">
        <f t="shared" si="21"/>
        <v>3870.8622108292311</v>
      </c>
      <c r="D224" s="276">
        <f t="shared" si="21"/>
        <v>3789.1667401741761</v>
      </c>
      <c r="E224" s="119">
        <f>(L213*L205*L206*MID(L208,1,4)*MID(L214,1,2)*MID(E213,1,3))/B224</f>
        <v>430.12645914396882</v>
      </c>
      <c r="F224" s="120">
        <f>(L213*L205*L206*MID(L208,1,4)*MID(L214,1,2)*MID(F213,1,3))/B224</f>
        <v>516.15175097276256</v>
      </c>
      <c r="G224" s="43"/>
      <c r="H224" s="43"/>
      <c r="I224" s="43"/>
      <c r="J224" s="43"/>
      <c r="K224" s="43"/>
      <c r="L224" s="43"/>
      <c r="M224" s="43"/>
      <c r="N224" s="43"/>
      <c r="O224" s="43"/>
    </row>
    <row r="225" spans="1:14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</row>
    <row r="226" spans="1:14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</row>
    <row r="227" spans="1:14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</row>
    <row r="228" spans="1:14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</row>
    <row r="229" spans="1:14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</row>
    <row r="230" spans="1:14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</row>
    <row r="231" spans="1:14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</row>
    <row r="232" spans="1:14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</row>
    <row r="233" spans="1:14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</row>
    <row r="234" spans="1:1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</row>
    <row r="235" spans="1:14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</row>
    <row r="236" spans="1:14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</row>
    <row r="237" spans="1:14" s="223" customFormat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</row>
    <row r="238" spans="1:14" s="223" customFormat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</row>
    <row r="239" spans="1:14" s="223" customFormat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</row>
    <row r="240" spans="1:14" s="223" customFormat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</row>
    <row r="241" spans="1:14" s="223" customFormat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</row>
    <row r="242" spans="1:14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</row>
    <row r="243" spans="1:14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</row>
    <row r="244" spans="1:14" s="223" customFormat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</row>
    <row r="245" spans="1:14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</row>
    <row r="246" spans="1:14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</row>
    <row r="247" spans="1:14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</row>
    <row r="248" spans="1:14">
      <c r="A248" s="520" t="s">
        <v>67</v>
      </c>
      <c r="B248" s="520"/>
      <c r="C248" s="520"/>
      <c r="D248" s="520"/>
      <c r="E248" s="520"/>
      <c r="F248" s="520"/>
      <c r="G248" s="520"/>
      <c r="H248" s="520"/>
      <c r="I248" s="520"/>
      <c r="J248" s="520"/>
      <c r="K248" s="520"/>
      <c r="L248" s="520"/>
      <c r="M248" s="520"/>
      <c r="N248" s="520"/>
    </row>
    <row r="249" spans="1:14">
      <c r="A249" s="520"/>
      <c r="B249" s="520"/>
      <c r="C249" s="520"/>
      <c r="D249" s="520"/>
      <c r="E249" s="520"/>
      <c r="F249" s="520"/>
      <c r="G249" s="520"/>
      <c r="H249" s="520"/>
      <c r="I249" s="520"/>
      <c r="J249" s="520"/>
      <c r="K249" s="520"/>
      <c r="L249" s="520"/>
      <c r="M249" s="520"/>
      <c r="N249" s="520"/>
    </row>
    <row r="250" spans="1:14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</row>
    <row r="251" spans="1:14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</row>
    <row r="252" spans="1:14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</row>
    <row r="253" spans="1:14">
      <c r="A253" s="516" t="s">
        <v>318</v>
      </c>
      <c r="B253" s="516"/>
      <c r="C253" s="51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</row>
    <row r="254" spans="1:14">
      <c r="A254" s="516" t="s">
        <v>369</v>
      </c>
      <c r="B254" s="516"/>
      <c r="C254" s="37">
        <v>0.82499999999999996</v>
      </c>
      <c r="D254" s="36"/>
      <c r="E254" s="37"/>
      <c r="F254" s="517" t="str">
        <f>E213</f>
        <v>150 HP</v>
      </c>
      <c r="G254" s="518"/>
      <c r="H254" s="518"/>
      <c r="I254" s="518"/>
      <c r="J254" s="518"/>
      <c r="K254" s="518"/>
      <c r="L254" s="519"/>
      <c r="M254" s="36"/>
      <c r="N254" s="36"/>
    </row>
    <row r="255" spans="1:14">
      <c r="A255" s="516" t="s">
        <v>370</v>
      </c>
      <c r="B255" s="516"/>
      <c r="C255" s="37"/>
      <c r="D255" s="36"/>
      <c r="E255" s="37"/>
      <c r="F255" s="102" t="s">
        <v>84</v>
      </c>
      <c r="G255" s="102" t="s">
        <v>85</v>
      </c>
      <c r="H255" s="124" t="s">
        <v>75</v>
      </c>
      <c r="I255" s="124" t="s">
        <v>76</v>
      </c>
      <c r="J255" s="102" t="s">
        <v>77</v>
      </c>
      <c r="K255" s="102" t="s">
        <v>78</v>
      </c>
      <c r="L255" s="102" t="s">
        <v>79</v>
      </c>
      <c r="M255" s="36"/>
      <c r="N255" s="36"/>
    </row>
    <row r="256" spans="1:14">
      <c r="A256" s="37" t="s">
        <v>68</v>
      </c>
      <c r="B256" s="37"/>
      <c r="C256" s="37">
        <v>0.26500000000000001</v>
      </c>
      <c r="D256" s="36"/>
      <c r="E256" s="37" t="s">
        <v>80</v>
      </c>
      <c r="F256" s="37">
        <v>0.82499999999999996</v>
      </c>
      <c r="G256" s="37">
        <v>0.82499999999999996</v>
      </c>
      <c r="H256" s="37">
        <v>0.82499999999999996</v>
      </c>
      <c r="I256" s="37">
        <v>0.82499999999999996</v>
      </c>
      <c r="J256" s="37">
        <v>0.82499999999999996</v>
      </c>
      <c r="K256" s="37">
        <v>0.82499999999999996</v>
      </c>
      <c r="L256" s="37">
        <v>0.82499999999999996</v>
      </c>
      <c r="M256" s="36"/>
      <c r="N256" s="36"/>
    </row>
    <row r="257" spans="1:15">
      <c r="A257" s="37" t="s">
        <v>69</v>
      </c>
      <c r="B257" s="37"/>
      <c r="C257" s="37">
        <v>0.2</v>
      </c>
      <c r="D257" s="36"/>
      <c r="E257" s="37" t="s">
        <v>81</v>
      </c>
      <c r="F257" s="37">
        <v>0.85</v>
      </c>
      <c r="G257" s="37">
        <v>0.85</v>
      </c>
      <c r="H257" s="37">
        <v>0.85</v>
      </c>
      <c r="I257" s="37">
        <v>0.85</v>
      </c>
      <c r="J257" s="37">
        <v>0.85</v>
      </c>
      <c r="K257" s="37">
        <v>0.85</v>
      </c>
      <c r="L257" s="37">
        <v>0.85</v>
      </c>
      <c r="M257" s="36"/>
      <c r="N257" s="36"/>
    </row>
    <row r="258" spans="1:15">
      <c r="A258" s="37" t="s">
        <v>70</v>
      </c>
      <c r="B258" s="37"/>
      <c r="C258" s="37">
        <v>0.24</v>
      </c>
      <c r="D258" s="36"/>
      <c r="E258" s="37" t="s">
        <v>82</v>
      </c>
      <c r="F258" s="37">
        <v>0.26500000000000001</v>
      </c>
      <c r="G258" s="37">
        <v>0.2</v>
      </c>
      <c r="H258" s="37">
        <v>0.24</v>
      </c>
      <c r="I258" s="37">
        <v>0.28000000000000003</v>
      </c>
      <c r="J258" s="37">
        <v>0.25</v>
      </c>
      <c r="K258" s="37">
        <v>0.27</v>
      </c>
      <c r="L258" s="37">
        <v>0.3</v>
      </c>
      <c r="M258" s="36"/>
      <c r="N258" s="36"/>
    </row>
    <row r="259" spans="1:15">
      <c r="A259" s="37" t="s">
        <v>71</v>
      </c>
      <c r="B259" s="37"/>
      <c r="C259" s="37"/>
      <c r="D259" s="36"/>
      <c r="E259" s="37" t="s">
        <v>83</v>
      </c>
      <c r="F259" s="127">
        <f xml:space="preserve"> PRODUCT(F256,F257,F258,MID(F254,1,3))</f>
        <v>27.8746875</v>
      </c>
      <c r="G259" s="127">
        <f>PRODUCT(G256,G257,G258,MID(F254,1,3))</f>
        <v>21.037499999999998</v>
      </c>
      <c r="H259" s="127">
        <f xml:space="preserve"> PRODUCT(H256,H257,H258,MID(F254,1,3))</f>
        <v>25.244999999999997</v>
      </c>
      <c r="I259" s="127">
        <f xml:space="preserve"> PRODUCT(I256,I257,I258,MID(F254,1,3))</f>
        <v>29.452500000000001</v>
      </c>
      <c r="J259" s="127">
        <f>PRODUCT(J256,J257,J258,MID(F254,1,3))</f>
        <v>26.296874999999996</v>
      </c>
      <c r="K259" s="127">
        <f xml:space="preserve"> PRODUCT(K256,K257,K258,MID(F254,1,3))</f>
        <v>28.400624999999998</v>
      </c>
      <c r="L259" s="127">
        <f xml:space="preserve"> PRODUCT(L256,L257,L258,MID(F254,1,3))</f>
        <v>31.556249999999999</v>
      </c>
      <c r="M259" s="36"/>
      <c r="N259" s="36"/>
    </row>
    <row r="260" spans="1:15">
      <c r="A260" s="37" t="s">
        <v>72</v>
      </c>
      <c r="B260" s="37"/>
      <c r="C260" s="37"/>
      <c r="D260" s="36"/>
      <c r="E260" s="102" t="s">
        <v>87</v>
      </c>
      <c r="F260" s="125" t="s">
        <v>95</v>
      </c>
      <c r="G260" s="128">
        <f>AVERAGE(F259,G259,H259,I259)</f>
        <v>25.902421874999998</v>
      </c>
      <c r="H260" s="126"/>
      <c r="I260" s="126"/>
      <c r="J260" s="40"/>
      <c r="K260" s="130">
        <f>AVERAGE(J259,K259,L259)</f>
        <v>28.751249999999999</v>
      </c>
      <c r="L260" s="131" t="s">
        <v>96</v>
      </c>
      <c r="M260" s="36"/>
      <c r="N260" s="36"/>
    </row>
    <row r="261" spans="1:15">
      <c r="A261" s="37" t="s">
        <v>73</v>
      </c>
      <c r="B261" s="37"/>
      <c r="C261" s="37"/>
      <c r="D261" s="36"/>
      <c r="E261" s="108"/>
      <c r="F261" s="517" t="str">
        <f>F213</f>
        <v>180 HP</v>
      </c>
      <c r="G261" s="518"/>
      <c r="H261" s="518"/>
      <c r="I261" s="518"/>
      <c r="J261" s="518"/>
      <c r="K261" s="518"/>
      <c r="L261" s="519"/>
      <c r="M261" s="36"/>
      <c r="N261" s="36"/>
    </row>
    <row r="262" spans="1:15">
      <c r="A262" s="37" t="s">
        <v>74</v>
      </c>
      <c r="B262" s="37"/>
      <c r="C262" s="37"/>
      <c r="D262" s="36"/>
      <c r="E262" s="37"/>
      <c r="F262" s="102" t="s">
        <v>86</v>
      </c>
      <c r="G262" s="102" t="s">
        <v>75</v>
      </c>
      <c r="H262" s="102" t="s">
        <v>75</v>
      </c>
      <c r="I262" s="102" t="s">
        <v>76</v>
      </c>
      <c r="J262" s="102" t="s">
        <v>77</v>
      </c>
      <c r="K262" s="102" t="s">
        <v>78</v>
      </c>
      <c r="L262" s="102" t="s">
        <v>79</v>
      </c>
      <c r="M262" s="36"/>
      <c r="N262" s="36"/>
    </row>
    <row r="263" spans="1:15">
      <c r="A263" s="516" t="s">
        <v>367</v>
      </c>
      <c r="B263" s="516"/>
      <c r="C263" s="102" t="s">
        <v>368</v>
      </c>
      <c r="D263" s="36"/>
      <c r="E263" s="37" t="s">
        <v>80</v>
      </c>
      <c r="F263" s="37">
        <v>0.82499999999999996</v>
      </c>
      <c r="G263" s="37">
        <v>0.82499999999999996</v>
      </c>
      <c r="H263" s="37">
        <v>0.82499999999999996</v>
      </c>
      <c r="I263" s="37">
        <v>0.82499999999999996</v>
      </c>
      <c r="J263" s="37">
        <v>0.82499999999999996</v>
      </c>
      <c r="K263" s="37">
        <v>0.82499999999999996</v>
      </c>
      <c r="L263" s="37">
        <v>0.82499999999999996</v>
      </c>
      <c r="M263" s="36"/>
      <c r="N263" s="36"/>
    </row>
    <row r="264" spans="1:15">
      <c r="A264" s="36"/>
      <c r="B264" s="36"/>
      <c r="C264" s="36"/>
      <c r="D264" s="36"/>
      <c r="E264" s="37" t="s">
        <v>81</v>
      </c>
      <c r="F264" s="37">
        <v>0.85</v>
      </c>
      <c r="G264" s="37">
        <v>0.85</v>
      </c>
      <c r="H264" s="37">
        <v>0.85</v>
      </c>
      <c r="I264" s="37">
        <v>0.85</v>
      </c>
      <c r="J264" s="37">
        <v>0.85</v>
      </c>
      <c r="K264" s="37">
        <v>0.85</v>
      </c>
      <c r="L264" s="37">
        <v>0.85</v>
      </c>
      <c r="M264" s="36"/>
      <c r="N264" s="36"/>
    </row>
    <row r="265" spans="1:15">
      <c r="A265" s="36"/>
      <c r="B265" s="36"/>
      <c r="C265" s="36"/>
      <c r="D265" s="36"/>
      <c r="E265" s="37" t="s">
        <v>82</v>
      </c>
      <c r="F265" s="37">
        <v>0.26500000000000001</v>
      </c>
      <c r="G265" s="37">
        <v>0.2</v>
      </c>
      <c r="H265" s="37">
        <v>0.24</v>
      </c>
      <c r="I265" s="37">
        <v>0.28000000000000003</v>
      </c>
      <c r="J265" s="37">
        <v>0.25</v>
      </c>
      <c r="K265" s="37">
        <v>0.27</v>
      </c>
      <c r="L265" s="37">
        <v>0.3</v>
      </c>
      <c r="M265" s="36"/>
      <c r="N265" s="36"/>
    </row>
    <row r="266" spans="1:15">
      <c r="A266" s="36"/>
      <c r="B266" s="36"/>
      <c r="C266" s="36"/>
      <c r="D266" s="36"/>
      <c r="E266" s="37" t="s">
        <v>83</v>
      </c>
      <c r="F266" s="127">
        <f>PRODUCT(F263,F264,F265,MID(F261,1,3))</f>
        <v>33.449624999999997</v>
      </c>
      <c r="G266" s="127">
        <f>PRODUCT(G263,G264,G265,MID(F261,1,3))</f>
        <v>25.244999999999997</v>
      </c>
      <c r="H266" s="127">
        <f>PRODUCT(H263,H264,H265,MID(F261,1,3))</f>
        <v>30.293999999999997</v>
      </c>
      <c r="I266" s="127">
        <f>PRODUCT(I263,I264,I265,MID(F261,1,3))</f>
        <v>35.342999999999996</v>
      </c>
      <c r="J266" s="129">
        <f>PRODUCT(J263,J264,J265,MID(F261,1,3))</f>
        <v>31.556249999999999</v>
      </c>
      <c r="K266" s="129">
        <f>PRODUCT(K263,K264,K265,MID(F261,1,3))</f>
        <v>34.080750000000002</v>
      </c>
      <c r="L266" s="129">
        <f>PRODUCT(L263,L264,L265,MID(F261,1,3))</f>
        <v>37.867499999999993</v>
      </c>
      <c r="M266" s="36"/>
      <c r="N266" s="36"/>
    </row>
    <row r="267" spans="1:15">
      <c r="A267" s="36"/>
      <c r="B267" s="36"/>
      <c r="C267" s="36"/>
      <c r="D267" s="36"/>
      <c r="E267" s="102" t="s">
        <v>87</v>
      </c>
      <c r="F267" s="125" t="s">
        <v>95</v>
      </c>
      <c r="G267" s="128">
        <f>AVERAGE(F266,G266,H266,I266)</f>
        <v>31.082906249999994</v>
      </c>
      <c r="H267" s="126"/>
      <c r="I267" s="126"/>
      <c r="J267" s="40"/>
      <c r="K267" s="130">
        <f>AVERAGE(J266,K266,L266)</f>
        <v>34.5015</v>
      </c>
      <c r="L267" s="131" t="s">
        <v>96</v>
      </c>
      <c r="M267" s="36"/>
      <c r="N267" s="36"/>
    </row>
    <row r="268" spans="1:1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</row>
    <row r="269" spans="1:15">
      <c r="A269" s="36"/>
      <c r="B269" s="36"/>
      <c r="C269" s="42" t="str">
        <f>C213</f>
        <v>Estandar</v>
      </c>
      <c r="D269" s="42" t="str">
        <f>D213</f>
        <v>Modificada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</row>
    <row r="270" spans="1:15">
      <c r="A270" s="42" t="s">
        <v>8</v>
      </c>
      <c r="B270" s="269" t="s">
        <v>8</v>
      </c>
      <c r="C270" s="271" t="str">
        <f t="shared" ref="C270:D280" si="24">C214</f>
        <v>RN FAO A3</v>
      </c>
      <c r="D270" s="271" t="str">
        <f t="shared" si="24"/>
        <v>RN FAO A3</v>
      </c>
      <c r="E270" s="272" t="s">
        <v>91</v>
      </c>
      <c r="F270" s="38"/>
      <c r="G270" s="39" t="s">
        <v>92</v>
      </c>
      <c r="H270" s="38"/>
      <c r="I270" s="36"/>
      <c r="J270" s="36"/>
      <c r="K270" s="36"/>
      <c r="L270" s="36"/>
      <c r="M270" s="36"/>
      <c r="N270" s="36"/>
      <c r="O270" s="36"/>
    </row>
    <row r="271" spans="1:15">
      <c r="A271" s="41" t="s">
        <v>57</v>
      </c>
      <c r="B271" s="270" t="s">
        <v>88</v>
      </c>
      <c r="C271" s="41" t="str">
        <f t="shared" si="24"/>
        <v>[Kgf]</v>
      </c>
      <c r="D271" s="41" t="str">
        <f t="shared" si="24"/>
        <v>[Kgf]</v>
      </c>
      <c r="E271" s="38" t="s">
        <v>90</v>
      </c>
      <c r="F271" s="37" t="s">
        <v>93</v>
      </c>
      <c r="G271" s="37" t="s">
        <v>90</v>
      </c>
      <c r="H271" s="37" t="s">
        <v>94</v>
      </c>
      <c r="I271" s="36"/>
      <c r="J271" s="36"/>
      <c r="K271" s="36"/>
      <c r="L271" s="36"/>
      <c r="M271" s="36"/>
      <c r="N271" s="36"/>
      <c r="O271" s="36"/>
    </row>
    <row r="272" spans="1:15">
      <c r="A272" s="37">
        <v>1</v>
      </c>
      <c r="B272" s="37">
        <v>0.51439999999999997</v>
      </c>
      <c r="C272" s="273">
        <f t="shared" si="24"/>
        <v>422.36322657644956</v>
      </c>
      <c r="D272" s="273">
        <f t="shared" si="24"/>
        <v>413.44914989192739</v>
      </c>
      <c r="E272" s="133">
        <f>MID($C$263,1,2)*$F$259/B272</f>
        <v>4064.155448094868</v>
      </c>
      <c r="F272" s="133">
        <f>MID($C$263,1,2)*$L$259/B272</f>
        <v>4600.9306959564547</v>
      </c>
      <c r="G272" s="133">
        <f>MID($C$263,1,2)*$F$266/B272</f>
        <v>4876.9865377138412</v>
      </c>
      <c r="H272" s="133">
        <f>MID($C$263,1,2)*$L$266/B272</f>
        <v>5521.1168351477445</v>
      </c>
      <c r="I272" s="36"/>
      <c r="J272" s="123"/>
      <c r="K272" s="123"/>
      <c r="L272" s="123"/>
      <c r="M272" s="123"/>
      <c r="N272" s="109"/>
      <c r="O272" s="109"/>
    </row>
    <row r="273" spans="1:15">
      <c r="A273" s="37">
        <v>1.5</v>
      </c>
      <c r="B273" s="37">
        <f t="shared" ref="B273:B280" si="25">A273*B272/A272</f>
        <v>0.77159999999999995</v>
      </c>
      <c r="C273" s="273">
        <f t="shared" si="24"/>
        <v>631.52956087214341</v>
      </c>
      <c r="D273" s="273">
        <f t="shared" si="24"/>
        <v>618.20097878939919</v>
      </c>
      <c r="E273" s="133">
        <f t="shared" ref="E273:E280" si="26">MID($C$263,1,2)*$F$259/B273</f>
        <v>2709.4369653965787</v>
      </c>
      <c r="F273" s="133">
        <f t="shared" ref="F273:F280" si="27">MID($C$263,1,2)*$L$259/B273</f>
        <v>3067.2871306376364</v>
      </c>
      <c r="G273" s="133">
        <f t="shared" ref="G273:G280" si="28">MID($C$263,1,2)*$F$266/B273</f>
        <v>3251.3243584758943</v>
      </c>
      <c r="H273" s="133">
        <f t="shared" ref="H273:H280" si="29">MID($C$263,1,2)*$L$266/B273</f>
        <v>3680.744556765163</v>
      </c>
      <c r="I273" s="36"/>
      <c r="J273" s="123"/>
      <c r="K273" s="123"/>
      <c r="L273" s="123"/>
      <c r="M273" s="123"/>
      <c r="N273" s="109"/>
      <c r="O273" s="109"/>
    </row>
    <row r="274" spans="1:15">
      <c r="A274" s="37">
        <v>2</v>
      </c>
      <c r="B274" s="37">
        <f t="shared" si="25"/>
        <v>1.0287999999999999</v>
      </c>
      <c r="C274" s="273">
        <f t="shared" si="24"/>
        <v>914.90100549547947</v>
      </c>
      <c r="D274" s="273">
        <f t="shared" si="24"/>
        <v>895.5918014536428</v>
      </c>
      <c r="E274" s="133">
        <f t="shared" si="26"/>
        <v>2032.077724047434</v>
      </c>
      <c r="F274" s="133">
        <f t="shared" si="27"/>
        <v>2300.4653479782273</v>
      </c>
      <c r="G274" s="133">
        <f t="shared" si="28"/>
        <v>2438.4932688569206</v>
      </c>
      <c r="H274" s="133">
        <f t="shared" si="29"/>
        <v>2760.5584175738722</v>
      </c>
      <c r="I274" s="36"/>
      <c r="J274" s="123"/>
      <c r="K274" s="123"/>
      <c r="L274" s="123"/>
      <c r="M274" s="123"/>
      <c r="N274" s="109"/>
      <c r="O274" s="109"/>
    </row>
    <row r="275" spans="1:15">
      <c r="A275" s="37">
        <v>2.5</v>
      </c>
      <c r="B275" s="37">
        <f t="shared" si="25"/>
        <v>1.286</v>
      </c>
      <c r="C275" s="273">
        <f t="shared" si="24"/>
        <v>1266.3281776772249</v>
      </c>
      <c r="D275" s="273">
        <f t="shared" si="24"/>
        <v>1239.6020193061838</v>
      </c>
      <c r="E275" s="133">
        <f t="shared" si="26"/>
        <v>1625.6621792379472</v>
      </c>
      <c r="F275" s="133">
        <f t="shared" si="27"/>
        <v>1840.3722783825815</v>
      </c>
      <c r="G275" s="133">
        <f t="shared" si="28"/>
        <v>1950.7946150855362</v>
      </c>
      <c r="H275" s="133">
        <f t="shared" si="29"/>
        <v>2208.4467340590977</v>
      </c>
      <c r="I275" s="36"/>
      <c r="J275" s="123"/>
      <c r="K275" s="123"/>
      <c r="L275" s="123"/>
      <c r="M275" s="123"/>
      <c r="N275" s="109"/>
      <c r="O275" s="109"/>
    </row>
    <row r="276" spans="1:15">
      <c r="A276" s="37">
        <v>3</v>
      </c>
      <c r="B276" s="37">
        <f t="shared" si="25"/>
        <v>1.5432000000000001</v>
      </c>
      <c r="C276" s="273">
        <f t="shared" si="24"/>
        <v>1680.3228964186867</v>
      </c>
      <c r="D276" s="273">
        <f t="shared" si="24"/>
        <v>1644.8592807179402</v>
      </c>
      <c r="E276" s="133">
        <f t="shared" si="26"/>
        <v>1354.7184826982891</v>
      </c>
      <c r="F276" s="133">
        <f t="shared" si="27"/>
        <v>1533.643565318818</v>
      </c>
      <c r="G276" s="133">
        <f t="shared" si="28"/>
        <v>1625.6621792379467</v>
      </c>
      <c r="H276" s="133">
        <f t="shared" si="29"/>
        <v>1840.3722783825813</v>
      </c>
      <c r="I276" s="36"/>
      <c r="J276" s="123"/>
      <c r="K276" s="123"/>
      <c r="L276" s="123"/>
      <c r="M276" s="123"/>
      <c r="N276" s="109"/>
      <c r="O276" s="109"/>
    </row>
    <row r="277" spans="1:15">
      <c r="A277" s="37">
        <v>3.5</v>
      </c>
      <c r="B277" s="37">
        <f t="shared" si="25"/>
        <v>1.8004</v>
      </c>
      <c r="C277" s="273">
        <f t="shared" si="24"/>
        <v>2151.9716405847998</v>
      </c>
      <c r="D277" s="273">
        <f t="shared" si="24"/>
        <v>2106.5537655899047</v>
      </c>
      <c r="E277" s="133">
        <f t="shared" si="26"/>
        <v>1161.1872708842479</v>
      </c>
      <c r="F277" s="133">
        <f t="shared" si="27"/>
        <v>1314.5516274161298</v>
      </c>
      <c r="G277" s="133">
        <f t="shared" si="28"/>
        <v>1393.4247250610974</v>
      </c>
      <c r="H277" s="133">
        <f t="shared" si="29"/>
        <v>1577.4619528993555</v>
      </c>
      <c r="I277" s="36"/>
      <c r="J277" s="36"/>
      <c r="K277" s="36"/>
      <c r="L277" s="36"/>
      <c r="M277" s="36"/>
      <c r="N277" s="36"/>
      <c r="O277" s="36"/>
    </row>
    <row r="278" spans="1:15">
      <c r="A278" s="37">
        <v>4</v>
      </c>
      <c r="B278" s="37">
        <f t="shared" si="25"/>
        <v>2.0575999999999999</v>
      </c>
      <c r="C278" s="273">
        <f t="shared" si="24"/>
        <v>2676.8622527857369</v>
      </c>
      <c r="D278" s="273">
        <f t="shared" si="24"/>
        <v>2620.3664361668261</v>
      </c>
      <c r="E278" s="133">
        <f t="shared" si="26"/>
        <v>1016.038862023717</v>
      </c>
      <c r="F278" s="133">
        <f t="shared" si="27"/>
        <v>1150.2326739891137</v>
      </c>
      <c r="G278" s="133">
        <f t="shared" si="28"/>
        <v>1219.2466344284603</v>
      </c>
      <c r="H278" s="133">
        <f t="shared" si="29"/>
        <v>1380.2792087869361</v>
      </c>
      <c r="I278" s="36"/>
      <c r="J278" s="36"/>
      <c r="K278" s="36"/>
      <c r="L278" s="36"/>
      <c r="M278" s="36"/>
      <c r="N278" s="36"/>
      <c r="O278" s="36"/>
    </row>
    <row r="279" spans="1:15">
      <c r="A279" s="37">
        <v>4.5</v>
      </c>
      <c r="B279" s="37">
        <f t="shared" si="25"/>
        <v>2.3148</v>
      </c>
      <c r="C279" s="273">
        <f t="shared" si="24"/>
        <v>3251.0215826380531</v>
      </c>
      <c r="D279" s="273">
        <f t="shared" si="24"/>
        <v>3182.4079963522054</v>
      </c>
      <c r="E279" s="133">
        <f t="shared" si="26"/>
        <v>903.14565513219281</v>
      </c>
      <c r="F279" s="133">
        <f t="shared" si="27"/>
        <v>1022.4290435458787</v>
      </c>
      <c r="G279" s="133">
        <f t="shared" si="28"/>
        <v>1083.7747861586313</v>
      </c>
      <c r="H279" s="133">
        <f t="shared" si="29"/>
        <v>1226.9148522550543</v>
      </c>
      <c r="I279" s="36"/>
      <c r="J279" s="36"/>
      <c r="K279" s="36"/>
      <c r="L279" s="36"/>
      <c r="M279" s="36"/>
      <c r="N279" s="36"/>
      <c r="O279" s="36"/>
    </row>
    <row r="280" spans="1:15">
      <c r="A280" s="42">
        <v>5</v>
      </c>
      <c r="B280" s="42">
        <f t="shared" si="25"/>
        <v>2.5720000000000001</v>
      </c>
      <c r="C280" s="273">
        <f t="shared" si="24"/>
        <v>3870.8622108292311</v>
      </c>
      <c r="D280" s="273">
        <f t="shared" si="24"/>
        <v>3789.1667401741761</v>
      </c>
      <c r="E280" s="133">
        <f t="shared" si="26"/>
        <v>812.83108961897358</v>
      </c>
      <c r="F280" s="133">
        <f t="shared" si="27"/>
        <v>920.18613919129075</v>
      </c>
      <c r="G280" s="133">
        <f t="shared" si="28"/>
        <v>975.39730754276809</v>
      </c>
      <c r="H280" s="133">
        <f t="shared" si="29"/>
        <v>1104.2233670295489</v>
      </c>
      <c r="I280" s="36"/>
      <c r="J280" s="36"/>
      <c r="K280" s="36"/>
      <c r="L280" s="36"/>
      <c r="M280" s="36"/>
      <c r="N280" s="36"/>
      <c r="O280" s="36"/>
    </row>
    <row r="281" spans="1:15">
      <c r="A281" s="132"/>
      <c r="B281" s="132"/>
      <c r="C281" s="132"/>
      <c r="D281" s="132"/>
      <c r="E281" s="132"/>
      <c r="F281" s="132"/>
      <c r="G281" s="132"/>
      <c r="H281" s="36"/>
      <c r="I281" s="36"/>
      <c r="J281" s="36"/>
      <c r="K281" s="36"/>
      <c r="L281" s="36"/>
      <c r="M281" s="36"/>
      <c r="N281" s="36"/>
    </row>
    <row r="282" spans="1:15">
      <c r="A282" s="108"/>
      <c r="B282" s="108"/>
      <c r="C282" s="108"/>
      <c r="D282" s="108"/>
      <c r="E282" s="108"/>
      <c r="F282" s="108"/>
      <c r="G282" s="108"/>
      <c r="H282" s="36"/>
      <c r="I282" s="36"/>
      <c r="J282" s="36"/>
      <c r="K282" s="36"/>
      <c r="L282" s="36"/>
      <c r="M282" s="36"/>
      <c r="N282" s="36"/>
    </row>
    <row r="283" spans="1:1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</row>
    <row r="284" spans="1:1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</row>
    <row r="285" spans="1:15" s="223" customForma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</row>
    <row r="286" spans="1:15" s="223" customForma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</row>
    <row r="287" spans="1:15" s="223" customForma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</row>
    <row r="288" spans="1:1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</row>
    <row r="289" spans="1:1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</row>
    <row r="290" spans="1:1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</row>
    <row r="291" spans="1:1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</row>
    <row r="292" spans="1:15">
      <c r="A292" s="523" t="s">
        <v>97</v>
      </c>
      <c r="B292" s="523"/>
      <c r="C292" s="523"/>
      <c r="D292" s="523"/>
      <c r="E292" s="523"/>
      <c r="F292" s="523"/>
      <c r="G292" s="523"/>
      <c r="H292" s="523"/>
      <c r="I292" s="523"/>
      <c r="J292" s="523"/>
      <c r="K292" s="523"/>
      <c r="L292" s="523"/>
      <c r="M292" s="523"/>
      <c r="N292" s="523"/>
    </row>
    <row r="293" spans="1:15">
      <c r="A293" s="523"/>
      <c r="B293" s="523"/>
      <c r="C293" s="523"/>
      <c r="D293" s="523"/>
      <c r="E293" s="523"/>
      <c r="F293" s="523"/>
      <c r="G293" s="523"/>
      <c r="H293" s="523"/>
      <c r="I293" s="523"/>
      <c r="J293" s="523"/>
      <c r="K293" s="523"/>
      <c r="L293" s="523"/>
      <c r="M293" s="523"/>
      <c r="N293" s="523"/>
    </row>
    <row r="294" spans="1:1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</row>
    <row r="295" spans="1:15">
      <c r="A295" s="524" t="s">
        <v>373</v>
      </c>
      <c r="B295" s="524"/>
      <c r="C295" s="134" t="str">
        <f>D297</f>
        <v>150 HP</v>
      </c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</row>
    <row r="296" spans="1:15">
      <c r="A296" s="137"/>
      <c r="B296" s="137"/>
      <c r="C296" s="137"/>
      <c r="D296" s="137" t="s">
        <v>98</v>
      </c>
      <c r="E296" s="138" t="s">
        <v>99</v>
      </c>
      <c r="F296" s="137" t="s">
        <v>100</v>
      </c>
      <c r="G296" s="137" t="s">
        <v>101</v>
      </c>
      <c r="H296" s="137" t="s">
        <v>102</v>
      </c>
      <c r="I296" s="140" t="s">
        <v>371</v>
      </c>
      <c r="J296" s="134"/>
      <c r="K296" s="134"/>
      <c r="L296" s="134"/>
      <c r="M296" s="134"/>
      <c r="N296" s="134"/>
      <c r="O296" s="134"/>
    </row>
    <row r="297" spans="1:15">
      <c r="A297" s="137"/>
      <c r="B297" s="137" t="str">
        <f>C269</f>
        <v>Estandar</v>
      </c>
      <c r="C297" s="137" t="str">
        <f>D269</f>
        <v>Modificada</v>
      </c>
      <c r="D297" s="137" t="str">
        <f>F254</f>
        <v>150 HP</v>
      </c>
      <c r="E297" s="137" t="str">
        <f>D297</f>
        <v>150 HP</v>
      </c>
      <c r="F297" s="137" t="str">
        <f>E297</f>
        <v>150 HP</v>
      </c>
      <c r="G297" s="137" t="str">
        <f>F297</f>
        <v>150 HP</v>
      </c>
      <c r="H297" s="137" t="str">
        <f>G297</f>
        <v>150 HP</v>
      </c>
      <c r="I297" s="137" t="str">
        <f>H297</f>
        <v>150 HP</v>
      </c>
      <c r="J297" s="134"/>
      <c r="K297" s="134"/>
      <c r="L297" s="134"/>
      <c r="M297" s="134"/>
      <c r="N297" s="134"/>
      <c r="O297" s="134"/>
    </row>
    <row r="298" spans="1:15">
      <c r="A298" s="137" t="s">
        <v>8</v>
      </c>
      <c r="B298" s="137" t="str">
        <f t="shared" ref="B298:C308" si="30">C270</f>
        <v>RN FAO A3</v>
      </c>
      <c r="C298" s="137" t="str">
        <f t="shared" si="30"/>
        <v>RN FAO A3</v>
      </c>
      <c r="D298" s="137" t="s">
        <v>103</v>
      </c>
      <c r="E298" s="137" t="s">
        <v>104</v>
      </c>
      <c r="F298" s="137"/>
      <c r="G298" s="137"/>
      <c r="H298" s="137" t="s">
        <v>90</v>
      </c>
      <c r="I298" s="137"/>
      <c r="J298" s="134"/>
      <c r="K298" s="134"/>
      <c r="L298" s="134"/>
      <c r="M298" s="134"/>
      <c r="N298" s="134"/>
      <c r="O298" s="134"/>
    </row>
    <row r="299" spans="1:15">
      <c r="A299" s="137" t="s">
        <v>57</v>
      </c>
      <c r="B299" s="137" t="str">
        <f t="shared" si="30"/>
        <v>[Kgf]</v>
      </c>
      <c r="C299" s="137" t="str">
        <f t="shared" si="30"/>
        <v>[Kgf]</v>
      </c>
      <c r="D299" s="137" t="s">
        <v>55</v>
      </c>
      <c r="E299" s="137" t="s">
        <v>55</v>
      </c>
      <c r="F299" s="137" t="s">
        <v>55</v>
      </c>
      <c r="G299" s="137" t="s">
        <v>55</v>
      </c>
      <c r="H299" s="137" t="s">
        <v>55</v>
      </c>
      <c r="I299" s="140" t="s">
        <v>89</v>
      </c>
      <c r="J299" s="134"/>
      <c r="K299" s="134"/>
      <c r="L299" s="134"/>
      <c r="M299" s="134"/>
      <c r="N299" s="134"/>
      <c r="O299" s="134"/>
    </row>
    <row r="300" spans="1:15">
      <c r="A300" s="137">
        <v>1</v>
      </c>
      <c r="B300" s="268">
        <f t="shared" si="30"/>
        <v>422.36322657644956</v>
      </c>
      <c r="C300" s="268">
        <f t="shared" si="30"/>
        <v>413.44914989192739</v>
      </c>
      <c r="D300" s="137">
        <v>1395</v>
      </c>
      <c r="E300" s="139">
        <v>3824.9718750000006</v>
      </c>
      <c r="F300" s="139">
        <v>2382.3529411764707</v>
      </c>
      <c r="G300" s="139">
        <f>E216</f>
        <v>2150.6322957198445</v>
      </c>
      <c r="H300" s="139">
        <v>4064.155448094868</v>
      </c>
      <c r="I300" s="139">
        <f>AVERAGE(D300:H300)</f>
        <v>2763.4225119982366</v>
      </c>
      <c r="J300" s="134"/>
      <c r="K300" s="134"/>
      <c r="L300" s="134"/>
      <c r="M300" s="134"/>
      <c r="N300" s="134"/>
      <c r="O300" s="134"/>
    </row>
    <row r="301" spans="1:15">
      <c r="A301" s="137">
        <v>1.5</v>
      </c>
      <c r="B301" s="268">
        <f t="shared" si="30"/>
        <v>631.52956087214341</v>
      </c>
      <c r="C301" s="268">
        <f t="shared" si="30"/>
        <v>618.20097878939919</v>
      </c>
      <c r="D301" s="137">
        <v>1342.5</v>
      </c>
      <c r="E301" s="139">
        <v>2549.9812500000003</v>
      </c>
      <c r="F301" s="139">
        <v>1577.922077922078</v>
      </c>
      <c r="G301" s="139">
        <f t="shared" ref="G301:G308" si="31">E217</f>
        <v>1433.7548638132298</v>
      </c>
      <c r="H301" s="139">
        <v>2709.4369653965787</v>
      </c>
      <c r="I301" s="139">
        <f t="shared" ref="I301:I308" si="32">AVERAGE(D301:H301)</f>
        <v>1922.7190314263776</v>
      </c>
      <c r="J301" s="134"/>
      <c r="K301" s="134"/>
      <c r="L301" s="134"/>
      <c r="M301" s="134"/>
      <c r="N301" s="134"/>
      <c r="O301" s="134"/>
    </row>
    <row r="302" spans="1:15">
      <c r="A302" s="137">
        <v>2</v>
      </c>
      <c r="B302" s="268">
        <f t="shared" si="30"/>
        <v>914.90100549547947</v>
      </c>
      <c r="C302" s="268">
        <f t="shared" si="30"/>
        <v>895.5918014536428</v>
      </c>
      <c r="D302" s="137">
        <v>1290</v>
      </c>
      <c r="E302" s="139">
        <v>1912.4859375000003</v>
      </c>
      <c r="F302" s="139">
        <v>1179.6116504854369</v>
      </c>
      <c r="G302" s="139">
        <f t="shared" si="31"/>
        <v>1075.3161478599222</v>
      </c>
      <c r="H302" s="139">
        <v>2032.077724047434</v>
      </c>
      <c r="I302" s="139">
        <f t="shared" si="32"/>
        <v>1497.8982919785587</v>
      </c>
      <c r="J302" s="134"/>
      <c r="K302" s="134"/>
      <c r="L302" s="134"/>
      <c r="M302" s="134"/>
      <c r="N302" s="134"/>
      <c r="O302" s="134"/>
    </row>
    <row r="303" spans="1:15">
      <c r="A303" s="137">
        <v>2.5</v>
      </c>
      <c r="B303" s="268">
        <f t="shared" si="30"/>
        <v>1266.3281776772249</v>
      </c>
      <c r="C303" s="268">
        <f t="shared" si="30"/>
        <v>1239.6020193061838</v>
      </c>
      <c r="D303" s="137">
        <v>1237.5</v>
      </c>
      <c r="E303" s="139">
        <v>1529.9887499999998</v>
      </c>
      <c r="F303" s="139">
        <v>941.86046511627899</v>
      </c>
      <c r="G303" s="139">
        <f t="shared" si="31"/>
        <v>860.25291828793775</v>
      </c>
      <c r="H303" s="139">
        <v>1625.6621792379472</v>
      </c>
      <c r="I303" s="139">
        <f t="shared" si="32"/>
        <v>1239.0528625284328</v>
      </c>
      <c r="J303" s="134"/>
      <c r="K303" s="134"/>
      <c r="L303" s="134"/>
      <c r="M303" s="134"/>
      <c r="N303" s="134"/>
      <c r="O303" s="134"/>
    </row>
    <row r="304" spans="1:15">
      <c r="A304" s="137">
        <v>3</v>
      </c>
      <c r="B304" s="268">
        <f t="shared" si="30"/>
        <v>1680.3228964186867</v>
      </c>
      <c r="C304" s="268">
        <f t="shared" si="30"/>
        <v>1644.8592807179402</v>
      </c>
      <c r="D304" s="137">
        <v>1185</v>
      </c>
      <c r="E304" s="139">
        <v>1274.9906250000001</v>
      </c>
      <c r="F304" s="139">
        <v>783.87096774193549</v>
      </c>
      <c r="G304" s="139">
        <f t="shared" si="31"/>
        <v>716.87743190661479</v>
      </c>
      <c r="H304" s="139">
        <v>1354.7184826982891</v>
      </c>
      <c r="I304" s="139">
        <f t="shared" si="32"/>
        <v>1063.0915014693678</v>
      </c>
      <c r="J304" s="134"/>
      <c r="K304" s="134"/>
      <c r="L304" s="134"/>
      <c r="M304" s="134"/>
      <c r="N304" s="134"/>
      <c r="O304" s="134"/>
    </row>
    <row r="305" spans="1:15">
      <c r="A305" s="137">
        <v>3.5</v>
      </c>
      <c r="B305" s="268">
        <f t="shared" si="30"/>
        <v>2151.9716405847998</v>
      </c>
      <c r="C305" s="268">
        <f t="shared" si="30"/>
        <v>2106.5537655899047</v>
      </c>
      <c r="D305" s="137">
        <v>1132.5</v>
      </c>
      <c r="E305" s="139">
        <v>1092.8491071428573</v>
      </c>
      <c r="F305" s="139">
        <v>671.27071823204415</v>
      </c>
      <c r="G305" s="139">
        <f t="shared" si="31"/>
        <v>614.46637020566982</v>
      </c>
      <c r="H305" s="139">
        <v>1161.1872708842479</v>
      </c>
      <c r="I305" s="139">
        <f t="shared" si="32"/>
        <v>934.45469329296395</v>
      </c>
      <c r="J305" s="134"/>
      <c r="K305" s="134"/>
      <c r="L305" s="134"/>
      <c r="M305" s="134"/>
      <c r="N305" s="134"/>
      <c r="O305" s="134"/>
    </row>
    <row r="306" spans="1:15">
      <c r="A306" s="137">
        <v>4</v>
      </c>
      <c r="B306" s="268">
        <f t="shared" si="30"/>
        <v>2676.8622527857369</v>
      </c>
      <c r="C306" s="268">
        <f t="shared" si="30"/>
        <v>2620.3664361668261</v>
      </c>
      <c r="D306" s="137">
        <v>1080</v>
      </c>
      <c r="E306" s="139">
        <v>956.24296875000016</v>
      </c>
      <c r="F306" s="139">
        <v>586.95652173913049</v>
      </c>
      <c r="G306" s="139">
        <f t="shared" si="31"/>
        <v>537.65807392996101</v>
      </c>
      <c r="H306" s="139">
        <v>1016.038862023717</v>
      </c>
      <c r="I306" s="139">
        <f t="shared" si="32"/>
        <v>835.37928528856173</v>
      </c>
      <c r="J306" s="134"/>
      <c r="K306" s="134"/>
      <c r="L306" s="134"/>
      <c r="M306" s="134"/>
      <c r="N306" s="134"/>
      <c r="O306" s="134"/>
    </row>
    <row r="307" spans="1:15">
      <c r="A307" s="137">
        <v>4.5</v>
      </c>
      <c r="B307" s="268">
        <f t="shared" si="30"/>
        <v>3251.0215826380531</v>
      </c>
      <c r="C307" s="268">
        <f t="shared" si="30"/>
        <v>3182.4079963522054</v>
      </c>
      <c r="D307" s="137">
        <v>1027.5</v>
      </c>
      <c r="E307" s="139">
        <v>849.99374999999998</v>
      </c>
      <c r="F307" s="139">
        <v>521.45922746781116</v>
      </c>
      <c r="G307" s="139">
        <f t="shared" si="31"/>
        <v>477.91828793774312</v>
      </c>
      <c r="H307" s="139">
        <v>903.14565513219281</v>
      </c>
      <c r="I307" s="139">
        <f t="shared" si="32"/>
        <v>756.00338410754944</v>
      </c>
      <c r="J307" s="134"/>
      <c r="K307" s="134"/>
      <c r="L307" s="134"/>
      <c r="M307" s="134"/>
      <c r="N307" s="134"/>
      <c r="O307" s="134"/>
    </row>
    <row r="308" spans="1:15">
      <c r="A308" s="137">
        <v>5</v>
      </c>
      <c r="B308" s="268">
        <f t="shared" si="30"/>
        <v>3870.8622108292311</v>
      </c>
      <c r="C308" s="268">
        <f t="shared" si="30"/>
        <v>3789.1667401741761</v>
      </c>
      <c r="D308" s="137">
        <v>975</v>
      </c>
      <c r="E308" s="139">
        <v>764.99437499999988</v>
      </c>
      <c r="F308" s="139">
        <v>469.11196911196913</v>
      </c>
      <c r="G308" s="139">
        <f t="shared" si="31"/>
        <v>430.12645914396882</v>
      </c>
      <c r="H308" s="139">
        <v>812.83108961897358</v>
      </c>
      <c r="I308" s="139">
        <f t="shared" si="32"/>
        <v>690.41277857498233</v>
      </c>
      <c r="J308" s="134"/>
      <c r="K308" s="134"/>
      <c r="L308" s="134"/>
      <c r="M308" s="134"/>
      <c r="N308" s="134"/>
      <c r="O308" s="134"/>
    </row>
    <row r="309" spans="1:15">
      <c r="A309" s="136"/>
      <c r="B309" s="136"/>
      <c r="C309" s="136"/>
      <c r="D309" s="136"/>
      <c r="E309" s="136"/>
      <c r="F309" s="136"/>
      <c r="G309" s="136"/>
      <c r="H309" s="136"/>
      <c r="I309" s="134"/>
      <c r="J309" s="134"/>
      <c r="K309" s="134"/>
      <c r="L309" s="134"/>
      <c r="M309" s="134"/>
      <c r="N309" s="134"/>
    </row>
    <row r="310" spans="1:15">
      <c r="A310" s="136"/>
      <c r="B310" s="136"/>
      <c r="C310" s="136"/>
      <c r="D310" s="136"/>
      <c r="E310" s="136"/>
      <c r="F310" s="136"/>
      <c r="G310" s="136"/>
      <c r="H310" s="136"/>
      <c r="I310" s="134"/>
      <c r="J310" s="134"/>
      <c r="K310" s="134"/>
      <c r="L310" s="134"/>
      <c r="M310" s="134"/>
      <c r="N310" s="134"/>
    </row>
    <row r="311" spans="1:1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</row>
    <row r="312" spans="1:1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</row>
    <row r="313" spans="1:1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</row>
    <row r="314" spans="1:15">
      <c r="A314" s="524" t="s">
        <v>372</v>
      </c>
      <c r="B314" s="524"/>
      <c r="C314" s="134" t="str">
        <f>D316</f>
        <v>150 HP</v>
      </c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</row>
    <row r="315" spans="1:15">
      <c r="A315" s="137"/>
      <c r="B315" s="137"/>
      <c r="C315" s="137"/>
      <c r="D315" s="137" t="s">
        <v>98</v>
      </c>
      <c r="E315" s="138" t="s">
        <v>99</v>
      </c>
      <c r="F315" s="137" t="s">
        <v>100</v>
      </c>
      <c r="G315" s="137" t="s">
        <v>101</v>
      </c>
      <c r="H315" s="137" t="s">
        <v>102</v>
      </c>
      <c r="I315" s="140" t="s">
        <v>371</v>
      </c>
      <c r="J315" s="134"/>
      <c r="K315" s="134"/>
      <c r="L315" s="134"/>
      <c r="M315" s="134"/>
      <c r="N315" s="134"/>
      <c r="O315" s="134"/>
    </row>
    <row r="316" spans="1:15">
      <c r="A316" s="137"/>
      <c r="B316" s="137" t="str">
        <f t="shared" ref="B316:H316" si="33">B297</f>
        <v>Estandar</v>
      </c>
      <c r="C316" s="137" t="str">
        <f t="shared" si="33"/>
        <v>Modificada</v>
      </c>
      <c r="D316" s="137" t="str">
        <f t="shared" si="33"/>
        <v>150 HP</v>
      </c>
      <c r="E316" s="137" t="str">
        <f t="shared" si="33"/>
        <v>150 HP</v>
      </c>
      <c r="F316" s="137" t="str">
        <f t="shared" si="33"/>
        <v>150 HP</v>
      </c>
      <c r="G316" s="137" t="str">
        <f t="shared" si="33"/>
        <v>150 HP</v>
      </c>
      <c r="H316" s="137" t="str">
        <f t="shared" si="33"/>
        <v>150 HP</v>
      </c>
      <c r="I316" s="137" t="str">
        <f>H316</f>
        <v>150 HP</v>
      </c>
      <c r="J316" s="134"/>
      <c r="K316" s="134"/>
      <c r="L316" s="134"/>
      <c r="M316" s="134"/>
      <c r="N316" s="134"/>
      <c r="O316" s="134"/>
    </row>
    <row r="317" spans="1:15">
      <c r="A317" s="137" t="s">
        <v>8</v>
      </c>
      <c r="B317" s="137" t="str">
        <f t="shared" ref="B317:C327" si="34">B298</f>
        <v>RN FAO A3</v>
      </c>
      <c r="C317" s="137" t="str">
        <f t="shared" si="34"/>
        <v>RN FAO A3</v>
      </c>
      <c r="D317" s="137" t="s">
        <v>105</v>
      </c>
      <c r="E317" s="137" t="s">
        <v>106</v>
      </c>
      <c r="F317" s="137"/>
      <c r="G317" s="137"/>
      <c r="H317" s="137" t="s">
        <v>93</v>
      </c>
      <c r="I317" s="137"/>
      <c r="J317" s="134"/>
      <c r="K317" s="134"/>
      <c r="L317" s="134"/>
      <c r="M317" s="134"/>
      <c r="N317" s="134"/>
      <c r="O317" s="134"/>
    </row>
    <row r="318" spans="1:15">
      <c r="A318" s="137" t="s">
        <v>57</v>
      </c>
      <c r="B318" s="137" t="str">
        <f t="shared" si="34"/>
        <v>[Kgf]</v>
      </c>
      <c r="C318" s="137" t="str">
        <f t="shared" si="34"/>
        <v>[Kgf]</v>
      </c>
      <c r="D318" s="137" t="s">
        <v>55</v>
      </c>
      <c r="E318" s="137" t="s">
        <v>55</v>
      </c>
      <c r="F318" s="137" t="s">
        <v>55</v>
      </c>
      <c r="G318" s="137" t="s">
        <v>55</v>
      </c>
      <c r="H318" s="137" t="s">
        <v>55</v>
      </c>
      <c r="I318" s="140" t="s">
        <v>89</v>
      </c>
      <c r="J318" s="134"/>
      <c r="K318" s="134"/>
      <c r="L318" s="134"/>
      <c r="M318" s="134"/>
      <c r="N318" s="134"/>
      <c r="O318" s="134"/>
    </row>
    <row r="319" spans="1:15">
      <c r="A319" s="137">
        <v>1</v>
      </c>
      <c r="B319" s="268">
        <f t="shared" si="34"/>
        <v>422.36322657644956</v>
      </c>
      <c r="C319" s="268">
        <f t="shared" si="34"/>
        <v>413.44914989192739</v>
      </c>
      <c r="D319" s="139">
        <v>2145</v>
      </c>
      <c r="E319" s="139">
        <v>5252.2171875000004</v>
      </c>
      <c r="F319" s="139">
        <v>1985.2941176470588</v>
      </c>
      <c r="G319" s="139">
        <f>F272</f>
        <v>4600.9306959564547</v>
      </c>
      <c r="H319" s="139">
        <v>4600.9306959564547</v>
      </c>
      <c r="I319" s="139">
        <f>AVERAGE(D319:H319)</f>
        <v>3716.8745394119933</v>
      </c>
      <c r="J319" s="134"/>
      <c r="K319" s="134"/>
      <c r="L319" s="134"/>
      <c r="M319" s="134"/>
      <c r="N319" s="134"/>
      <c r="O319" s="134"/>
    </row>
    <row r="320" spans="1:15">
      <c r="A320" s="137">
        <v>1.5</v>
      </c>
      <c r="B320" s="268">
        <f t="shared" si="34"/>
        <v>631.52956087214341</v>
      </c>
      <c r="C320" s="268">
        <f t="shared" si="34"/>
        <v>618.20097878939919</v>
      </c>
      <c r="D320" s="139">
        <v>2092.5</v>
      </c>
      <c r="E320" s="139">
        <v>3501.4781250000001</v>
      </c>
      <c r="F320" s="139">
        <v>1314.9350649350649</v>
      </c>
      <c r="G320" s="139">
        <f t="shared" ref="G320:G327" si="35">F273</f>
        <v>3067.2871306376364</v>
      </c>
      <c r="H320" s="139">
        <v>3067.2871306376364</v>
      </c>
      <c r="I320" s="139">
        <f t="shared" ref="I320:I327" si="36">AVERAGE(D320:H320)</f>
        <v>2608.6974902420675</v>
      </c>
      <c r="J320" s="134"/>
      <c r="K320" s="134"/>
      <c r="L320" s="134"/>
      <c r="M320" s="134"/>
      <c r="N320" s="134"/>
      <c r="O320" s="134"/>
    </row>
    <row r="321" spans="1:15">
      <c r="A321" s="137">
        <v>2</v>
      </c>
      <c r="B321" s="268">
        <f t="shared" si="34"/>
        <v>914.90100549547947</v>
      </c>
      <c r="C321" s="268">
        <f t="shared" si="34"/>
        <v>895.5918014536428</v>
      </c>
      <c r="D321" s="139">
        <v>2040</v>
      </c>
      <c r="E321" s="139">
        <v>2626.1085937500002</v>
      </c>
      <c r="F321" s="139">
        <v>983.009708737864</v>
      </c>
      <c r="G321" s="139">
        <f t="shared" si="35"/>
        <v>2300.4653479782273</v>
      </c>
      <c r="H321" s="139">
        <v>2300.4653479782273</v>
      </c>
      <c r="I321" s="139">
        <f t="shared" si="36"/>
        <v>2050.0097996888639</v>
      </c>
      <c r="J321" s="134"/>
      <c r="K321" s="134"/>
      <c r="L321" s="134"/>
      <c r="M321" s="134"/>
      <c r="N321" s="134"/>
      <c r="O321" s="134"/>
    </row>
    <row r="322" spans="1:15">
      <c r="A322" s="137">
        <v>2.5</v>
      </c>
      <c r="B322" s="268">
        <f t="shared" si="34"/>
        <v>1266.3281776772249</v>
      </c>
      <c r="C322" s="268">
        <f t="shared" si="34"/>
        <v>1239.6020193061838</v>
      </c>
      <c r="D322" s="139">
        <v>1987.5</v>
      </c>
      <c r="E322" s="139">
        <v>2100.8868750000001</v>
      </c>
      <c r="F322" s="139">
        <v>784.88372093023258</v>
      </c>
      <c r="G322" s="139">
        <f t="shared" si="35"/>
        <v>1840.3722783825815</v>
      </c>
      <c r="H322" s="139">
        <v>1840.3722783825815</v>
      </c>
      <c r="I322" s="139">
        <f t="shared" si="36"/>
        <v>1710.8030305390791</v>
      </c>
      <c r="J322" s="134"/>
      <c r="K322" s="134"/>
      <c r="L322" s="134"/>
      <c r="M322" s="134"/>
      <c r="N322" s="134"/>
      <c r="O322" s="134"/>
    </row>
    <row r="323" spans="1:15">
      <c r="A323" s="137">
        <v>3</v>
      </c>
      <c r="B323" s="268">
        <f t="shared" si="34"/>
        <v>1680.3228964186867</v>
      </c>
      <c r="C323" s="268">
        <f t="shared" si="34"/>
        <v>1644.8592807179402</v>
      </c>
      <c r="D323" s="139">
        <v>1935</v>
      </c>
      <c r="E323" s="139">
        <v>1750.7390625</v>
      </c>
      <c r="F323" s="139">
        <v>653.22580645161293</v>
      </c>
      <c r="G323" s="139">
        <f t="shared" si="35"/>
        <v>1533.643565318818</v>
      </c>
      <c r="H323" s="139">
        <v>1533.643565318818</v>
      </c>
      <c r="I323" s="139">
        <f t="shared" si="36"/>
        <v>1481.2503999178498</v>
      </c>
      <c r="J323" s="134"/>
      <c r="K323" s="134"/>
      <c r="L323" s="134"/>
      <c r="M323" s="134"/>
      <c r="N323" s="134"/>
      <c r="O323" s="134"/>
    </row>
    <row r="324" spans="1:15">
      <c r="A324" s="137">
        <v>3.5</v>
      </c>
      <c r="B324" s="268">
        <f t="shared" si="34"/>
        <v>2151.9716405847998</v>
      </c>
      <c r="C324" s="268">
        <f t="shared" si="34"/>
        <v>2106.5537655899047</v>
      </c>
      <c r="D324" s="139">
        <v>1882.5</v>
      </c>
      <c r="E324" s="139">
        <v>1500.6334821428572</v>
      </c>
      <c r="F324" s="139">
        <v>559.39226519337012</v>
      </c>
      <c r="G324" s="139">
        <f t="shared" si="35"/>
        <v>1314.5516274161298</v>
      </c>
      <c r="H324" s="139">
        <v>1314.5516274161298</v>
      </c>
      <c r="I324" s="139">
        <f t="shared" si="36"/>
        <v>1314.3258004336974</v>
      </c>
      <c r="J324" s="134"/>
      <c r="K324" s="134"/>
      <c r="L324" s="134"/>
      <c r="M324" s="134"/>
      <c r="N324" s="134"/>
      <c r="O324" s="134"/>
    </row>
    <row r="325" spans="1:15">
      <c r="A325" s="137">
        <v>4</v>
      </c>
      <c r="B325" s="268">
        <f t="shared" si="34"/>
        <v>2676.8622527857369</v>
      </c>
      <c r="C325" s="268">
        <f t="shared" si="34"/>
        <v>2620.3664361668261</v>
      </c>
      <c r="D325" s="139">
        <v>1830</v>
      </c>
      <c r="E325" s="139">
        <v>1313.0542968750001</v>
      </c>
      <c r="F325" s="139">
        <v>489.13043478260875</v>
      </c>
      <c r="G325" s="139">
        <f t="shared" si="35"/>
        <v>1150.2326739891137</v>
      </c>
      <c r="H325" s="139">
        <v>1150.2326739891137</v>
      </c>
      <c r="I325" s="139">
        <f t="shared" si="36"/>
        <v>1186.5300159271671</v>
      </c>
      <c r="J325" s="134"/>
      <c r="K325" s="134"/>
      <c r="L325" s="134"/>
      <c r="M325" s="134"/>
      <c r="N325" s="134"/>
      <c r="O325" s="134"/>
    </row>
    <row r="326" spans="1:15">
      <c r="A326" s="137">
        <v>4.5</v>
      </c>
      <c r="B326" s="268">
        <f t="shared" si="34"/>
        <v>3251.0215826380531</v>
      </c>
      <c r="C326" s="268">
        <f t="shared" si="34"/>
        <v>3182.4079963522054</v>
      </c>
      <c r="D326" s="139">
        <v>1777.5</v>
      </c>
      <c r="E326" s="139">
        <v>1167.159375</v>
      </c>
      <c r="F326" s="139">
        <v>434.54935622317595</v>
      </c>
      <c r="G326" s="139">
        <f t="shared" si="35"/>
        <v>1022.4290435458787</v>
      </c>
      <c r="H326" s="139">
        <v>1022.4290435458787</v>
      </c>
      <c r="I326" s="139">
        <f t="shared" si="36"/>
        <v>1084.8133636629868</v>
      </c>
      <c r="J326" s="134"/>
      <c r="K326" s="134"/>
      <c r="L326" s="134"/>
      <c r="M326" s="134"/>
      <c r="N326" s="134"/>
      <c r="O326" s="134"/>
    </row>
    <row r="327" spans="1:15">
      <c r="A327" s="137">
        <v>5</v>
      </c>
      <c r="B327" s="268">
        <f t="shared" si="34"/>
        <v>3870.8622108292311</v>
      </c>
      <c r="C327" s="268">
        <f t="shared" si="34"/>
        <v>3789.1667401741761</v>
      </c>
      <c r="D327" s="139">
        <v>1725</v>
      </c>
      <c r="E327" s="139">
        <v>1050.4434375000001</v>
      </c>
      <c r="F327" s="139">
        <v>390.92664092664097</v>
      </c>
      <c r="G327" s="139">
        <f t="shared" si="35"/>
        <v>920.18613919129075</v>
      </c>
      <c r="H327" s="139">
        <v>920.18613919129075</v>
      </c>
      <c r="I327" s="139">
        <f t="shared" si="36"/>
        <v>1001.3484713618445</v>
      </c>
      <c r="J327" s="134"/>
      <c r="K327" s="134"/>
      <c r="L327" s="134"/>
      <c r="M327" s="134"/>
      <c r="N327" s="134"/>
      <c r="O327" s="134"/>
    </row>
    <row r="328" spans="1:15">
      <c r="A328" s="136"/>
      <c r="B328" s="136"/>
      <c r="C328" s="136"/>
      <c r="D328" s="136"/>
      <c r="E328" s="136"/>
      <c r="F328" s="136"/>
      <c r="G328" s="136"/>
      <c r="H328" s="136"/>
      <c r="I328" s="134"/>
      <c r="J328" s="134"/>
      <c r="K328" s="134"/>
      <c r="L328" s="134"/>
      <c r="M328" s="134"/>
      <c r="N328" s="134"/>
    </row>
    <row r="329" spans="1:15" s="223" customFormat="1">
      <c r="A329" s="136"/>
      <c r="B329" s="136"/>
      <c r="C329" s="136"/>
      <c r="D329" s="136"/>
      <c r="E329" s="136"/>
      <c r="F329" s="136"/>
      <c r="G329" s="136"/>
      <c r="H329" s="136"/>
      <c r="I329" s="134"/>
      <c r="J329" s="134"/>
      <c r="K329" s="134"/>
      <c r="L329" s="134"/>
      <c r="M329" s="134"/>
      <c r="N329" s="134"/>
    </row>
    <row r="330" spans="1:15" s="223" customFormat="1">
      <c r="A330" s="136"/>
      <c r="B330" s="136"/>
      <c r="C330" s="136"/>
      <c r="D330" s="136"/>
      <c r="E330" s="136"/>
      <c r="F330" s="136"/>
      <c r="G330" s="136"/>
      <c r="H330" s="136"/>
      <c r="I330" s="134"/>
      <c r="J330" s="134"/>
      <c r="K330" s="134"/>
      <c r="L330" s="134"/>
      <c r="M330" s="134"/>
      <c r="N330" s="134"/>
    </row>
    <row r="331" spans="1:15" s="223" customFormat="1">
      <c r="A331" s="136"/>
      <c r="B331" s="136"/>
      <c r="C331" s="136"/>
      <c r="D331" s="136"/>
      <c r="E331" s="136"/>
      <c r="F331" s="136"/>
      <c r="G331" s="136"/>
      <c r="H331" s="136"/>
      <c r="I331" s="134"/>
      <c r="J331" s="134"/>
      <c r="K331" s="134"/>
      <c r="L331" s="134"/>
      <c r="M331" s="134"/>
      <c r="N331" s="134"/>
    </row>
    <row r="332" spans="1:15">
      <c r="A332" s="136"/>
      <c r="B332" s="136"/>
      <c r="C332" s="136"/>
      <c r="D332" s="136"/>
      <c r="E332" s="136"/>
      <c r="F332" s="136"/>
      <c r="G332" s="136"/>
      <c r="H332" s="136"/>
      <c r="I332" s="134"/>
      <c r="J332" s="134"/>
      <c r="K332" s="134"/>
      <c r="L332" s="134"/>
      <c r="M332" s="134"/>
      <c r="N332" s="134"/>
    </row>
    <row r="333" spans="1:1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</row>
    <row r="334" spans="1:1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</row>
    <row r="335" spans="1:1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</row>
    <row r="336" spans="1:1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</row>
    <row r="337" spans="1:15">
      <c r="A337" s="524" t="s">
        <v>374</v>
      </c>
      <c r="B337" s="524"/>
      <c r="C337" s="134" t="str">
        <f>D339</f>
        <v>180 HP</v>
      </c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</row>
    <row r="338" spans="1:15">
      <c r="A338" s="137"/>
      <c r="B338" s="137"/>
      <c r="C338" s="137"/>
      <c r="D338" s="137" t="s">
        <v>98</v>
      </c>
      <c r="E338" s="137" t="s">
        <v>99</v>
      </c>
      <c r="F338" s="137" t="s">
        <v>100</v>
      </c>
      <c r="G338" s="137" t="s">
        <v>101</v>
      </c>
      <c r="H338" s="137" t="s">
        <v>102</v>
      </c>
      <c r="I338" s="140" t="s">
        <v>371</v>
      </c>
      <c r="J338" s="134"/>
      <c r="K338" s="134"/>
      <c r="L338" s="134"/>
      <c r="M338" s="134"/>
      <c r="N338" s="134"/>
      <c r="O338" s="134"/>
    </row>
    <row r="339" spans="1:15">
      <c r="A339" s="137"/>
      <c r="B339" s="137" t="str">
        <f>B316</f>
        <v>Estandar</v>
      </c>
      <c r="C339" s="137" t="str">
        <f>C316</f>
        <v>Modificada</v>
      </c>
      <c r="D339" s="137" t="str">
        <f>F261</f>
        <v>180 HP</v>
      </c>
      <c r="E339" s="137" t="str">
        <f>D339</f>
        <v>180 HP</v>
      </c>
      <c r="F339" s="137" t="str">
        <f>E339</f>
        <v>180 HP</v>
      </c>
      <c r="G339" s="137" t="str">
        <f>F339</f>
        <v>180 HP</v>
      </c>
      <c r="H339" s="137" t="str">
        <f>G339</f>
        <v>180 HP</v>
      </c>
      <c r="I339" s="137" t="str">
        <f>H339</f>
        <v>180 HP</v>
      </c>
      <c r="J339" s="134"/>
      <c r="K339" s="134"/>
      <c r="L339" s="134"/>
      <c r="M339" s="134"/>
      <c r="N339" s="134"/>
      <c r="O339" s="134"/>
    </row>
    <row r="340" spans="1:15">
      <c r="A340" s="137" t="s">
        <v>8</v>
      </c>
      <c r="B340" s="137" t="str">
        <f t="shared" ref="B340:C350" si="37">B317</f>
        <v>RN FAO A3</v>
      </c>
      <c r="C340" s="137" t="str">
        <f t="shared" si="37"/>
        <v>RN FAO A3</v>
      </c>
      <c r="D340" s="137" t="s">
        <v>103</v>
      </c>
      <c r="E340" s="137" t="s">
        <v>104</v>
      </c>
      <c r="F340" s="137"/>
      <c r="G340" s="137"/>
      <c r="H340" s="137" t="s">
        <v>90</v>
      </c>
      <c r="I340" s="137"/>
      <c r="J340" s="134"/>
      <c r="K340" s="134"/>
      <c r="L340" s="134"/>
      <c r="M340" s="134"/>
      <c r="N340" s="134"/>
      <c r="O340" s="134"/>
    </row>
    <row r="341" spans="1:15">
      <c r="A341" s="137" t="s">
        <v>57</v>
      </c>
      <c r="B341" s="137" t="str">
        <f t="shared" si="37"/>
        <v>[Kgf]</v>
      </c>
      <c r="C341" s="137" t="str">
        <f t="shared" si="37"/>
        <v>[Kgf]</v>
      </c>
      <c r="D341" s="137" t="s">
        <v>55</v>
      </c>
      <c r="E341" s="137" t="s">
        <v>55</v>
      </c>
      <c r="F341" s="137" t="s">
        <v>55</v>
      </c>
      <c r="G341" s="137" t="s">
        <v>55</v>
      </c>
      <c r="H341" s="137" t="s">
        <v>55</v>
      </c>
      <c r="I341" s="140" t="s">
        <v>89</v>
      </c>
      <c r="J341" s="134"/>
      <c r="K341" s="134"/>
      <c r="L341" s="134"/>
      <c r="M341" s="134"/>
      <c r="N341" s="134"/>
      <c r="O341" s="134"/>
    </row>
    <row r="342" spans="1:15">
      <c r="A342" s="137">
        <v>1</v>
      </c>
      <c r="B342" s="268">
        <f t="shared" si="37"/>
        <v>422.36322657644956</v>
      </c>
      <c r="C342" s="268">
        <f t="shared" si="37"/>
        <v>413.44914989192739</v>
      </c>
      <c r="D342" s="139">
        <v>1674.0000000000002</v>
      </c>
      <c r="E342" s="139">
        <v>4589.9662500000004</v>
      </c>
      <c r="F342" s="139">
        <v>1985.2941176470588</v>
      </c>
      <c r="G342" s="139">
        <f>G272</f>
        <v>4876.9865377138412</v>
      </c>
      <c r="H342" s="139">
        <v>4876.9865377138412</v>
      </c>
      <c r="I342" s="139">
        <f>AVERAGE(D342:H342)</f>
        <v>3600.6466886149487</v>
      </c>
      <c r="J342" s="134"/>
      <c r="K342" s="134"/>
      <c r="L342" s="134"/>
      <c r="M342" s="134"/>
      <c r="N342" s="134"/>
      <c r="O342" s="134"/>
    </row>
    <row r="343" spans="1:15">
      <c r="A343" s="137">
        <v>1.5</v>
      </c>
      <c r="B343" s="268">
        <f t="shared" si="37"/>
        <v>631.52956087214341</v>
      </c>
      <c r="C343" s="268">
        <f t="shared" si="37"/>
        <v>618.20097878939919</v>
      </c>
      <c r="D343" s="139">
        <v>1610.9999999999998</v>
      </c>
      <c r="E343" s="139">
        <v>3059.9775000000004</v>
      </c>
      <c r="F343" s="139">
        <v>1314.9350649350649</v>
      </c>
      <c r="G343" s="139">
        <f t="shared" ref="G343:G350" si="38">G273</f>
        <v>3251.3243584758943</v>
      </c>
      <c r="H343" s="139">
        <v>3251.3243584758943</v>
      </c>
      <c r="I343" s="139">
        <f t="shared" ref="I343:I350" si="39">AVERAGE(D343:H343)</f>
        <v>2497.712256377371</v>
      </c>
      <c r="J343" s="134"/>
      <c r="K343" s="134"/>
      <c r="L343" s="134"/>
      <c r="M343" s="134"/>
      <c r="N343" s="134"/>
      <c r="O343" s="134"/>
    </row>
    <row r="344" spans="1:15">
      <c r="A344" s="137">
        <v>2</v>
      </c>
      <c r="B344" s="268">
        <f t="shared" si="37"/>
        <v>914.90100549547947</v>
      </c>
      <c r="C344" s="268">
        <f t="shared" si="37"/>
        <v>895.5918014536428</v>
      </c>
      <c r="D344" s="139">
        <v>1548</v>
      </c>
      <c r="E344" s="139">
        <v>2294.9831250000002</v>
      </c>
      <c r="F344" s="139">
        <v>983.009708737864</v>
      </c>
      <c r="G344" s="139">
        <f t="shared" si="38"/>
        <v>2438.4932688569206</v>
      </c>
      <c r="H344" s="139">
        <v>2438.4932688569206</v>
      </c>
      <c r="I344" s="139">
        <f t="shared" si="39"/>
        <v>1940.595874290341</v>
      </c>
      <c r="J344" s="134"/>
      <c r="K344" s="134"/>
      <c r="L344" s="134"/>
      <c r="M344" s="134"/>
      <c r="N344" s="134"/>
      <c r="O344" s="134"/>
    </row>
    <row r="345" spans="1:15">
      <c r="A345" s="137">
        <v>2.5</v>
      </c>
      <c r="B345" s="268">
        <f t="shared" si="37"/>
        <v>1266.3281776772249</v>
      </c>
      <c r="C345" s="268">
        <f t="shared" si="37"/>
        <v>1239.6020193061838</v>
      </c>
      <c r="D345" s="139">
        <v>1485</v>
      </c>
      <c r="E345" s="139">
        <v>1835.9865000000002</v>
      </c>
      <c r="F345" s="139">
        <v>784.88372093023258</v>
      </c>
      <c r="G345" s="139">
        <f t="shared" si="38"/>
        <v>1950.7946150855362</v>
      </c>
      <c r="H345" s="139">
        <v>1950.7946150855362</v>
      </c>
      <c r="I345" s="139">
        <f t="shared" si="39"/>
        <v>1601.491890220261</v>
      </c>
      <c r="J345" s="134"/>
      <c r="K345" s="134"/>
      <c r="L345" s="134"/>
      <c r="M345" s="134"/>
      <c r="N345" s="134"/>
      <c r="O345" s="134"/>
    </row>
    <row r="346" spans="1:15">
      <c r="A346" s="137">
        <v>3</v>
      </c>
      <c r="B346" s="268">
        <f t="shared" si="37"/>
        <v>1680.3228964186867</v>
      </c>
      <c r="C346" s="268">
        <f t="shared" si="37"/>
        <v>1644.8592807179402</v>
      </c>
      <c r="D346" s="139">
        <v>1422</v>
      </c>
      <c r="E346" s="139">
        <v>1529.9887500000002</v>
      </c>
      <c r="F346" s="139">
        <v>653.22580645161293</v>
      </c>
      <c r="G346" s="139">
        <f t="shared" si="38"/>
        <v>1625.6621792379467</v>
      </c>
      <c r="H346" s="139">
        <v>1625.6621792379467</v>
      </c>
      <c r="I346" s="139">
        <f t="shared" si="39"/>
        <v>1371.3077829855013</v>
      </c>
      <c r="J346" s="134"/>
      <c r="K346" s="134"/>
      <c r="L346" s="134"/>
      <c r="M346" s="134"/>
      <c r="N346" s="134"/>
      <c r="O346" s="134"/>
    </row>
    <row r="347" spans="1:15">
      <c r="A347" s="137">
        <v>3.5</v>
      </c>
      <c r="B347" s="268">
        <f t="shared" si="37"/>
        <v>2151.9716405847998</v>
      </c>
      <c r="C347" s="268">
        <f t="shared" si="37"/>
        <v>2106.5537655899047</v>
      </c>
      <c r="D347" s="139">
        <v>1359.0000000000002</v>
      </c>
      <c r="E347" s="139">
        <v>1311.4189285714285</v>
      </c>
      <c r="F347" s="139">
        <v>559.39226519337012</v>
      </c>
      <c r="G347" s="139">
        <f t="shared" si="38"/>
        <v>1393.4247250610974</v>
      </c>
      <c r="H347" s="139">
        <v>1393.4247250610974</v>
      </c>
      <c r="I347" s="139">
        <f t="shared" si="39"/>
        <v>1203.3321287773986</v>
      </c>
      <c r="J347" s="134"/>
      <c r="K347" s="134"/>
      <c r="L347" s="134"/>
      <c r="M347" s="134"/>
      <c r="N347" s="134"/>
      <c r="O347" s="134"/>
    </row>
    <row r="348" spans="1:15">
      <c r="A348" s="137">
        <v>4</v>
      </c>
      <c r="B348" s="268">
        <f t="shared" si="37"/>
        <v>2676.8622527857369</v>
      </c>
      <c r="C348" s="268">
        <f t="shared" si="37"/>
        <v>2620.3664361668261</v>
      </c>
      <c r="D348" s="139">
        <v>1296</v>
      </c>
      <c r="E348" s="139">
        <v>1147.4915625000001</v>
      </c>
      <c r="F348" s="139">
        <v>489.13043478260875</v>
      </c>
      <c r="G348" s="139">
        <f t="shared" si="38"/>
        <v>1219.2466344284603</v>
      </c>
      <c r="H348" s="139">
        <v>1219.2466344284603</v>
      </c>
      <c r="I348" s="139">
        <f t="shared" si="39"/>
        <v>1074.2230532279059</v>
      </c>
      <c r="J348" s="134"/>
      <c r="K348" s="134"/>
      <c r="L348" s="134"/>
      <c r="M348" s="134"/>
      <c r="N348" s="134"/>
      <c r="O348" s="134"/>
    </row>
    <row r="349" spans="1:15">
      <c r="A349" s="137">
        <v>4.5</v>
      </c>
      <c r="B349" s="268">
        <f t="shared" si="37"/>
        <v>3251.0215826380531</v>
      </c>
      <c r="C349" s="268">
        <f t="shared" si="37"/>
        <v>3182.4079963522054</v>
      </c>
      <c r="D349" s="139">
        <v>1233</v>
      </c>
      <c r="E349" s="139">
        <v>1019.9925000000002</v>
      </c>
      <c r="F349" s="139">
        <v>434.54935622317595</v>
      </c>
      <c r="G349" s="139">
        <f t="shared" si="38"/>
        <v>1083.7747861586313</v>
      </c>
      <c r="H349" s="139">
        <v>1083.7747861586313</v>
      </c>
      <c r="I349" s="139">
        <f t="shared" si="39"/>
        <v>971.01828570808777</v>
      </c>
      <c r="J349" s="134"/>
      <c r="K349" s="134"/>
      <c r="L349" s="134"/>
      <c r="M349" s="134"/>
      <c r="N349" s="134"/>
      <c r="O349" s="134"/>
    </row>
    <row r="350" spans="1:15">
      <c r="A350" s="137">
        <v>5</v>
      </c>
      <c r="B350" s="268">
        <f t="shared" si="37"/>
        <v>3870.8622108292311</v>
      </c>
      <c r="C350" s="268">
        <f t="shared" si="37"/>
        <v>3789.1667401741761</v>
      </c>
      <c r="D350" s="139">
        <v>1170</v>
      </c>
      <c r="E350" s="139">
        <v>917.9932500000001</v>
      </c>
      <c r="F350" s="139">
        <v>390.92664092664097</v>
      </c>
      <c r="G350" s="139">
        <f t="shared" si="38"/>
        <v>975.39730754276809</v>
      </c>
      <c r="H350" s="139">
        <v>975.39730754276809</v>
      </c>
      <c r="I350" s="139">
        <f t="shared" si="39"/>
        <v>885.94290120243545</v>
      </c>
      <c r="J350" s="134"/>
      <c r="K350" s="134"/>
      <c r="L350" s="134"/>
      <c r="M350" s="134"/>
      <c r="N350" s="134"/>
      <c r="O350" s="134"/>
    </row>
    <row r="351" spans="1:15">
      <c r="A351" s="136"/>
      <c r="B351" s="136"/>
      <c r="C351" s="136"/>
      <c r="D351" s="136"/>
      <c r="E351" s="136"/>
      <c r="F351" s="136"/>
      <c r="G351" s="136"/>
      <c r="H351" s="136"/>
      <c r="I351" s="134"/>
      <c r="J351" s="134"/>
      <c r="K351" s="134"/>
      <c r="L351" s="134"/>
      <c r="M351" s="134"/>
      <c r="N351" s="134"/>
    </row>
    <row r="352" spans="1:15">
      <c r="A352" s="136"/>
      <c r="B352" s="136"/>
      <c r="C352" s="136"/>
      <c r="D352" s="136"/>
      <c r="E352" s="136"/>
      <c r="F352" s="136"/>
      <c r="G352" s="136"/>
      <c r="H352" s="136"/>
      <c r="I352" s="134"/>
      <c r="J352" s="134"/>
      <c r="K352" s="134"/>
      <c r="L352" s="134"/>
      <c r="M352" s="134"/>
      <c r="N352" s="134"/>
    </row>
    <row r="353" spans="1:1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</row>
    <row r="354" spans="1:1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</row>
    <row r="355" spans="1:1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</row>
    <row r="356" spans="1:1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</row>
    <row r="357" spans="1:15">
      <c r="A357" s="521" t="s">
        <v>375</v>
      </c>
      <c r="B357" s="522"/>
      <c r="C357" s="135" t="str">
        <f>D359</f>
        <v>180 HP</v>
      </c>
      <c r="D357" s="135"/>
      <c r="E357" s="135"/>
      <c r="F357" s="135"/>
      <c r="G357" s="135"/>
      <c r="H357" s="135"/>
      <c r="I357" s="134"/>
      <c r="J357" s="134"/>
      <c r="K357" s="134"/>
      <c r="L357" s="134"/>
      <c r="M357" s="134"/>
      <c r="N357" s="134"/>
    </row>
    <row r="358" spans="1:15">
      <c r="A358" s="137"/>
      <c r="B358" s="137"/>
      <c r="C358" s="137"/>
      <c r="D358" s="137" t="s">
        <v>98</v>
      </c>
      <c r="E358" s="137" t="s">
        <v>99</v>
      </c>
      <c r="F358" s="137" t="s">
        <v>100</v>
      </c>
      <c r="G358" s="137" t="s">
        <v>101</v>
      </c>
      <c r="H358" s="137" t="s">
        <v>102</v>
      </c>
      <c r="I358" s="140" t="s">
        <v>371</v>
      </c>
      <c r="J358" s="134"/>
      <c r="K358" s="134"/>
      <c r="L358" s="134"/>
      <c r="M358" s="134"/>
      <c r="N358" s="134"/>
      <c r="O358" s="134"/>
    </row>
    <row r="359" spans="1:15">
      <c r="A359" s="137"/>
      <c r="B359" s="137" t="str">
        <f>B339</f>
        <v>Estandar</v>
      </c>
      <c r="C359" s="137" t="str">
        <f>C339</f>
        <v>Modificada</v>
      </c>
      <c r="D359" s="137" t="str">
        <f>D339</f>
        <v>180 HP</v>
      </c>
      <c r="E359" s="137" t="str">
        <f>D359</f>
        <v>180 HP</v>
      </c>
      <c r="F359" s="137" t="str">
        <f>E359</f>
        <v>180 HP</v>
      </c>
      <c r="G359" s="137" t="str">
        <f>F359</f>
        <v>180 HP</v>
      </c>
      <c r="H359" s="137" t="str">
        <f>G359</f>
        <v>180 HP</v>
      </c>
      <c r="I359" s="137" t="str">
        <f>H359</f>
        <v>180 HP</v>
      </c>
      <c r="J359" s="134"/>
      <c r="K359" s="134"/>
      <c r="L359" s="134"/>
      <c r="M359" s="134"/>
      <c r="N359" s="134"/>
      <c r="O359" s="134"/>
    </row>
    <row r="360" spans="1:15">
      <c r="A360" s="137" t="s">
        <v>8</v>
      </c>
      <c r="B360" s="137" t="str">
        <f t="shared" ref="B360:C370" si="40">B340</f>
        <v>RN FAO A3</v>
      </c>
      <c r="C360" s="137" t="str">
        <f t="shared" si="40"/>
        <v>RN FAO A3</v>
      </c>
      <c r="D360" s="137" t="s">
        <v>105</v>
      </c>
      <c r="E360" s="137" t="s">
        <v>106</v>
      </c>
      <c r="F360" s="137"/>
      <c r="G360" s="137"/>
      <c r="H360" s="137" t="s">
        <v>93</v>
      </c>
      <c r="I360" s="137"/>
      <c r="J360" s="134"/>
      <c r="K360" s="134"/>
      <c r="L360" s="134"/>
      <c r="M360" s="134"/>
      <c r="N360" s="134"/>
      <c r="O360" s="134"/>
    </row>
    <row r="361" spans="1:15">
      <c r="A361" s="137" t="s">
        <v>57</v>
      </c>
      <c r="B361" s="137" t="str">
        <f t="shared" si="40"/>
        <v>[Kgf]</v>
      </c>
      <c r="C361" s="137" t="str">
        <f t="shared" si="40"/>
        <v>[Kgf]</v>
      </c>
      <c r="D361" s="137" t="s">
        <v>55</v>
      </c>
      <c r="E361" s="137" t="s">
        <v>55</v>
      </c>
      <c r="F361" s="137" t="s">
        <v>55</v>
      </c>
      <c r="G361" s="137" t="s">
        <v>55</v>
      </c>
      <c r="H361" s="137" t="s">
        <v>55</v>
      </c>
      <c r="I361" s="140" t="s">
        <v>89</v>
      </c>
      <c r="J361" s="134"/>
      <c r="K361" s="134"/>
      <c r="L361" s="134"/>
      <c r="M361" s="134"/>
      <c r="N361" s="134"/>
      <c r="O361" s="134"/>
    </row>
    <row r="362" spans="1:15">
      <c r="A362" s="137">
        <v>1</v>
      </c>
      <c r="B362" s="268">
        <f t="shared" si="40"/>
        <v>422.36322657644956</v>
      </c>
      <c r="C362" s="268">
        <f t="shared" si="40"/>
        <v>413.44914989192739</v>
      </c>
      <c r="D362" s="139">
        <v>2574</v>
      </c>
      <c r="E362" s="139">
        <v>6302.6606249999995</v>
      </c>
      <c r="F362" s="139">
        <v>2382.3529411764707</v>
      </c>
      <c r="G362" s="139">
        <f>H272</f>
        <v>5521.1168351477445</v>
      </c>
      <c r="H362" s="139">
        <v>5521.1168351477445</v>
      </c>
      <c r="I362" s="139">
        <f>AVERAGE(D362:H362)</f>
        <v>4460.2494472943918</v>
      </c>
      <c r="J362" s="134"/>
      <c r="K362" s="134"/>
      <c r="L362" s="134"/>
      <c r="M362" s="134"/>
      <c r="N362" s="134"/>
      <c r="O362" s="134"/>
    </row>
    <row r="363" spans="1:15">
      <c r="A363" s="137">
        <v>1.5</v>
      </c>
      <c r="B363" s="268">
        <f t="shared" si="40"/>
        <v>631.52956087214341</v>
      </c>
      <c r="C363" s="268">
        <f t="shared" si="40"/>
        <v>618.20097878939919</v>
      </c>
      <c r="D363" s="139">
        <v>2511</v>
      </c>
      <c r="E363" s="139">
        <v>4201.7737500000003</v>
      </c>
      <c r="F363" s="139">
        <v>1577.922077922078</v>
      </c>
      <c r="G363" s="139">
        <f t="shared" ref="G363:G370" si="41">H273</f>
        <v>3680.744556765163</v>
      </c>
      <c r="H363" s="139">
        <v>3680.744556765163</v>
      </c>
      <c r="I363" s="139">
        <f t="shared" ref="I363:I370" si="42">AVERAGE(D363:H363)</f>
        <v>3130.4369882904807</v>
      </c>
      <c r="J363" s="134"/>
      <c r="K363" s="134"/>
      <c r="L363" s="134"/>
      <c r="M363" s="134"/>
      <c r="N363" s="134"/>
      <c r="O363" s="134"/>
    </row>
    <row r="364" spans="1:15">
      <c r="A364" s="137">
        <v>2</v>
      </c>
      <c r="B364" s="268">
        <f t="shared" si="40"/>
        <v>914.90100549547947</v>
      </c>
      <c r="C364" s="268">
        <f t="shared" si="40"/>
        <v>895.5918014536428</v>
      </c>
      <c r="D364" s="139">
        <v>2448</v>
      </c>
      <c r="E364" s="139">
        <v>3151.3303124999998</v>
      </c>
      <c r="F364" s="139">
        <v>1179.6116504854369</v>
      </c>
      <c r="G364" s="139">
        <f t="shared" si="41"/>
        <v>2760.5584175738722</v>
      </c>
      <c r="H364" s="139">
        <v>2760.5584175738722</v>
      </c>
      <c r="I364" s="139">
        <f t="shared" si="42"/>
        <v>2460.0117596266364</v>
      </c>
      <c r="J364" s="134"/>
      <c r="K364" s="134"/>
      <c r="L364" s="134"/>
      <c r="M364" s="134"/>
      <c r="N364" s="134"/>
      <c r="O364" s="134"/>
    </row>
    <row r="365" spans="1:15">
      <c r="A365" s="137">
        <v>2.5</v>
      </c>
      <c r="B365" s="268">
        <f t="shared" si="40"/>
        <v>1266.3281776772249</v>
      </c>
      <c r="C365" s="268">
        <f t="shared" si="40"/>
        <v>1239.6020193061838</v>
      </c>
      <c r="D365" s="139">
        <v>2385</v>
      </c>
      <c r="E365" s="139">
        <v>2521.0642499999999</v>
      </c>
      <c r="F365" s="139">
        <v>941.86046511627899</v>
      </c>
      <c r="G365" s="139">
        <f t="shared" si="41"/>
        <v>2208.4467340590977</v>
      </c>
      <c r="H365" s="139">
        <v>2208.4467340590977</v>
      </c>
      <c r="I365" s="139">
        <f t="shared" si="42"/>
        <v>2052.9636366468949</v>
      </c>
      <c r="J365" s="134"/>
      <c r="K365" s="134"/>
      <c r="L365" s="134"/>
      <c r="M365" s="134"/>
      <c r="N365" s="134"/>
      <c r="O365" s="134"/>
    </row>
    <row r="366" spans="1:15">
      <c r="A366" s="137">
        <v>3</v>
      </c>
      <c r="B366" s="268">
        <f t="shared" si="40"/>
        <v>1680.3228964186867</v>
      </c>
      <c r="C366" s="268">
        <f t="shared" si="40"/>
        <v>1644.8592807179402</v>
      </c>
      <c r="D366" s="139">
        <v>2322</v>
      </c>
      <c r="E366" s="139">
        <v>2100.8868750000001</v>
      </c>
      <c r="F366" s="139">
        <v>783.87096774193549</v>
      </c>
      <c r="G366" s="139">
        <f t="shared" si="41"/>
        <v>1840.3722783825813</v>
      </c>
      <c r="H366" s="139">
        <v>1840.3722783825813</v>
      </c>
      <c r="I366" s="139">
        <f t="shared" si="42"/>
        <v>1777.5004799014198</v>
      </c>
      <c r="J366" s="134"/>
      <c r="K366" s="134"/>
      <c r="L366" s="134"/>
      <c r="M366" s="134"/>
      <c r="N366" s="134"/>
      <c r="O366" s="134"/>
    </row>
    <row r="367" spans="1:15">
      <c r="A367" s="137">
        <v>3.5</v>
      </c>
      <c r="B367" s="268">
        <f t="shared" si="40"/>
        <v>2151.9716405847998</v>
      </c>
      <c r="C367" s="268">
        <f t="shared" si="40"/>
        <v>2106.5537655899047</v>
      </c>
      <c r="D367" s="139">
        <v>2259</v>
      </c>
      <c r="E367" s="139">
        <v>1800.7601785714285</v>
      </c>
      <c r="F367" s="139">
        <v>671.27071823204415</v>
      </c>
      <c r="G367" s="139">
        <f t="shared" si="41"/>
        <v>1577.4619528993555</v>
      </c>
      <c r="H367" s="139">
        <v>1577.4619528993555</v>
      </c>
      <c r="I367" s="139">
        <f t="shared" si="42"/>
        <v>1577.1909605204369</v>
      </c>
      <c r="J367" s="134"/>
      <c r="K367" s="134"/>
      <c r="L367" s="134"/>
      <c r="M367" s="134"/>
      <c r="N367" s="134"/>
      <c r="O367" s="134"/>
    </row>
    <row r="368" spans="1:15">
      <c r="A368" s="137">
        <v>4</v>
      </c>
      <c r="B368" s="268">
        <f t="shared" si="40"/>
        <v>2676.8622527857369</v>
      </c>
      <c r="C368" s="268">
        <f t="shared" si="40"/>
        <v>2620.3664361668261</v>
      </c>
      <c r="D368" s="139">
        <v>2196</v>
      </c>
      <c r="E368" s="139">
        <v>1575.6651562499999</v>
      </c>
      <c r="F368" s="139">
        <v>586.95652173913049</v>
      </c>
      <c r="G368" s="139">
        <f t="shared" si="41"/>
        <v>1380.2792087869361</v>
      </c>
      <c r="H368" s="139">
        <v>1380.2792087869361</v>
      </c>
      <c r="I368" s="139">
        <f t="shared" si="42"/>
        <v>1423.8360191126008</v>
      </c>
      <c r="J368" s="134"/>
      <c r="K368" s="134"/>
      <c r="L368" s="134"/>
      <c r="M368" s="134"/>
      <c r="N368" s="134"/>
      <c r="O368" s="134"/>
    </row>
    <row r="369" spans="1:15">
      <c r="A369" s="137">
        <v>4.5</v>
      </c>
      <c r="B369" s="268">
        <f t="shared" si="40"/>
        <v>3251.0215826380531</v>
      </c>
      <c r="C369" s="268">
        <f t="shared" si="40"/>
        <v>3182.4079963522054</v>
      </c>
      <c r="D369" s="139">
        <v>2133</v>
      </c>
      <c r="E369" s="139">
        <v>1400.5912499999999</v>
      </c>
      <c r="F369" s="139">
        <v>521.45922746781116</v>
      </c>
      <c r="G369" s="139">
        <f t="shared" si="41"/>
        <v>1226.9148522550543</v>
      </c>
      <c r="H369" s="139">
        <v>1226.9148522550543</v>
      </c>
      <c r="I369" s="139">
        <f t="shared" si="42"/>
        <v>1301.7760363955838</v>
      </c>
      <c r="J369" s="134"/>
      <c r="K369" s="134"/>
      <c r="L369" s="134"/>
      <c r="M369" s="134"/>
      <c r="N369" s="134"/>
      <c r="O369" s="134"/>
    </row>
    <row r="370" spans="1:15">
      <c r="A370" s="137">
        <v>5</v>
      </c>
      <c r="B370" s="268">
        <f t="shared" si="40"/>
        <v>3870.8622108292311</v>
      </c>
      <c r="C370" s="268">
        <f t="shared" si="40"/>
        <v>3789.1667401741761</v>
      </c>
      <c r="D370" s="139">
        <v>2070</v>
      </c>
      <c r="E370" s="139">
        <v>1260.532125</v>
      </c>
      <c r="F370" s="139">
        <v>469.11196911196913</v>
      </c>
      <c r="G370" s="139">
        <f t="shared" si="41"/>
        <v>1104.2233670295489</v>
      </c>
      <c r="H370" s="139">
        <v>1104.2233670295489</v>
      </c>
      <c r="I370" s="139">
        <f t="shared" si="42"/>
        <v>1201.6181656342135</v>
      </c>
      <c r="J370" s="134"/>
      <c r="K370" s="134"/>
      <c r="L370" s="134"/>
      <c r="M370" s="134"/>
      <c r="N370" s="134"/>
      <c r="O370" s="134"/>
    </row>
    <row r="371" spans="1:15">
      <c r="A371" s="136"/>
      <c r="B371" s="136"/>
      <c r="C371" s="136"/>
      <c r="D371" s="136"/>
      <c r="E371" s="136"/>
      <c r="F371" s="136"/>
      <c r="G371" s="136"/>
      <c r="H371" s="136"/>
      <c r="I371" s="134"/>
      <c r="J371" s="134"/>
      <c r="K371" s="134"/>
      <c r="L371" s="134"/>
      <c r="M371" s="134"/>
      <c r="N371" s="134"/>
    </row>
    <row r="372" spans="1:15">
      <c r="A372" s="136"/>
      <c r="B372" s="136"/>
      <c r="C372" s="136"/>
      <c r="D372" s="136"/>
      <c r="E372" s="136"/>
      <c r="F372" s="136"/>
      <c r="G372" s="136"/>
      <c r="H372" s="136"/>
      <c r="I372" s="134"/>
      <c r="J372" s="134"/>
      <c r="K372" s="134"/>
      <c r="L372" s="134"/>
      <c r="M372" s="134"/>
      <c r="N372" s="134"/>
    </row>
    <row r="373" spans="1:1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</row>
    <row r="374" spans="1:1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</row>
    <row r="375" spans="1:1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</row>
    <row r="376" spans="1:1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</row>
    <row r="377" spans="1:1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</row>
    <row r="378" spans="1:15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</row>
    <row r="379" spans="1:15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</row>
    <row r="380" spans="1:15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</row>
    <row r="381" spans="1:15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</row>
    <row r="382" spans="1:15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</row>
    <row r="383" spans="1:15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</row>
    <row r="384" spans="1:15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</row>
    <row r="385" spans="1:14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</row>
    <row r="386" spans="1:14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</row>
    <row r="387" spans="1:14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</row>
    <row r="388" spans="1:14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</row>
    <row r="389" spans="1:14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</row>
    <row r="390" spans="1:14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</row>
    <row r="391" spans="1:14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</row>
    <row r="392" spans="1:14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</row>
    <row r="393" spans="1:14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</row>
    <row r="394" spans="1:14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</row>
    <row r="395" spans="1:14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</row>
    <row r="396" spans="1:14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</row>
    <row r="397" spans="1:14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</row>
    <row r="398" spans="1:14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</row>
    <row r="399" spans="1:14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</row>
    <row r="400" spans="1:14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</row>
    <row r="401" spans="1:14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</row>
    <row r="402" spans="1:14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</row>
    <row r="403" spans="1:14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</row>
    <row r="404" spans="1:14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</row>
    <row r="405" spans="1:14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</row>
    <row r="406" spans="1:14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</row>
    <row r="407" spans="1:14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</row>
    <row r="408" spans="1:14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</row>
    <row r="409" spans="1:14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</row>
    <row r="410" spans="1:14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</row>
    <row r="411" spans="1:14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</row>
    <row r="412" spans="1:14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</row>
    <row r="413" spans="1:14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</row>
    <row r="414" spans="1:14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</row>
    <row r="415" spans="1:14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</row>
    <row r="416" spans="1:14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</row>
    <row r="417" spans="1:14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</row>
    <row r="418" spans="1:14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</row>
    <row r="419" spans="1:14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</row>
    <row r="420" spans="1:14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</row>
    <row r="421" spans="1:14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</row>
    <row r="422" spans="1:14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</row>
    <row r="423" spans="1:14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</row>
    <row r="424" spans="1:14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</row>
    <row r="425" spans="1:14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</row>
    <row r="426" spans="1:14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</row>
    <row r="427" spans="1:14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</row>
    <row r="428" spans="1:14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</row>
    <row r="429" spans="1:14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</row>
    <row r="430" spans="1:14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</row>
    <row r="431" spans="1:14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</row>
    <row r="432" spans="1:14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</row>
    <row r="433" spans="1:14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</row>
    <row r="434" spans="1:14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</row>
    <row r="435" spans="1:14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</row>
    <row r="436" spans="1:14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</row>
    <row r="437" spans="1:14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</row>
    <row r="438" spans="1:14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</row>
    <row r="439" spans="1:14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</row>
    <row r="440" spans="1:14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</row>
    <row r="441" spans="1:14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</row>
    <row r="442" spans="1:14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</row>
    <row r="443" spans="1:14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</row>
    <row r="444" spans="1:14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</row>
    <row r="445" spans="1:14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</row>
    <row r="446" spans="1:14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</row>
    <row r="447" spans="1:14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</row>
    <row r="448" spans="1:14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</row>
    <row r="449" spans="1:14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</row>
  </sheetData>
  <mergeCells count="96">
    <mergeCell ref="A357:B357"/>
    <mergeCell ref="A263:B263"/>
    <mergeCell ref="A292:N293"/>
    <mergeCell ref="A314:B314"/>
    <mergeCell ref="A295:B295"/>
    <mergeCell ref="A337:B337"/>
    <mergeCell ref="A255:B255"/>
    <mergeCell ref="F254:L254"/>
    <mergeCell ref="F261:L261"/>
    <mergeCell ref="I213:K213"/>
    <mergeCell ref="I214:K214"/>
    <mergeCell ref="A248:N249"/>
    <mergeCell ref="A254:B254"/>
    <mergeCell ref="A253:C253"/>
    <mergeCell ref="I211:K211"/>
    <mergeCell ref="I212:K212"/>
    <mergeCell ref="I204:L204"/>
    <mergeCell ref="I207:L207"/>
    <mergeCell ref="I208:K208"/>
    <mergeCell ref="I209:K209"/>
    <mergeCell ref="I210:K210"/>
    <mergeCell ref="J163:M163"/>
    <mergeCell ref="A201:N202"/>
    <mergeCell ref="I205:K205"/>
    <mergeCell ref="I206:K206"/>
    <mergeCell ref="G123:G131"/>
    <mergeCell ref="A160:N161"/>
    <mergeCell ref="A116:N117"/>
    <mergeCell ref="A44:N45"/>
    <mergeCell ref="H51:J51"/>
    <mergeCell ref="H52:J52"/>
    <mergeCell ref="H53:J53"/>
    <mergeCell ref="H54:J54"/>
    <mergeCell ref="H55:J55"/>
    <mergeCell ref="A65:E65"/>
    <mergeCell ref="F54:G54"/>
    <mergeCell ref="H65:M65"/>
    <mergeCell ref="I68:J68"/>
    <mergeCell ref="I69:J69"/>
    <mergeCell ref="I70:J70"/>
    <mergeCell ref="I71:J71"/>
    <mergeCell ref="I72:J72"/>
    <mergeCell ref="G100:H100"/>
    <mergeCell ref="I100:J100"/>
    <mergeCell ref="K100:L100"/>
    <mergeCell ref="C101:C102"/>
    <mergeCell ref="D101:D102"/>
    <mergeCell ref="E101:E102"/>
    <mergeCell ref="F101:F102"/>
    <mergeCell ref="G101:G102"/>
    <mergeCell ref="H101:H102"/>
    <mergeCell ref="I101:I102"/>
    <mergeCell ref="C100:D100"/>
    <mergeCell ref="E100:F100"/>
    <mergeCell ref="J101:J102"/>
    <mergeCell ref="K101:K102"/>
    <mergeCell ref="L101:L102"/>
    <mergeCell ref="A1:N1"/>
    <mergeCell ref="A80:N81"/>
    <mergeCell ref="I73:J73"/>
    <mergeCell ref="A69:B69"/>
    <mergeCell ref="L2:M2"/>
    <mergeCell ref="A6:F6"/>
    <mergeCell ref="E4:J4"/>
    <mergeCell ref="E3:I3"/>
    <mergeCell ref="B3:C3"/>
    <mergeCell ref="A19:G19"/>
    <mergeCell ref="A51:D51"/>
    <mergeCell ref="A53:D53"/>
    <mergeCell ref="A46:D46"/>
    <mergeCell ref="C85:D85"/>
    <mergeCell ref="E85:F85"/>
    <mergeCell ref="G85:H85"/>
    <mergeCell ref="I85:J85"/>
    <mergeCell ref="K85:L85"/>
    <mergeCell ref="G86:G87"/>
    <mergeCell ref="H86:H87"/>
    <mergeCell ref="I86:I87"/>
    <mergeCell ref="J86:J87"/>
    <mergeCell ref="K86:K87"/>
    <mergeCell ref="L86:L87"/>
    <mergeCell ref="H46:L46"/>
    <mergeCell ref="A7:G7"/>
    <mergeCell ref="L8:M8"/>
    <mergeCell ref="N8:O8"/>
    <mergeCell ref="C86:C87"/>
    <mergeCell ref="D86:D87"/>
    <mergeCell ref="E86:E87"/>
    <mergeCell ref="F86:F87"/>
    <mergeCell ref="I74:J74"/>
    <mergeCell ref="I75:J75"/>
    <mergeCell ref="I76:J76"/>
    <mergeCell ref="I77:J77"/>
    <mergeCell ref="M68:M77"/>
    <mergeCell ref="A55:D55"/>
    <mergeCell ref="A49:D49"/>
  </mergeCells>
  <printOptions gridLines="1"/>
  <pageMargins left="0.25" right="0.25" top="0.75" bottom="0.75" header="0.3" footer="0.3"/>
  <pageSetup paperSize="9" scale="75" fitToWidth="0" fitToHeight="0" orientation="landscape" r:id="rId1"/>
  <rowBreaks count="2" manualBreakCount="2">
    <brk id="78" max="16383" man="1"/>
    <brk id="115" max="16383" man="1"/>
  </rowBreaks>
  <ignoredErrors>
    <ignoredError sqref="D60:D63 E11 K59:K62" 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99"/>
  <sheetViews>
    <sheetView topLeftCell="A133" zoomScale="70" zoomScaleNormal="70" workbookViewId="0">
      <selection activeCell="K63" sqref="K63"/>
    </sheetView>
  </sheetViews>
  <sheetFormatPr baseColWidth="10" defaultRowHeight="15"/>
  <cols>
    <col min="4" max="4" width="12.7109375" bestFit="1" customWidth="1"/>
    <col min="11" max="11" width="11.85546875" customWidth="1"/>
    <col min="19" max="19" width="12" bestFit="1" customWidth="1"/>
    <col min="20" max="20" width="12.7109375" bestFit="1" customWidth="1"/>
  </cols>
  <sheetData>
    <row r="1" spans="1:24">
      <c r="A1" s="850" t="s">
        <v>496</v>
      </c>
      <c r="B1" s="850"/>
      <c r="C1" s="850"/>
      <c r="D1" s="850"/>
      <c r="E1" s="850"/>
      <c r="F1" s="850"/>
      <c r="G1" s="850"/>
      <c r="H1" s="850"/>
      <c r="I1" s="850"/>
      <c r="J1" s="850"/>
      <c r="K1" s="850"/>
      <c r="L1" s="850"/>
      <c r="M1" s="797"/>
      <c r="N1" s="797"/>
      <c r="O1" s="797"/>
      <c r="P1" s="797"/>
      <c r="Q1" s="797"/>
      <c r="R1" s="797"/>
      <c r="S1" s="797"/>
      <c r="T1" s="797"/>
      <c r="U1" s="797"/>
      <c r="V1" s="797"/>
      <c r="W1" s="797"/>
      <c r="X1" s="797"/>
    </row>
    <row r="2" spans="1:24">
      <c r="A2" s="850"/>
      <c r="B2" s="850"/>
      <c r="C2" s="850"/>
      <c r="D2" s="850"/>
      <c r="E2" s="850"/>
      <c r="F2" s="850"/>
      <c r="G2" s="850"/>
      <c r="H2" s="850"/>
      <c r="I2" s="850"/>
      <c r="J2" s="850"/>
      <c r="K2" s="850"/>
      <c r="L2" s="850"/>
      <c r="M2" s="797"/>
      <c r="N2" s="797"/>
      <c r="O2" s="797"/>
      <c r="P2" s="797"/>
      <c r="Q2" s="797"/>
      <c r="R2" s="797"/>
      <c r="S2" s="797"/>
      <c r="T2" s="797"/>
      <c r="U2" s="797"/>
      <c r="V2" s="797"/>
      <c r="W2" s="797"/>
      <c r="X2" s="797"/>
    </row>
    <row r="3" spans="1:24">
      <c r="A3" s="785" t="s">
        <v>497</v>
      </c>
      <c r="B3" s="785"/>
      <c r="C3" s="851">
        <v>500</v>
      </c>
      <c r="D3" s="852"/>
      <c r="E3" s="852"/>
      <c r="F3" s="852"/>
      <c r="G3" s="852"/>
      <c r="H3" s="852"/>
      <c r="I3" s="852"/>
      <c r="J3" s="852"/>
      <c r="K3" s="852"/>
      <c r="L3" s="852"/>
      <c r="M3" s="785" t="s">
        <v>497</v>
      </c>
      <c r="N3" s="785"/>
      <c r="O3" s="851">
        <v>500</v>
      </c>
      <c r="P3" s="797"/>
      <c r="Q3" s="797"/>
      <c r="R3" s="797"/>
      <c r="S3" s="797"/>
      <c r="T3" s="797"/>
      <c r="U3" s="797"/>
      <c r="V3" s="797"/>
      <c r="W3" s="797"/>
      <c r="X3" s="797"/>
    </row>
    <row r="4" spans="1:24">
      <c r="A4" s="785" t="s">
        <v>498</v>
      </c>
      <c r="B4" s="785"/>
      <c r="C4" s="851">
        <v>100</v>
      </c>
      <c r="D4" s="852"/>
      <c r="E4" s="852"/>
      <c r="F4" s="852"/>
      <c r="G4" s="852"/>
      <c r="H4" s="852"/>
      <c r="I4" s="852"/>
      <c r="J4" s="852"/>
      <c r="K4" s="852"/>
      <c r="L4" s="852"/>
      <c r="M4" s="785" t="s">
        <v>498</v>
      </c>
      <c r="N4" s="785"/>
      <c r="O4" s="851">
        <v>100</v>
      </c>
      <c r="P4" s="797"/>
      <c r="Q4" s="797"/>
      <c r="R4" s="797"/>
      <c r="S4" s="797"/>
      <c r="T4" s="797"/>
      <c r="U4" s="797"/>
      <c r="V4" s="797"/>
      <c r="W4" s="797"/>
      <c r="X4" s="797"/>
    </row>
    <row r="5" spans="1:24">
      <c r="A5" s="853" t="s">
        <v>499</v>
      </c>
      <c r="B5" s="785"/>
      <c r="C5" s="780">
        <v>1.37</v>
      </c>
      <c r="D5" s="797"/>
      <c r="E5" s="797"/>
      <c r="F5" s="797"/>
      <c r="G5" s="797"/>
      <c r="H5" s="797"/>
      <c r="I5" s="797"/>
      <c r="J5" s="797"/>
      <c r="K5" s="797"/>
      <c r="L5" s="797"/>
      <c r="M5" s="853" t="s">
        <v>499</v>
      </c>
      <c r="N5" s="785"/>
      <c r="O5" s="780">
        <v>1.1599999999999999</v>
      </c>
      <c r="P5" s="797"/>
      <c r="Q5" s="797"/>
      <c r="R5" s="797"/>
      <c r="S5" s="797"/>
      <c r="T5" s="797"/>
      <c r="U5" s="797"/>
      <c r="V5" s="797"/>
      <c r="W5" s="797"/>
      <c r="X5" s="797"/>
    </row>
    <row r="6" spans="1:24">
      <c r="A6" s="785" t="s">
        <v>147</v>
      </c>
      <c r="B6" s="785"/>
      <c r="C6" s="780">
        <v>80</v>
      </c>
      <c r="D6" s="797"/>
      <c r="E6" s="797"/>
      <c r="F6" s="797"/>
      <c r="G6" s="797"/>
      <c r="H6" s="797"/>
      <c r="I6" s="797"/>
      <c r="J6" s="797"/>
      <c r="K6" s="797"/>
      <c r="L6" s="797"/>
      <c r="M6" s="785" t="s">
        <v>147</v>
      </c>
      <c r="N6" s="785"/>
      <c r="O6" s="780">
        <v>40</v>
      </c>
      <c r="P6" s="797"/>
      <c r="Q6" s="797"/>
      <c r="R6" s="797"/>
      <c r="S6" s="797"/>
      <c r="T6" s="797"/>
      <c r="U6" s="797"/>
      <c r="V6" s="797"/>
      <c r="W6" s="797"/>
      <c r="X6" s="797"/>
    </row>
    <row r="7" spans="1:24">
      <c r="A7" s="785" t="s">
        <v>259</v>
      </c>
      <c r="B7" s="785"/>
      <c r="C7" s="780">
        <v>1280</v>
      </c>
      <c r="D7" s="797"/>
      <c r="E7" s="797"/>
      <c r="F7" s="797"/>
      <c r="G7" s="797"/>
      <c r="H7" s="797"/>
      <c r="I7" s="797"/>
      <c r="J7" s="797"/>
      <c r="K7" s="797"/>
      <c r="L7" s="797"/>
      <c r="M7" s="785" t="s">
        <v>259</v>
      </c>
      <c r="N7" s="785"/>
      <c r="O7" s="780">
        <v>950</v>
      </c>
      <c r="P7" s="797"/>
      <c r="Q7" s="797"/>
      <c r="R7" s="797"/>
      <c r="S7" s="797"/>
      <c r="T7" s="797"/>
      <c r="U7" s="797"/>
      <c r="V7" s="797"/>
      <c r="W7" s="797"/>
      <c r="X7" s="797"/>
    </row>
    <row r="8" spans="1:24">
      <c r="A8" s="854"/>
      <c r="B8" s="854"/>
      <c r="C8" s="797"/>
      <c r="D8" s="797"/>
      <c r="E8" s="797"/>
      <c r="F8" s="797"/>
      <c r="G8" s="797"/>
      <c r="H8" s="797"/>
      <c r="I8" s="797"/>
      <c r="J8" s="797"/>
      <c r="K8" s="797"/>
      <c r="L8" s="797"/>
      <c r="M8" s="797"/>
      <c r="N8" s="797"/>
      <c r="O8" s="797"/>
      <c r="P8" s="797"/>
      <c r="Q8" s="797"/>
      <c r="R8" s="797"/>
      <c r="S8" s="797"/>
      <c r="T8" s="797"/>
      <c r="U8" s="797"/>
      <c r="V8" s="797"/>
      <c r="W8" s="797"/>
      <c r="X8" s="797"/>
    </row>
    <row r="9" spans="1:24">
      <c r="A9" s="854"/>
      <c r="B9" s="854"/>
      <c r="C9" s="797"/>
      <c r="D9" s="797"/>
      <c r="E9" s="797"/>
      <c r="F9" s="797"/>
      <c r="G9" s="797"/>
      <c r="H9" s="797"/>
      <c r="I9" s="797"/>
      <c r="J9" s="797"/>
      <c r="K9" s="797"/>
      <c r="L9" s="797"/>
      <c r="M9" s="797"/>
      <c r="N9" s="797"/>
      <c r="O9" s="797"/>
      <c r="P9" s="797"/>
      <c r="Q9" s="797"/>
      <c r="R9" s="797"/>
      <c r="S9" s="797"/>
      <c r="T9" s="797"/>
      <c r="U9" s="797"/>
      <c r="V9" s="797"/>
      <c r="W9" s="797"/>
      <c r="X9" s="797"/>
    </row>
    <row r="10" spans="1:24">
      <c r="A10" s="854"/>
      <c r="B10" s="854"/>
      <c r="C10" s="797"/>
      <c r="D10" s="797"/>
      <c r="E10" s="797"/>
      <c r="F10" s="797"/>
      <c r="G10" s="797"/>
      <c r="H10" s="797"/>
      <c r="I10" s="797"/>
      <c r="J10" s="797"/>
      <c r="K10" s="797"/>
      <c r="L10" s="797"/>
      <c r="M10" s="797"/>
      <c r="N10" s="797"/>
      <c r="O10" s="797"/>
      <c r="P10" s="797"/>
      <c r="Q10" s="797"/>
      <c r="R10" s="797"/>
      <c r="S10" s="797"/>
      <c r="T10" s="797"/>
      <c r="U10" s="797"/>
      <c r="V10" s="797"/>
      <c r="W10" s="797"/>
      <c r="X10" s="797"/>
    </row>
    <row r="11" spans="1:24">
      <c r="A11" s="854"/>
      <c r="B11" s="854"/>
      <c r="C11" s="797"/>
      <c r="D11" s="797"/>
      <c r="E11" s="797"/>
      <c r="F11" s="797"/>
      <c r="G11" s="797"/>
      <c r="H11" s="797"/>
      <c r="I11" s="797"/>
      <c r="J11" s="797"/>
      <c r="K11" s="797"/>
      <c r="L11" s="797"/>
      <c r="M11" s="797"/>
      <c r="N11" s="797"/>
      <c r="O11" s="797"/>
      <c r="P11" s="797"/>
      <c r="Q11" s="797"/>
      <c r="R11" s="797"/>
      <c r="S11" s="797"/>
      <c r="T11" s="797"/>
      <c r="U11" s="797"/>
      <c r="V11" s="797"/>
      <c r="W11" s="797"/>
      <c r="X11" s="797"/>
    </row>
    <row r="12" spans="1:24">
      <c r="A12" s="797"/>
      <c r="B12" s="797"/>
      <c r="C12" s="797"/>
      <c r="D12" s="797"/>
      <c r="E12" s="797"/>
      <c r="F12" s="797"/>
      <c r="G12" s="797"/>
      <c r="H12" s="797"/>
      <c r="I12" s="797"/>
      <c r="J12" s="797"/>
      <c r="K12" s="797"/>
      <c r="L12" s="797"/>
      <c r="M12" s="797"/>
      <c r="N12" s="797"/>
      <c r="O12" s="797"/>
      <c r="P12" s="797"/>
      <c r="Q12" s="797"/>
      <c r="R12" s="797"/>
      <c r="S12" s="797"/>
      <c r="T12" s="797"/>
      <c r="U12" s="797"/>
      <c r="V12" s="797"/>
      <c r="W12" s="797"/>
      <c r="X12" s="797"/>
    </row>
    <row r="13" spans="1:24">
      <c r="A13" s="785" t="s">
        <v>497</v>
      </c>
      <c r="B13" s="785"/>
      <c r="C13" s="851">
        <v>500</v>
      </c>
      <c r="D13" s="797"/>
      <c r="E13" s="797"/>
      <c r="F13" s="797"/>
      <c r="G13" s="797"/>
      <c r="H13" s="797"/>
      <c r="I13" s="797"/>
      <c r="J13" s="797"/>
      <c r="K13" s="797"/>
      <c r="L13" s="797"/>
      <c r="M13" s="797"/>
      <c r="N13" s="797"/>
      <c r="O13" s="797"/>
      <c r="P13" s="797"/>
      <c r="Q13" s="797"/>
      <c r="R13" s="797"/>
      <c r="S13" s="797"/>
      <c r="T13" s="797"/>
      <c r="U13" s="797"/>
      <c r="V13" s="797"/>
      <c r="W13" s="797"/>
      <c r="X13" s="797"/>
    </row>
    <row r="14" spans="1:24">
      <c r="A14" s="785" t="s">
        <v>498</v>
      </c>
      <c r="B14" s="785"/>
      <c r="C14" s="851">
        <v>100</v>
      </c>
      <c r="D14" s="797"/>
      <c r="E14" s="797"/>
      <c r="F14" s="797"/>
      <c r="G14" s="797"/>
      <c r="H14" s="797"/>
      <c r="I14" s="797"/>
      <c r="J14" s="797"/>
      <c r="K14" s="797"/>
      <c r="L14" s="797"/>
      <c r="M14" s="797"/>
      <c r="N14" s="797"/>
      <c r="O14" s="797"/>
      <c r="P14" s="797"/>
      <c r="Q14" s="797"/>
      <c r="R14" s="797"/>
      <c r="S14" s="797"/>
      <c r="T14" s="797"/>
      <c r="U14" s="797"/>
      <c r="V14" s="797"/>
      <c r="W14" s="797"/>
      <c r="X14" s="797"/>
    </row>
    <row r="15" spans="1:24">
      <c r="A15" s="853" t="s">
        <v>499</v>
      </c>
      <c r="B15" s="785"/>
      <c r="C15" s="780">
        <v>1.1599999999999999</v>
      </c>
      <c r="D15" s="797"/>
      <c r="E15" s="797"/>
      <c r="F15" s="797"/>
      <c r="G15" s="797"/>
      <c r="H15" s="797"/>
      <c r="I15" s="797"/>
      <c r="J15" s="797"/>
      <c r="K15" s="797"/>
      <c r="L15" s="797"/>
      <c r="M15" s="797"/>
      <c r="N15" s="797"/>
      <c r="O15" s="797"/>
      <c r="P15" s="797"/>
      <c r="Q15" s="797"/>
      <c r="R15" s="797"/>
      <c r="S15" s="797"/>
      <c r="T15" s="797"/>
      <c r="U15" s="797"/>
      <c r="V15" s="797"/>
      <c r="W15" s="797"/>
      <c r="X15" s="797"/>
    </row>
    <row r="16" spans="1:24">
      <c r="A16" s="785" t="s">
        <v>147</v>
      </c>
      <c r="B16" s="785"/>
      <c r="C16" s="780">
        <v>60</v>
      </c>
      <c r="D16" s="797"/>
      <c r="E16" s="797"/>
      <c r="F16" s="797"/>
      <c r="G16" s="797"/>
      <c r="H16" s="797"/>
      <c r="I16" s="797"/>
      <c r="J16" s="797"/>
      <c r="K16" s="797"/>
      <c r="L16" s="797"/>
      <c r="M16" s="797"/>
      <c r="N16" s="797"/>
      <c r="O16" s="797"/>
      <c r="P16" s="797"/>
      <c r="Q16" s="797"/>
      <c r="R16" s="797"/>
      <c r="S16" s="797"/>
      <c r="T16" s="797"/>
      <c r="U16" s="797"/>
      <c r="V16" s="797"/>
      <c r="W16" s="797"/>
      <c r="X16" s="797"/>
    </row>
    <row r="17" spans="1:24">
      <c r="A17" s="785" t="s">
        <v>259</v>
      </c>
      <c r="B17" s="785"/>
      <c r="C17" s="780">
        <v>950</v>
      </c>
      <c r="D17" s="797"/>
      <c r="E17" s="797"/>
      <c r="F17" s="797"/>
      <c r="G17" s="797"/>
      <c r="H17" s="797"/>
      <c r="I17" s="797"/>
      <c r="J17" s="797"/>
      <c r="K17" s="797"/>
      <c r="L17" s="797"/>
      <c r="M17" s="797"/>
      <c r="N17" s="797"/>
      <c r="O17" s="797"/>
      <c r="P17" s="797"/>
      <c r="Q17" s="797"/>
      <c r="R17" s="797"/>
      <c r="S17" s="797"/>
      <c r="T17" s="797"/>
      <c r="U17" s="797"/>
      <c r="V17" s="797"/>
      <c r="W17" s="797"/>
      <c r="X17" s="797"/>
    </row>
    <row r="18" spans="1:24">
      <c r="A18" s="797"/>
      <c r="B18" s="797"/>
      <c r="C18" s="797"/>
      <c r="D18" s="797"/>
      <c r="E18" s="797"/>
      <c r="F18" s="797"/>
      <c r="G18" s="797"/>
      <c r="H18" s="797"/>
      <c r="I18" s="797"/>
      <c r="J18" s="797"/>
      <c r="K18" s="797"/>
      <c r="L18" s="797"/>
      <c r="M18" s="797"/>
      <c r="N18" s="797"/>
      <c r="O18" s="797"/>
      <c r="P18" s="797"/>
      <c r="Q18" s="797"/>
      <c r="R18" s="797"/>
      <c r="S18" s="797"/>
      <c r="T18" s="797"/>
      <c r="U18" s="797"/>
      <c r="V18" s="797"/>
      <c r="W18" s="797"/>
      <c r="X18" s="797"/>
    </row>
    <row r="19" spans="1:24">
      <c r="A19" s="797"/>
      <c r="B19" s="797"/>
      <c r="C19" s="797"/>
      <c r="D19" s="797"/>
      <c r="E19" s="797"/>
      <c r="F19" s="797"/>
      <c r="G19" s="797"/>
      <c r="H19" s="797"/>
      <c r="I19" s="797"/>
      <c r="J19" s="797"/>
      <c r="K19" s="797"/>
      <c r="L19" s="797"/>
      <c r="M19" s="785" t="s">
        <v>497</v>
      </c>
      <c r="N19" s="785"/>
      <c r="O19" s="851">
        <v>500</v>
      </c>
      <c r="P19" s="797"/>
      <c r="Q19" s="797"/>
      <c r="R19" s="797"/>
      <c r="S19" s="797"/>
      <c r="T19" s="797"/>
      <c r="U19" s="797"/>
      <c r="V19" s="797"/>
      <c r="W19" s="797"/>
      <c r="X19" s="797"/>
    </row>
    <row r="20" spans="1:24">
      <c r="A20" s="797"/>
      <c r="B20" s="797"/>
      <c r="C20" s="797"/>
      <c r="D20" s="797"/>
      <c r="E20" s="797"/>
      <c r="F20" s="797"/>
      <c r="G20" s="797"/>
      <c r="H20" s="797"/>
      <c r="I20" s="797"/>
      <c r="J20" s="797"/>
      <c r="K20" s="797"/>
      <c r="L20" s="797"/>
      <c r="M20" s="785" t="s">
        <v>498</v>
      </c>
      <c r="N20" s="785"/>
      <c r="O20" s="851">
        <v>100</v>
      </c>
      <c r="P20" s="797"/>
      <c r="Q20" s="797"/>
      <c r="R20" s="797"/>
      <c r="S20" s="797"/>
      <c r="T20" s="797"/>
      <c r="U20" s="797"/>
      <c r="V20" s="797"/>
      <c r="W20" s="797"/>
      <c r="X20" s="797"/>
    </row>
    <row r="21" spans="1:24">
      <c r="A21" s="797"/>
      <c r="B21" s="797"/>
      <c r="C21" s="797"/>
      <c r="D21" s="797"/>
      <c r="E21" s="797"/>
      <c r="F21" s="797"/>
      <c r="G21" s="797"/>
      <c r="H21" s="797"/>
      <c r="I21" s="797"/>
      <c r="J21" s="797"/>
      <c r="K21" s="797"/>
      <c r="L21" s="797"/>
      <c r="M21" s="853" t="s">
        <v>499</v>
      </c>
      <c r="N21" s="785"/>
      <c r="O21" s="780">
        <v>1.37</v>
      </c>
      <c r="P21" s="797"/>
      <c r="Q21" s="797"/>
      <c r="R21" s="797"/>
      <c r="S21" s="797"/>
      <c r="T21" s="797"/>
      <c r="U21" s="797"/>
      <c r="V21" s="797"/>
      <c r="W21" s="797"/>
      <c r="X21" s="797"/>
    </row>
    <row r="22" spans="1:24">
      <c r="A22" s="797"/>
      <c r="B22" s="797"/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85" t="s">
        <v>147</v>
      </c>
      <c r="N22" s="785"/>
      <c r="O22" s="780">
        <v>40</v>
      </c>
      <c r="P22" s="797"/>
      <c r="Q22" s="797"/>
      <c r="R22" s="797"/>
      <c r="S22" s="797"/>
      <c r="T22" s="797"/>
      <c r="U22" s="797"/>
      <c r="V22" s="797"/>
      <c r="W22" s="797"/>
      <c r="X22" s="797"/>
    </row>
    <row r="23" spans="1:24">
      <c r="A23" s="797"/>
      <c r="B23" s="797"/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85" t="s">
        <v>259</v>
      </c>
      <c r="N23" s="785"/>
      <c r="O23" s="780">
        <v>1280</v>
      </c>
      <c r="P23" s="797"/>
      <c r="Q23" s="797"/>
      <c r="R23" s="797"/>
      <c r="S23" s="797"/>
      <c r="T23" s="797"/>
      <c r="U23" s="797"/>
      <c r="V23" s="797"/>
      <c r="W23" s="797"/>
      <c r="X23" s="797"/>
    </row>
    <row r="24" spans="1:24">
      <c r="A24" s="785" t="s">
        <v>497</v>
      </c>
      <c r="B24" s="785"/>
      <c r="C24" s="851">
        <v>500</v>
      </c>
      <c r="D24" s="797"/>
      <c r="E24" s="797"/>
      <c r="F24" s="797"/>
      <c r="G24" s="797"/>
      <c r="H24" s="797"/>
      <c r="I24" s="797"/>
      <c r="J24" s="797"/>
      <c r="K24" s="797"/>
      <c r="L24" s="797"/>
      <c r="M24" s="797"/>
      <c r="N24" s="797"/>
      <c r="O24" s="797"/>
      <c r="P24" s="797"/>
      <c r="Q24" s="797"/>
      <c r="R24" s="797"/>
      <c r="S24" s="797"/>
      <c r="T24" s="797"/>
      <c r="U24" s="797"/>
      <c r="V24" s="797"/>
      <c r="W24" s="797"/>
      <c r="X24" s="797"/>
    </row>
    <row r="25" spans="1:24">
      <c r="A25" s="785" t="s">
        <v>498</v>
      </c>
      <c r="B25" s="785"/>
      <c r="C25" s="851">
        <v>100</v>
      </c>
      <c r="D25" s="797"/>
      <c r="E25" s="797"/>
      <c r="F25" s="797"/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797"/>
      <c r="U25" s="797"/>
      <c r="V25" s="797"/>
      <c r="W25" s="797"/>
      <c r="X25" s="797"/>
    </row>
    <row r="26" spans="1:24">
      <c r="A26" s="853" t="s">
        <v>499</v>
      </c>
      <c r="B26" s="785"/>
      <c r="C26" s="780">
        <v>1.37</v>
      </c>
      <c r="D26" s="797"/>
      <c r="E26" s="797"/>
      <c r="F26" s="797"/>
      <c r="G26" s="797"/>
      <c r="H26" s="797"/>
      <c r="I26" s="797"/>
      <c r="J26" s="797"/>
      <c r="K26" s="797"/>
      <c r="L26" s="797"/>
      <c r="M26" s="797"/>
      <c r="N26" s="797"/>
      <c r="O26" s="797"/>
      <c r="P26" s="797"/>
      <c r="Q26" s="797"/>
      <c r="R26" s="797"/>
      <c r="S26" s="797"/>
      <c r="T26" s="797"/>
      <c r="U26" s="797"/>
      <c r="V26" s="797"/>
      <c r="W26" s="797"/>
      <c r="X26" s="797"/>
    </row>
    <row r="27" spans="1:24">
      <c r="A27" s="785" t="s">
        <v>147</v>
      </c>
      <c r="B27" s="785"/>
      <c r="C27" s="780">
        <v>30</v>
      </c>
      <c r="D27" s="797"/>
      <c r="E27" s="797"/>
      <c r="F27" s="797"/>
      <c r="G27" s="797"/>
      <c r="H27" s="797"/>
      <c r="I27" s="797"/>
      <c r="J27" s="797"/>
      <c r="K27" s="797"/>
      <c r="L27" s="797"/>
      <c r="M27" s="797"/>
      <c r="N27" s="797"/>
      <c r="O27" s="797"/>
      <c r="P27" s="797"/>
      <c r="Q27" s="797"/>
      <c r="R27" s="797"/>
      <c r="S27" s="797"/>
      <c r="T27" s="797"/>
      <c r="U27" s="797"/>
      <c r="V27" s="797"/>
      <c r="W27" s="797"/>
      <c r="X27" s="797"/>
    </row>
    <row r="28" spans="1:24">
      <c r="A28" s="785" t="s">
        <v>259</v>
      </c>
      <c r="B28" s="785"/>
      <c r="C28" s="780">
        <v>1280</v>
      </c>
      <c r="D28" s="797"/>
      <c r="E28" s="797"/>
      <c r="F28" s="797"/>
      <c r="G28" s="797"/>
      <c r="H28" s="797"/>
      <c r="I28" s="797"/>
      <c r="J28" s="797"/>
      <c r="K28" s="797"/>
      <c r="L28" s="797"/>
      <c r="M28" s="797"/>
      <c r="N28" s="797"/>
      <c r="O28" s="797"/>
      <c r="P28" s="797"/>
      <c r="Q28" s="797"/>
      <c r="R28" s="797"/>
      <c r="S28" s="797"/>
      <c r="T28" s="797"/>
      <c r="U28" s="797"/>
      <c r="V28" s="797"/>
      <c r="W28" s="797"/>
      <c r="X28" s="797"/>
    </row>
    <row r="29" spans="1:24">
      <c r="A29" s="797"/>
      <c r="B29" s="797"/>
      <c r="C29" s="797"/>
      <c r="D29" s="797"/>
      <c r="E29" s="797"/>
      <c r="F29" s="797"/>
      <c r="G29" s="797"/>
      <c r="H29" s="797"/>
      <c r="I29" s="797"/>
      <c r="J29" s="797"/>
      <c r="K29" s="797"/>
      <c r="L29" s="797"/>
      <c r="M29" s="797"/>
      <c r="N29" s="797"/>
      <c r="O29" s="797"/>
      <c r="P29" s="797"/>
      <c r="Q29" s="797"/>
      <c r="R29" s="797"/>
      <c r="S29" s="797"/>
      <c r="T29" s="797"/>
      <c r="U29" s="797"/>
      <c r="V29" s="797"/>
      <c r="W29" s="797"/>
      <c r="X29" s="797"/>
    </row>
    <row r="30" spans="1:24">
      <c r="A30" s="797"/>
      <c r="B30" s="797"/>
      <c r="C30" s="797"/>
      <c r="D30" s="797"/>
      <c r="E30" s="797"/>
      <c r="F30" s="797"/>
      <c r="G30" s="797"/>
      <c r="H30" s="797"/>
      <c r="I30" s="797"/>
      <c r="J30" s="797"/>
      <c r="K30" s="797"/>
      <c r="L30" s="797"/>
      <c r="M30" s="797"/>
      <c r="N30" s="797"/>
      <c r="O30" s="797"/>
      <c r="P30" s="797"/>
      <c r="Q30" s="797"/>
      <c r="R30" s="797"/>
      <c r="S30" s="797"/>
      <c r="T30" s="797"/>
      <c r="U30" s="797"/>
      <c r="V30" s="797"/>
      <c r="W30" s="797"/>
      <c r="X30" s="797"/>
    </row>
    <row r="31" spans="1:24">
      <c r="A31" s="797"/>
      <c r="B31" s="797"/>
      <c r="C31" s="797"/>
      <c r="D31" s="797"/>
      <c r="E31" s="797"/>
      <c r="F31" s="797"/>
      <c r="G31" s="797"/>
      <c r="H31" s="797"/>
      <c r="I31" s="797"/>
      <c r="J31" s="797"/>
      <c r="K31" s="797"/>
      <c r="L31" s="797"/>
      <c r="M31" s="797"/>
      <c r="N31" s="797"/>
      <c r="O31" s="797"/>
      <c r="P31" s="797"/>
      <c r="Q31" s="797"/>
      <c r="R31" s="797"/>
      <c r="S31" s="797"/>
      <c r="T31" s="797"/>
      <c r="U31" s="797"/>
      <c r="V31" s="797"/>
      <c r="W31" s="797"/>
      <c r="X31" s="797"/>
    </row>
    <row r="32" spans="1:24">
      <c r="A32" s="797"/>
      <c r="B32" s="797"/>
      <c r="C32" s="797"/>
      <c r="D32" s="797"/>
      <c r="E32" s="797"/>
      <c r="F32" s="797"/>
      <c r="G32" s="797"/>
      <c r="H32" s="797"/>
      <c r="I32" s="797"/>
      <c r="J32" s="797"/>
      <c r="K32" s="797"/>
      <c r="L32" s="797"/>
      <c r="M32" s="797"/>
      <c r="N32" s="797"/>
      <c r="O32" s="797"/>
      <c r="P32" s="797"/>
      <c r="Q32" s="797"/>
      <c r="R32" s="797"/>
      <c r="S32" s="797"/>
      <c r="T32" s="797"/>
      <c r="U32" s="797"/>
      <c r="V32" s="797"/>
      <c r="W32" s="797"/>
      <c r="X32" s="797"/>
    </row>
    <row r="33" spans="1:24">
      <c r="A33" s="797"/>
      <c r="B33" s="797"/>
      <c r="C33" s="797"/>
      <c r="D33" s="797"/>
      <c r="E33" s="797"/>
      <c r="F33" s="797"/>
      <c r="G33" s="797"/>
      <c r="H33" s="797"/>
      <c r="I33" s="797"/>
      <c r="J33" s="797"/>
      <c r="K33" s="797"/>
      <c r="L33" s="797"/>
      <c r="M33" s="797"/>
      <c r="N33" s="797"/>
      <c r="O33" s="797"/>
      <c r="P33" s="797"/>
      <c r="Q33" s="797"/>
      <c r="R33" s="797"/>
      <c r="S33" s="797"/>
      <c r="T33" s="797"/>
      <c r="U33" s="797"/>
      <c r="V33" s="797"/>
      <c r="W33" s="797"/>
      <c r="X33" s="797"/>
    </row>
    <row r="34" spans="1:24">
      <c r="A34" s="797"/>
      <c r="B34" s="797"/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7"/>
      <c r="V34" s="797"/>
      <c r="W34" s="797"/>
      <c r="X34" s="797"/>
    </row>
    <row r="35" spans="1:24" ht="15" customHeight="1">
      <c r="A35" s="850" t="s">
        <v>361</v>
      </c>
      <c r="B35" s="850"/>
      <c r="C35" s="850"/>
      <c r="D35" s="850"/>
      <c r="E35" s="850"/>
      <c r="F35" s="850"/>
      <c r="G35" s="850"/>
      <c r="H35" s="850"/>
      <c r="I35" s="850"/>
      <c r="J35" s="850"/>
      <c r="K35" s="850"/>
      <c r="L35" s="850"/>
      <c r="M35" s="850" t="s">
        <v>364</v>
      </c>
      <c r="N35" s="850"/>
      <c r="O35" s="850"/>
      <c r="P35" s="850"/>
      <c r="Q35" s="850"/>
      <c r="R35" s="850"/>
      <c r="S35" s="850"/>
      <c r="T35" s="850"/>
      <c r="U35" s="850"/>
      <c r="V35" s="850"/>
      <c r="W35" s="850"/>
      <c r="X35" s="850"/>
    </row>
    <row r="36" spans="1:24" ht="15" customHeight="1">
      <c r="A36" s="850"/>
      <c r="B36" s="850"/>
      <c r="C36" s="850"/>
      <c r="D36" s="850"/>
      <c r="E36" s="850"/>
      <c r="F36" s="850"/>
      <c r="G36" s="850"/>
      <c r="H36" s="850"/>
      <c r="I36" s="850"/>
      <c r="J36" s="850"/>
      <c r="K36" s="850"/>
      <c r="L36" s="850"/>
      <c r="M36" s="850"/>
      <c r="N36" s="850"/>
      <c r="O36" s="850"/>
      <c r="P36" s="850"/>
      <c r="Q36" s="850"/>
      <c r="R36" s="850"/>
      <c r="S36" s="850"/>
      <c r="T36" s="850"/>
      <c r="U36" s="850"/>
      <c r="V36" s="850"/>
      <c r="W36" s="850"/>
      <c r="X36" s="850"/>
    </row>
    <row r="37" spans="1:24" ht="28.5">
      <c r="A37" s="855" t="s">
        <v>181</v>
      </c>
      <c r="B37" s="850" t="s">
        <v>515</v>
      </c>
      <c r="C37" s="850"/>
      <c r="D37" s="850"/>
      <c r="E37" s="850"/>
      <c r="F37" s="850"/>
      <c r="G37" s="856" t="s">
        <v>181</v>
      </c>
      <c r="H37" s="850" t="s">
        <v>514</v>
      </c>
      <c r="I37" s="850"/>
      <c r="J37" s="850"/>
      <c r="K37" s="850"/>
      <c r="L37" s="850"/>
      <c r="M37" s="856" t="s">
        <v>182</v>
      </c>
      <c r="N37" s="850" t="s">
        <v>518</v>
      </c>
      <c r="O37" s="850"/>
      <c r="P37" s="850"/>
      <c r="Q37" s="850"/>
      <c r="R37" s="850"/>
      <c r="S37" s="856" t="s">
        <v>182</v>
      </c>
      <c r="T37" s="850" t="s">
        <v>519</v>
      </c>
      <c r="U37" s="850"/>
      <c r="V37" s="850"/>
      <c r="W37" s="850"/>
      <c r="X37" s="850"/>
    </row>
    <row r="38" spans="1:24">
      <c r="A38" s="797"/>
      <c r="B38" s="797"/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797"/>
      <c r="P38" s="797"/>
      <c r="Q38" s="797"/>
      <c r="R38" s="797"/>
      <c r="S38" s="797"/>
      <c r="T38" s="797"/>
      <c r="U38" s="797"/>
      <c r="V38" s="797"/>
      <c r="W38" s="797"/>
      <c r="X38" s="797"/>
    </row>
    <row r="39" spans="1:24">
      <c r="A39" s="797"/>
      <c r="B39" s="797"/>
      <c r="C39" s="797"/>
      <c r="D39" s="797"/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797"/>
      <c r="P39" s="797"/>
      <c r="Q39" s="797"/>
      <c r="R39" s="797"/>
      <c r="S39" s="797"/>
      <c r="T39" s="797"/>
      <c r="U39" s="797"/>
      <c r="V39" s="797"/>
      <c r="W39" s="797"/>
      <c r="X39" s="797"/>
    </row>
    <row r="40" spans="1:24">
      <c r="A40" s="797"/>
      <c r="B40" s="797"/>
      <c r="C40" s="797"/>
      <c r="D40" s="797"/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797"/>
      <c r="P40" s="797"/>
      <c r="Q40" s="797"/>
      <c r="R40" s="797"/>
      <c r="S40" s="797"/>
      <c r="T40" s="797"/>
      <c r="U40" s="797"/>
      <c r="V40" s="797"/>
      <c r="W40" s="797"/>
      <c r="X40" s="797"/>
    </row>
    <row r="41" spans="1:24">
      <c r="A41" s="797"/>
      <c r="B41" s="797"/>
      <c r="C41" s="797"/>
      <c r="D41" s="797"/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7"/>
      <c r="V41" s="797"/>
      <c r="W41" s="797"/>
      <c r="X41" s="797"/>
    </row>
    <row r="42" spans="1:24">
      <c r="A42" s="797"/>
      <c r="B42" s="797"/>
      <c r="C42" s="797"/>
      <c r="D42" s="797"/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7"/>
      <c r="V42" s="797"/>
      <c r="W42" s="797"/>
      <c r="X42" s="797"/>
    </row>
    <row r="43" spans="1:24">
      <c r="A43" s="797"/>
      <c r="B43" s="797"/>
      <c r="C43" s="797"/>
      <c r="D43" s="797"/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797"/>
      <c r="P43" s="797"/>
      <c r="Q43" s="797"/>
      <c r="R43" s="797"/>
      <c r="S43" s="797"/>
      <c r="T43" s="797"/>
      <c r="U43" s="797"/>
      <c r="V43" s="797"/>
      <c r="W43" s="797"/>
      <c r="X43" s="797"/>
    </row>
    <row r="44" spans="1:24">
      <c r="A44" s="797"/>
      <c r="B44" s="797"/>
      <c r="C44" s="797"/>
      <c r="D44" s="797"/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797"/>
      <c r="U44" s="797"/>
      <c r="V44" s="797"/>
      <c r="W44" s="797"/>
      <c r="X44" s="797"/>
    </row>
    <row r="45" spans="1:24">
      <c r="A45" s="797"/>
      <c r="B45" s="797"/>
      <c r="C45" s="797"/>
      <c r="D45" s="797"/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797"/>
      <c r="P45" s="797"/>
      <c r="Q45" s="797"/>
      <c r="R45" s="797"/>
      <c r="S45" s="797"/>
      <c r="T45" s="797"/>
      <c r="U45" s="797"/>
      <c r="V45" s="797"/>
      <c r="W45" s="797"/>
      <c r="X45" s="797"/>
    </row>
    <row r="46" spans="1:24">
      <c r="A46" s="797"/>
      <c r="B46" s="797"/>
      <c r="C46" s="797"/>
      <c r="D46" s="797"/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797"/>
      <c r="P46" s="797"/>
      <c r="Q46" s="797"/>
      <c r="R46" s="797"/>
      <c r="S46" s="797"/>
      <c r="T46" s="797"/>
      <c r="U46" s="797"/>
      <c r="V46" s="797"/>
      <c r="W46" s="797"/>
      <c r="X46" s="797"/>
    </row>
    <row r="47" spans="1:24">
      <c r="A47" s="797"/>
      <c r="B47" s="797"/>
      <c r="C47" s="797"/>
      <c r="D47" s="797"/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797"/>
      <c r="P47" s="797"/>
      <c r="Q47" s="797"/>
      <c r="R47" s="797"/>
      <c r="S47" s="797"/>
      <c r="T47" s="797"/>
      <c r="U47" s="797"/>
      <c r="V47" s="797"/>
      <c r="W47" s="797"/>
      <c r="X47" s="797"/>
    </row>
    <row r="48" spans="1:24">
      <c r="A48" s="797"/>
      <c r="B48" s="797"/>
      <c r="C48" s="797"/>
      <c r="D48" s="797"/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797"/>
      <c r="P48" s="797"/>
      <c r="Q48" s="797"/>
      <c r="R48" s="797"/>
      <c r="S48" s="797"/>
      <c r="T48" s="797"/>
      <c r="U48" s="797"/>
      <c r="V48" s="797"/>
      <c r="W48" s="797"/>
      <c r="X48" s="797"/>
    </row>
    <row r="49" spans="1:24">
      <c r="A49" s="797"/>
      <c r="B49" s="797"/>
      <c r="C49" s="797"/>
      <c r="D49" s="797"/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797"/>
      <c r="P49" s="797"/>
      <c r="Q49" s="797"/>
      <c r="R49" s="797"/>
      <c r="S49" s="797"/>
      <c r="T49" s="797"/>
      <c r="U49" s="797"/>
      <c r="V49" s="797"/>
      <c r="W49" s="797"/>
      <c r="X49" s="797"/>
    </row>
    <row r="50" spans="1:24">
      <c r="A50" s="797"/>
      <c r="B50" s="797"/>
      <c r="C50" s="797"/>
      <c r="D50" s="797"/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797"/>
      <c r="P50" s="797"/>
      <c r="Q50" s="797"/>
      <c r="R50" s="797"/>
      <c r="S50" s="797"/>
      <c r="T50" s="797"/>
      <c r="U50" s="797"/>
      <c r="V50" s="797"/>
      <c r="W50" s="797"/>
      <c r="X50" s="797"/>
    </row>
    <row r="51" spans="1:24">
      <c r="A51" s="797"/>
      <c r="B51" s="797"/>
      <c r="C51" s="797"/>
      <c r="D51" s="797"/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797"/>
      <c r="P51" s="797"/>
      <c r="Q51" s="797"/>
      <c r="R51" s="797"/>
      <c r="S51" s="797"/>
      <c r="T51" s="797"/>
      <c r="U51" s="797"/>
      <c r="V51" s="797"/>
      <c r="W51" s="797"/>
      <c r="X51" s="797"/>
    </row>
    <row r="52" spans="1:24">
      <c r="A52" s="797"/>
      <c r="B52" s="797"/>
      <c r="C52" s="797"/>
      <c r="D52" s="797"/>
      <c r="E52" s="797"/>
      <c r="F52" s="797"/>
      <c r="G52" s="797"/>
      <c r="H52" s="797"/>
      <c r="I52" s="797"/>
      <c r="J52" s="857"/>
      <c r="K52" s="776"/>
      <c r="L52" s="797"/>
      <c r="M52" s="858" t="s">
        <v>455</v>
      </c>
      <c r="N52" s="859" t="s">
        <v>177</v>
      </c>
      <c r="O52" s="860" t="s">
        <v>385</v>
      </c>
      <c r="P52" s="861" t="s">
        <v>390</v>
      </c>
      <c r="Q52" s="862"/>
      <c r="R52" s="861" t="s">
        <v>391</v>
      </c>
      <c r="S52" s="862"/>
      <c r="T52" s="859" t="s">
        <v>384</v>
      </c>
      <c r="U52" s="860" t="s">
        <v>389</v>
      </c>
      <c r="V52" s="863" t="s">
        <v>406</v>
      </c>
      <c r="W52" s="864" t="s">
        <v>259</v>
      </c>
      <c r="X52" s="801" t="s">
        <v>485</v>
      </c>
    </row>
    <row r="53" spans="1:24" ht="17.25">
      <c r="A53" s="858" t="s">
        <v>455</v>
      </c>
      <c r="B53" s="859" t="s">
        <v>177</v>
      </c>
      <c r="C53" s="865" t="s">
        <v>385</v>
      </c>
      <c r="D53" s="861" t="s">
        <v>390</v>
      </c>
      <c r="E53" s="862"/>
      <c r="F53" s="861" t="s">
        <v>391</v>
      </c>
      <c r="G53" s="862"/>
      <c r="H53" s="865" t="s">
        <v>443</v>
      </c>
      <c r="I53" s="865" t="s">
        <v>389</v>
      </c>
      <c r="J53" s="863" t="s">
        <v>406</v>
      </c>
      <c r="K53" s="866" t="s">
        <v>259</v>
      </c>
      <c r="L53" s="801" t="s">
        <v>485</v>
      </c>
      <c r="M53" s="867" t="s">
        <v>456</v>
      </c>
      <c r="N53" s="868" t="s">
        <v>258</v>
      </c>
      <c r="O53" s="860"/>
      <c r="P53" s="869" t="s">
        <v>392</v>
      </c>
      <c r="Q53" s="870"/>
      <c r="R53" s="869" t="s">
        <v>392</v>
      </c>
      <c r="S53" s="870"/>
      <c r="T53" s="868"/>
      <c r="U53" s="860"/>
      <c r="V53" s="868" t="s">
        <v>258</v>
      </c>
      <c r="W53" s="864"/>
      <c r="X53" s="871" t="s">
        <v>240</v>
      </c>
    </row>
    <row r="54" spans="1:24" ht="15" customHeight="1">
      <c r="A54" s="872" t="s">
        <v>456</v>
      </c>
      <c r="B54" s="868" t="s">
        <v>258</v>
      </c>
      <c r="C54" s="873"/>
      <c r="D54" s="869" t="s">
        <v>392</v>
      </c>
      <c r="E54" s="870"/>
      <c r="F54" s="869" t="s">
        <v>392</v>
      </c>
      <c r="G54" s="870"/>
      <c r="H54" s="873"/>
      <c r="I54" s="873"/>
      <c r="J54" s="868" t="s">
        <v>258</v>
      </c>
      <c r="K54" s="866"/>
      <c r="L54" s="871" t="s">
        <v>240</v>
      </c>
      <c r="M54" s="874">
        <f>1000000/W54</f>
        <v>781.25</v>
      </c>
      <c r="N54" s="875">
        <f>B55</f>
        <v>80</v>
      </c>
      <c r="O54" s="876" t="s">
        <v>388</v>
      </c>
      <c r="P54" s="866">
        <v>0.5</v>
      </c>
      <c r="Q54" s="877"/>
      <c r="R54" s="878">
        <v>1</v>
      </c>
      <c r="S54" s="879"/>
      <c r="T54" s="876">
        <v>3</v>
      </c>
      <c r="U54" s="876">
        <f>(T54*P54*$N$54)/1000</f>
        <v>0.12</v>
      </c>
      <c r="V54" s="880">
        <f>J55</f>
        <v>1.37</v>
      </c>
      <c r="W54" s="881">
        <f>K55</f>
        <v>1280</v>
      </c>
      <c r="X54" s="882">
        <f>((3.1416*((V54/2)^2)*(N54/2)/1000))*(M54/((N54/2)/1000))</f>
        <v>1151.6541093750002</v>
      </c>
    </row>
    <row r="55" spans="1:24" ht="15" customHeight="1">
      <c r="A55" s="883">
        <f>1000000/K55</f>
        <v>781.25</v>
      </c>
      <c r="B55" s="875">
        <f>C6</f>
        <v>80</v>
      </c>
      <c r="C55" s="876" t="s">
        <v>388</v>
      </c>
      <c r="D55" s="866">
        <v>0.5</v>
      </c>
      <c r="E55" s="877"/>
      <c r="F55" s="878">
        <v>1</v>
      </c>
      <c r="G55" s="879"/>
      <c r="H55" s="876">
        <v>3</v>
      </c>
      <c r="I55" s="876">
        <f>(H55*D55*$B$55)/1000</f>
        <v>0.12</v>
      </c>
      <c r="J55" s="880">
        <f>C5</f>
        <v>1.37</v>
      </c>
      <c r="K55" s="884">
        <f>C7</f>
        <v>1280</v>
      </c>
      <c r="L55" s="882">
        <f>((3.1416*((J55/2)^2)*(B55/2)/1000))*(A55/((B55/2)/1000))</f>
        <v>1151.6541093750002</v>
      </c>
      <c r="M55" s="874"/>
      <c r="N55" s="885"/>
      <c r="O55" s="876" t="s">
        <v>386</v>
      </c>
      <c r="P55" s="866">
        <v>0.5</v>
      </c>
      <c r="Q55" s="877"/>
      <c r="R55" s="878">
        <f>R54</f>
        <v>1</v>
      </c>
      <c r="S55" s="879"/>
      <c r="T55" s="876">
        <v>57</v>
      </c>
      <c r="U55" s="876">
        <f>(T55*P55*$N$54)/1000</f>
        <v>2.2799999999999998</v>
      </c>
      <c r="V55" s="886"/>
      <c r="W55" s="881"/>
      <c r="X55" s="887"/>
    </row>
    <row r="56" spans="1:24" ht="15" customHeight="1">
      <c r="A56" s="883"/>
      <c r="B56" s="885"/>
      <c r="C56" s="876" t="s">
        <v>386</v>
      </c>
      <c r="D56" s="866">
        <v>0.5</v>
      </c>
      <c r="E56" s="877"/>
      <c r="F56" s="878">
        <f>F55</f>
        <v>1</v>
      </c>
      <c r="G56" s="879"/>
      <c r="H56" s="876">
        <v>57</v>
      </c>
      <c r="I56" s="876">
        <f>(H56*D56*$B$55)/1000</f>
        <v>2.2799999999999998</v>
      </c>
      <c r="J56" s="886"/>
      <c r="K56" s="884"/>
      <c r="L56" s="887"/>
      <c r="M56" s="888"/>
      <c r="N56" s="889"/>
      <c r="O56" s="876" t="s">
        <v>393</v>
      </c>
      <c r="P56" s="866">
        <v>0.5</v>
      </c>
      <c r="Q56" s="877"/>
      <c r="R56" s="878">
        <f>R55</f>
        <v>1</v>
      </c>
      <c r="S56" s="879"/>
      <c r="T56" s="876">
        <v>36</v>
      </c>
      <c r="U56" s="890">
        <f>(T56*R56*$N$54)/1000</f>
        <v>2.88</v>
      </c>
      <c r="V56" s="891"/>
      <c r="W56" s="881"/>
      <c r="X56" s="892"/>
    </row>
    <row r="57" spans="1:24">
      <c r="A57" s="893"/>
      <c r="B57" s="889"/>
      <c r="C57" s="876" t="s">
        <v>393</v>
      </c>
      <c r="D57" s="866">
        <v>0.5</v>
      </c>
      <c r="E57" s="877"/>
      <c r="F57" s="878">
        <f>F55</f>
        <v>1</v>
      </c>
      <c r="G57" s="879"/>
      <c r="H57" s="876">
        <v>36</v>
      </c>
      <c r="I57" s="890">
        <f>(H57*F57*$B$55)/1000</f>
        <v>2.88</v>
      </c>
      <c r="J57" s="891"/>
      <c r="K57" s="884"/>
      <c r="L57" s="892"/>
      <c r="M57" s="797"/>
      <c r="N57" s="797"/>
      <c r="O57" s="876"/>
      <c r="P57" s="860"/>
      <c r="Q57" s="860"/>
      <c r="R57" s="894"/>
      <c r="S57" s="894"/>
      <c r="T57" s="876"/>
      <c r="U57" s="876"/>
      <c r="V57" s="776"/>
      <c r="W57" s="797"/>
      <c r="X57" s="797"/>
    </row>
    <row r="58" spans="1:24">
      <c r="A58" s="797"/>
      <c r="B58" s="797"/>
      <c r="C58" s="876"/>
      <c r="D58" s="866"/>
      <c r="E58" s="877"/>
      <c r="F58" s="878"/>
      <c r="G58" s="879"/>
      <c r="H58" s="876"/>
      <c r="I58" s="876"/>
      <c r="J58" s="776"/>
      <c r="K58" s="776"/>
      <c r="L58" s="797"/>
      <c r="M58" s="817" t="s">
        <v>491</v>
      </c>
      <c r="N58" s="797"/>
      <c r="O58" s="797"/>
      <c r="P58" s="797"/>
      <c r="Q58" s="797"/>
      <c r="R58" s="797"/>
      <c r="S58" s="797"/>
      <c r="T58" s="797"/>
      <c r="U58" s="797"/>
      <c r="V58" s="797"/>
      <c r="W58" s="797"/>
      <c r="X58" s="797"/>
    </row>
    <row r="59" spans="1:24" ht="15.75">
      <c r="A59" s="817" t="s">
        <v>491</v>
      </c>
      <c r="B59" s="797"/>
      <c r="C59" s="797"/>
      <c r="D59" s="797"/>
      <c r="E59" s="797"/>
      <c r="F59" s="797"/>
      <c r="G59" s="797"/>
      <c r="H59" s="797"/>
      <c r="I59" s="797"/>
      <c r="J59" s="797"/>
      <c r="K59" s="797"/>
      <c r="L59" s="797"/>
      <c r="M59" s="819" t="s">
        <v>495</v>
      </c>
      <c r="N59" s="797"/>
      <c r="O59" s="797"/>
      <c r="P59" s="797"/>
      <c r="Q59" s="797"/>
      <c r="R59" s="797"/>
      <c r="S59" s="797"/>
      <c r="T59" s="797"/>
      <c r="U59" s="797"/>
      <c r="V59" s="797"/>
      <c r="W59" s="797"/>
      <c r="X59" s="797"/>
    </row>
    <row r="60" spans="1:24" ht="17.25">
      <c r="A60" s="819" t="s">
        <v>495</v>
      </c>
      <c r="B60" s="797"/>
      <c r="C60" s="797"/>
      <c r="D60" s="797"/>
      <c r="E60" s="797"/>
      <c r="F60" s="797"/>
      <c r="G60" s="797"/>
      <c r="H60" s="797"/>
      <c r="I60" s="797"/>
      <c r="J60" s="797"/>
      <c r="K60" s="797"/>
      <c r="L60" s="797"/>
      <c r="M60" s="799">
        <f>P54*(SQRT(1-(P54^2)))*(((T54+T55)/2)*T56)*(N54/1000)^2</f>
        <v>2.9929837954790197</v>
      </c>
      <c r="N60" s="895" t="s">
        <v>445</v>
      </c>
      <c r="O60" s="896"/>
      <c r="P60" s="797"/>
      <c r="Q60" s="864" t="s">
        <v>394</v>
      </c>
      <c r="R60" s="864"/>
      <c r="S60" s="864"/>
      <c r="T60" s="864"/>
      <c r="U60" s="797"/>
      <c r="V60" s="864" t="s">
        <v>444</v>
      </c>
      <c r="W60" s="864"/>
      <c r="X60" s="864"/>
    </row>
    <row r="61" spans="1:24">
      <c r="A61" s="799">
        <f>D55*(SQRT(1-(D55^2)))*(((H55+H56)/2)*H57)*(B55/1000)^2</f>
        <v>2.9929837954790197</v>
      </c>
      <c r="B61" s="797"/>
      <c r="C61" s="797"/>
      <c r="D61" s="797"/>
      <c r="E61" s="797"/>
      <c r="F61" s="866" t="s">
        <v>394</v>
      </c>
      <c r="G61" s="897"/>
      <c r="H61" s="897"/>
      <c r="I61" s="877"/>
      <c r="J61" s="797"/>
      <c r="K61" s="797"/>
      <c r="L61" s="797"/>
      <c r="M61" s="797"/>
      <c r="N61" s="898" t="s">
        <v>446</v>
      </c>
      <c r="O61" s="899"/>
      <c r="P61" s="797"/>
      <c r="Q61" s="900" t="s">
        <v>396</v>
      </c>
      <c r="R61" s="900" t="s">
        <v>384</v>
      </c>
      <c r="S61" s="900" t="s">
        <v>398</v>
      </c>
      <c r="T61" s="900" t="s">
        <v>405</v>
      </c>
      <c r="U61" s="797"/>
      <c r="V61" s="901">
        <f>'Mecánica de la Red'!N29</f>
        <v>0.94694400000000012</v>
      </c>
      <c r="W61" s="901"/>
      <c r="X61" s="901"/>
    </row>
    <row r="62" spans="1:24" ht="15" customHeight="1">
      <c r="A62" s="797"/>
      <c r="B62" s="797"/>
      <c r="C62" s="797"/>
      <c r="D62" s="797"/>
      <c r="E62" s="797"/>
      <c r="F62" s="900" t="s">
        <v>396</v>
      </c>
      <c r="G62" s="900" t="s">
        <v>384</v>
      </c>
      <c r="H62" s="900" t="s">
        <v>398</v>
      </c>
      <c r="I62" s="900" t="s">
        <v>405</v>
      </c>
      <c r="J62" s="797"/>
      <c r="K62" s="797"/>
      <c r="L62" s="797"/>
      <c r="M62" s="902" t="s">
        <v>473</v>
      </c>
      <c r="N62" s="903">
        <f>SUM(COUNTIF(37:37,"A"),COUNTIF(37:37,"B"))</f>
        <v>4</v>
      </c>
      <c r="O62" s="904"/>
      <c r="P62" s="797"/>
      <c r="Q62" s="876" t="s">
        <v>395</v>
      </c>
      <c r="R62" s="876">
        <f>((T55-(T54+T56))/T56)*T56</f>
        <v>18</v>
      </c>
      <c r="S62" s="905">
        <f>(ABS(R62-P55))/(2*R62)</f>
        <v>0.4861111111111111</v>
      </c>
      <c r="T62" s="876" t="str">
        <f>VLOOKUP('Paños de red y cortes'!H63,'Tablas de Referencias'!$A$49:$C$88,3,FALSE)</f>
        <v>1N2B</v>
      </c>
      <c r="U62" s="797"/>
      <c r="V62" s="901"/>
      <c r="W62" s="901"/>
      <c r="X62" s="901"/>
    </row>
    <row r="63" spans="1:24" ht="15" customHeight="1">
      <c r="A63" s="902" t="s">
        <v>473</v>
      </c>
      <c r="B63" s="797"/>
      <c r="C63" s="797"/>
      <c r="D63" s="797"/>
      <c r="E63" s="797"/>
      <c r="F63" s="906" t="s">
        <v>395</v>
      </c>
      <c r="G63" s="876">
        <f>((H56-(H55+H57))/H57)*H57</f>
        <v>18</v>
      </c>
      <c r="H63" s="905">
        <f>(ABS(G63-H57))/(2*G63)</f>
        <v>0.5</v>
      </c>
      <c r="I63" s="876" t="str">
        <f>VLOOKUP('Paños de red y cortes'!H63,'Tablas de Referencias'!$A$49:$C$88,3,FALSE)</f>
        <v>1N2B</v>
      </c>
      <c r="J63" s="797"/>
      <c r="K63" s="797"/>
      <c r="L63" s="797"/>
      <c r="M63" s="780">
        <f>((T54+T55-1)*(T56-0.5))+0.5</f>
        <v>2095</v>
      </c>
      <c r="N63" s="907"/>
      <c r="O63" s="908"/>
      <c r="P63" s="797"/>
      <c r="Q63" s="876" t="s">
        <v>397</v>
      </c>
      <c r="R63" s="876">
        <f>T55-T54-R62</f>
        <v>36</v>
      </c>
      <c r="S63" s="905">
        <f>((T55+1)-1)/T55</f>
        <v>1</v>
      </c>
      <c r="T63" s="876" t="str">
        <f>VLOOKUP('Paños de red y cortes'!S63,'Tablas de Referencias'!$A$49:$C$88,3,FALSE)</f>
        <v>AB</v>
      </c>
      <c r="U63" s="797"/>
      <c r="V63" s="901"/>
      <c r="W63" s="901"/>
      <c r="X63" s="901"/>
    </row>
    <row r="64" spans="1:24" ht="15" customHeight="1">
      <c r="A64" s="780">
        <f>((H55+H56-1)*(H57-0.5))+0.5</f>
        <v>2095</v>
      </c>
      <c r="B64" s="797"/>
      <c r="C64" s="797"/>
      <c r="D64" s="797"/>
      <c r="E64" s="797"/>
      <c r="F64" s="909" t="s">
        <v>397</v>
      </c>
      <c r="G64" s="876">
        <f>H56-G63-H55</f>
        <v>36</v>
      </c>
      <c r="H64" s="905">
        <f>((H56+1)-1)/H56</f>
        <v>1</v>
      </c>
      <c r="I64" s="876" t="str">
        <f>VLOOKUP('Paños de red y cortes'!H64,'Tablas de Referencias'!$A$49:$C$88,3,FALSE)</f>
        <v>AB</v>
      </c>
      <c r="J64" s="797"/>
      <c r="K64" s="797"/>
      <c r="L64" s="797"/>
      <c r="M64" s="797"/>
      <c r="N64" s="910"/>
      <c r="O64" s="911"/>
      <c r="P64" s="797"/>
      <c r="Q64" s="797"/>
      <c r="R64" s="797"/>
      <c r="S64" s="797"/>
      <c r="T64" s="797"/>
      <c r="U64" s="797"/>
      <c r="V64" s="797"/>
      <c r="W64" s="797"/>
      <c r="X64" s="797"/>
    </row>
    <row r="65" spans="1:24">
      <c r="A65" s="797"/>
      <c r="B65" s="797"/>
      <c r="C65" s="797"/>
      <c r="D65" s="797"/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797"/>
      <c r="P65" s="797"/>
      <c r="Q65" s="797"/>
      <c r="R65" s="797"/>
      <c r="S65" s="797"/>
      <c r="T65" s="797"/>
      <c r="U65" s="797"/>
      <c r="V65" s="797"/>
      <c r="W65" s="797"/>
      <c r="X65" s="797"/>
    </row>
    <row r="66" spans="1:24">
      <c r="A66" s="797"/>
      <c r="B66" s="797"/>
      <c r="C66" s="797"/>
      <c r="D66" s="797"/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797"/>
      <c r="P66" s="797"/>
      <c r="Q66" s="797"/>
      <c r="R66" s="797"/>
      <c r="S66" s="797"/>
      <c r="T66" s="797"/>
      <c r="U66" s="797"/>
      <c r="V66" s="797"/>
      <c r="W66" s="797"/>
      <c r="X66" s="797"/>
    </row>
    <row r="67" spans="1:24" ht="15" customHeight="1">
      <c r="A67" s="850" t="s">
        <v>183</v>
      </c>
      <c r="B67" s="850" t="s">
        <v>144</v>
      </c>
      <c r="C67" s="850"/>
      <c r="D67" s="850"/>
      <c r="E67" s="850"/>
      <c r="F67" s="850"/>
      <c r="G67" s="850" t="s">
        <v>183</v>
      </c>
      <c r="H67" s="850" t="s">
        <v>143</v>
      </c>
      <c r="I67" s="850"/>
      <c r="J67" s="850"/>
      <c r="K67" s="850"/>
      <c r="L67" s="850"/>
      <c r="M67" s="850" t="s">
        <v>184</v>
      </c>
      <c r="N67" s="850" t="s">
        <v>146</v>
      </c>
      <c r="O67" s="850"/>
      <c r="P67" s="850"/>
      <c r="Q67" s="850"/>
      <c r="R67" s="850"/>
      <c r="S67" s="850" t="s">
        <v>184</v>
      </c>
      <c r="T67" s="850" t="s">
        <v>145</v>
      </c>
      <c r="U67" s="850"/>
      <c r="V67" s="850"/>
      <c r="W67" s="850"/>
      <c r="X67" s="850"/>
    </row>
    <row r="68" spans="1:24" ht="15" customHeight="1">
      <c r="A68" s="850"/>
      <c r="B68" s="850"/>
      <c r="C68" s="850"/>
      <c r="D68" s="850"/>
      <c r="E68" s="850"/>
      <c r="F68" s="850"/>
      <c r="G68" s="850"/>
      <c r="H68" s="850"/>
      <c r="I68" s="850"/>
      <c r="J68" s="850"/>
      <c r="K68" s="850"/>
      <c r="L68" s="850"/>
      <c r="M68" s="850"/>
      <c r="N68" s="850"/>
      <c r="O68" s="850"/>
      <c r="P68" s="850"/>
      <c r="Q68" s="850"/>
      <c r="R68" s="850"/>
      <c r="S68" s="850"/>
      <c r="T68" s="850"/>
      <c r="U68" s="850"/>
      <c r="V68" s="850"/>
      <c r="W68" s="850"/>
      <c r="X68" s="850"/>
    </row>
    <row r="69" spans="1:24">
      <c r="A69" s="797"/>
      <c r="B69" s="797"/>
      <c r="C69" s="797"/>
      <c r="D69" s="797"/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797"/>
      <c r="P69" s="797"/>
      <c r="Q69" s="797"/>
      <c r="R69" s="797"/>
      <c r="S69" s="797"/>
      <c r="T69" s="797"/>
      <c r="U69" s="797"/>
      <c r="V69" s="797"/>
      <c r="W69" s="797"/>
      <c r="X69" s="797"/>
    </row>
    <row r="70" spans="1:24">
      <c r="A70" s="797"/>
      <c r="B70" s="797"/>
      <c r="C70" s="797"/>
      <c r="D70" s="797"/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797"/>
      <c r="P70" s="797"/>
      <c r="Q70" s="797"/>
      <c r="R70" s="797"/>
      <c r="S70" s="797"/>
      <c r="T70" s="797"/>
      <c r="U70" s="797"/>
      <c r="V70" s="797"/>
      <c r="W70" s="797"/>
      <c r="X70" s="797"/>
    </row>
    <row r="71" spans="1:24">
      <c r="A71" s="797"/>
      <c r="B71" s="797"/>
      <c r="C71" s="797"/>
      <c r="D71" s="797"/>
      <c r="E71" s="797"/>
      <c r="F71" s="797"/>
      <c r="G71" s="797"/>
      <c r="H71" s="797"/>
      <c r="I71" s="797"/>
      <c r="J71" s="797"/>
      <c r="K71" s="797"/>
      <c r="L71" s="797"/>
      <c r="M71" s="797"/>
      <c r="N71" s="797"/>
      <c r="O71" s="797"/>
      <c r="P71" s="797"/>
      <c r="Q71" s="797"/>
      <c r="R71" s="797"/>
      <c r="S71" s="797"/>
      <c r="T71" s="797"/>
      <c r="U71" s="797"/>
      <c r="V71" s="797"/>
      <c r="W71" s="797"/>
      <c r="X71" s="797"/>
    </row>
    <row r="72" spans="1:24">
      <c r="A72" s="797"/>
      <c r="B72" s="797"/>
      <c r="C72" s="797"/>
      <c r="D72" s="797"/>
      <c r="E72" s="797"/>
      <c r="F72" s="797"/>
      <c r="G72" s="797"/>
      <c r="H72" s="797"/>
      <c r="I72" s="797"/>
      <c r="J72" s="797"/>
      <c r="K72" s="797"/>
      <c r="L72" s="797"/>
      <c r="M72" s="797"/>
      <c r="N72" s="797"/>
      <c r="O72" s="797"/>
      <c r="P72" s="797"/>
      <c r="Q72" s="797"/>
      <c r="R72" s="797"/>
      <c r="S72" s="797"/>
      <c r="T72" s="797"/>
      <c r="U72" s="797"/>
      <c r="V72" s="797"/>
      <c r="W72" s="797"/>
      <c r="X72" s="797"/>
    </row>
    <row r="73" spans="1:24">
      <c r="A73" s="797"/>
      <c r="B73" s="797"/>
      <c r="C73" s="797"/>
      <c r="D73" s="797"/>
      <c r="E73" s="797"/>
      <c r="F73" s="797"/>
      <c r="G73" s="797"/>
      <c r="H73" s="797"/>
      <c r="I73" s="797"/>
      <c r="J73" s="797"/>
      <c r="K73" s="797"/>
      <c r="L73" s="797"/>
      <c r="M73" s="797"/>
      <c r="N73" s="797"/>
      <c r="O73" s="797"/>
      <c r="P73" s="797"/>
      <c r="Q73" s="797"/>
      <c r="R73" s="797"/>
      <c r="S73" s="797"/>
      <c r="T73" s="797"/>
      <c r="U73" s="797"/>
      <c r="V73" s="797"/>
      <c r="W73" s="797"/>
      <c r="X73" s="797"/>
    </row>
    <row r="74" spans="1:24">
      <c r="A74" s="797"/>
      <c r="B74" s="797"/>
      <c r="C74" s="797"/>
      <c r="D74" s="797"/>
      <c r="E74" s="797"/>
      <c r="F74" s="797"/>
      <c r="G74" s="797"/>
      <c r="H74" s="797"/>
      <c r="I74" s="797"/>
      <c r="J74" s="797"/>
      <c r="K74" s="797"/>
      <c r="L74" s="797"/>
      <c r="M74" s="797"/>
      <c r="N74" s="797"/>
      <c r="O74" s="797"/>
      <c r="P74" s="797"/>
      <c r="Q74" s="797"/>
      <c r="R74" s="797"/>
      <c r="S74" s="797"/>
      <c r="T74" s="797"/>
      <c r="U74" s="797"/>
      <c r="V74" s="797"/>
      <c r="W74" s="797"/>
      <c r="X74" s="797"/>
    </row>
    <row r="75" spans="1:24">
      <c r="A75" s="797"/>
      <c r="B75" s="797"/>
      <c r="C75" s="797"/>
      <c r="D75" s="797"/>
      <c r="E75" s="797"/>
      <c r="F75" s="797"/>
      <c r="G75" s="797"/>
      <c r="H75" s="797"/>
      <c r="I75" s="797"/>
      <c r="J75" s="797"/>
      <c r="K75" s="797"/>
      <c r="L75" s="797"/>
      <c r="M75" s="797"/>
      <c r="N75" s="797"/>
      <c r="O75" s="797"/>
      <c r="P75" s="797"/>
      <c r="Q75" s="797"/>
      <c r="R75" s="797"/>
      <c r="S75" s="797"/>
      <c r="T75" s="797"/>
      <c r="U75" s="797"/>
      <c r="V75" s="797"/>
      <c r="W75" s="797"/>
      <c r="X75" s="797"/>
    </row>
    <row r="76" spans="1:24">
      <c r="A76" s="797"/>
      <c r="B76" s="797"/>
      <c r="C76" s="797"/>
      <c r="D76" s="797"/>
      <c r="E76" s="797"/>
      <c r="F76" s="797"/>
      <c r="G76" s="797"/>
      <c r="H76" s="797"/>
      <c r="I76" s="797"/>
      <c r="J76" s="797"/>
      <c r="K76" s="797"/>
      <c r="L76" s="797"/>
      <c r="M76" s="797"/>
      <c r="N76" s="797"/>
      <c r="O76" s="797"/>
      <c r="P76" s="797"/>
      <c r="Q76" s="797"/>
      <c r="R76" s="797"/>
      <c r="S76" s="797"/>
      <c r="T76" s="797"/>
      <c r="U76" s="797"/>
      <c r="V76" s="797"/>
      <c r="W76" s="797"/>
      <c r="X76" s="797"/>
    </row>
    <row r="77" spans="1:24">
      <c r="A77" s="797"/>
      <c r="B77" s="797"/>
      <c r="C77" s="797"/>
      <c r="D77" s="797"/>
      <c r="E77" s="797"/>
      <c r="F77" s="797"/>
      <c r="G77" s="797"/>
      <c r="H77" s="797"/>
      <c r="I77" s="797"/>
      <c r="J77" s="797"/>
      <c r="K77" s="797"/>
      <c r="L77" s="797"/>
      <c r="M77" s="797"/>
      <c r="N77" s="797"/>
      <c r="O77" s="797"/>
      <c r="P77" s="797"/>
      <c r="Q77" s="797"/>
      <c r="R77" s="797"/>
      <c r="S77" s="797"/>
      <c r="T77" s="797"/>
      <c r="U77" s="797"/>
      <c r="V77" s="797"/>
      <c r="W77" s="797"/>
      <c r="X77" s="797"/>
    </row>
    <row r="78" spans="1:24">
      <c r="A78" s="797"/>
      <c r="B78" s="797"/>
      <c r="C78" s="797"/>
      <c r="D78" s="797"/>
      <c r="E78" s="797"/>
      <c r="F78" s="797"/>
      <c r="G78" s="797"/>
      <c r="H78" s="797"/>
      <c r="I78" s="797"/>
      <c r="J78" s="797"/>
      <c r="K78" s="797"/>
      <c r="L78" s="797"/>
      <c r="M78" s="797"/>
      <c r="N78" s="797"/>
      <c r="O78" s="797"/>
      <c r="P78" s="797"/>
      <c r="Q78" s="797"/>
      <c r="R78" s="797"/>
      <c r="S78" s="797"/>
      <c r="T78" s="797"/>
      <c r="U78" s="797"/>
      <c r="V78" s="797"/>
      <c r="W78" s="797"/>
      <c r="X78" s="797"/>
    </row>
    <row r="79" spans="1:24">
      <c r="A79" s="797"/>
      <c r="B79" s="797"/>
      <c r="C79" s="797"/>
      <c r="D79" s="797"/>
      <c r="E79" s="797"/>
      <c r="F79" s="797"/>
      <c r="G79" s="797"/>
      <c r="H79" s="797"/>
      <c r="I79" s="797"/>
      <c r="J79" s="797"/>
      <c r="K79" s="797"/>
      <c r="L79" s="797"/>
      <c r="M79" s="797"/>
      <c r="N79" s="797"/>
      <c r="O79" s="797"/>
      <c r="P79" s="797"/>
      <c r="Q79" s="797"/>
      <c r="R79" s="797"/>
      <c r="S79" s="797"/>
      <c r="T79" s="797"/>
      <c r="U79" s="797"/>
      <c r="V79" s="797"/>
      <c r="W79" s="797"/>
      <c r="X79" s="797"/>
    </row>
    <row r="80" spans="1:24">
      <c r="A80" s="797"/>
      <c r="B80" s="797"/>
      <c r="C80" s="797"/>
      <c r="D80" s="797"/>
      <c r="E80" s="797"/>
      <c r="F80" s="797"/>
      <c r="G80" s="797"/>
      <c r="H80" s="797"/>
      <c r="I80" s="797"/>
      <c r="J80" s="797"/>
      <c r="K80" s="797"/>
      <c r="L80" s="797"/>
      <c r="M80" s="797"/>
      <c r="N80" s="797"/>
      <c r="O80" s="797"/>
      <c r="P80" s="797"/>
      <c r="Q80" s="797"/>
      <c r="R80" s="797"/>
      <c r="S80" s="797"/>
      <c r="T80" s="797"/>
      <c r="U80" s="797"/>
      <c r="V80" s="797"/>
      <c r="W80" s="797"/>
      <c r="X80" s="797"/>
    </row>
    <row r="81" spans="1:24">
      <c r="A81" s="797"/>
      <c r="B81" s="797"/>
      <c r="C81" s="797"/>
      <c r="D81" s="797"/>
      <c r="E81" s="797"/>
      <c r="F81" s="797"/>
      <c r="G81" s="797"/>
      <c r="H81" s="797"/>
      <c r="I81" s="797"/>
      <c r="J81" s="797"/>
      <c r="K81" s="797"/>
      <c r="L81" s="797"/>
      <c r="M81" s="797"/>
      <c r="N81" s="797"/>
      <c r="O81" s="797"/>
      <c r="P81" s="797"/>
      <c r="Q81" s="797"/>
      <c r="R81" s="797"/>
      <c r="S81" s="797"/>
      <c r="T81" s="797"/>
      <c r="U81" s="797"/>
      <c r="V81" s="797"/>
      <c r="W81" s="797"/>
      <c r="X81" s="797"/>
    </row>
    <row r="82" spans="1:24">
      <c r="A82" s="797"/>
      <c r="B82" s="797"/>
      <c r="C82" s="797"/>
      <c r="D82" s="797"/>
      <c r="E82" s="797"/>
      <c r="F82" s="797"/>
      <c r="G82" s="797"/>
      <c r="H82" s="797"/>
      <c r="I82" s="797"/>
      <c r="J82" s="797"/>
      <c r="K82" s="797"/>
      <c r="L82" s="797"/>
      <c r="M82" s="797"/>
      <c r="N82" s="797"/>
      <c r="O82" s="797"/>
      <c r="P82" s="797"/>
      <c r="Q82" s="797"/>
      <c r="R82" s="797"/>
      <c r="S82" s="797"/>
      <c r="T82" s="797"/>
      <c r="U82" s="797"/>
      <c r="V82" s="797"/>
      <c r="W82" s="797"/>
      <c r="X82" s="797"/>
    </row>
    <row r="83" spans="1:24">
      <c r="A83" s="797"/>
      <c r="B83" s="797"/>
      <c r="C83" s="797"/>
      <c r="D83" s="797"/>
      <c r="E83" s="797"/>
      <c r="F83" s="797"/>
      <c r="G83" s="797"/>
      <c r="H83" s="797"/>
      <c r="I83" s="797"/>
      <c r="J83" s="797"/>
      <c r="K83" s="797"/>
      <c r="L83" s="797"/>
      <c r="M83" s="797"/>
      <c r="N83" s="797"/>
      <c r="O83" s="797"/>
      <c r="P83" s="797"/>
      <c r="Q83" s="797"/>
      <c r="R83" s="797"/>
      <c r="S83" s="797"/>
      <c r="T83" s="797"/>
      <c r="U83" s="797"/>
      <c r="V83" s="797"/>
      <c r="W83" s="797"/>
      <c r="X83" s="797"/>
    </row>
    <row r="84" spans="1:24">
      <c r="A84" s="797"/>
      <c r="B84" s="797"/>
      <c r="C84" s="797"/>
      <c r="D84" s="797"/>
      <c r="E84" s="797"/>
      <c r="F84" s="797"/>
      <c r="G84" s="797"/>
      <c r="H84" s="797"/>
      <c r="I84" s="797"/>
      <c r="J84" s="797"/>
      <c r="K84" s="797"/>
      <c r="L84" s="797"/>
      <c r="M84" s="797"/>
      <c r="N84" s="797"/>
      <c r="O84" s="797"/>
      <c r="P84" s="797"/>
      <c r="Q84" s="797"/>
      <c r="R84" s="797"/>
      <c r="S84" s="797"/>
      <c r="T84" s="797"/>
      <c r="U84" s="797"/>
      <c r="V84" s="797"/>
      <c r="W84" s="797"/>
      <c r="X84" s="797"/>
    </row>
    <row r="85" spans="1:24">
      <c r="A85" s="797"/>
      <c r="B85" s="797"/>
      <c r="C85" s="797"/>
      <c r="D85" s="797"/>
      <c r="E85" s="797"/>
      <c r="F85" s="797"/>
      <c r="G85" s="797"/>
      <c r="H85" s="797"/>
      <c r="I85" s="797"/>
      <c r="J85" s="797"/>
      <c r="K85" s="797"/>
      <c r="L85" s="797"/>
      <c r="M85" s="797"/>
      <c r="N85" s="797"/>
      <c r="O85" s="797"/>
      <c r="P85" s="797"/>
      <c r="Q85" s="797"/>
      <c r="R85" s="797"/>
      <c r="S85" s="797"/>
      <c r="T85" s="797"/>
      <c r="U85" s="797"/>
      <c r="V85" s="797"/>
      <c r="W85" s="797"/>
      <c r="X85" s="797"/>
    </row>
    <row r="86" spans="1:24">
      <c r="A86" s="797"/>
      <c r="B86" s="797"/>
      <c r="C86" s="797"/>
      <c r="D86" s="797"/>
      <c r="E86" s="797"/>
      <c r="F86" s="797"/>
      <c r="G86" s="797"/>
      <c r="H86" s="797"/>
      <c r="I86" s="797"/>
      <c r="J86" s="797"/>
      <c r="K86" s="797"/>
      <c r="L86" s="797"/>
      <c r="M86" s="797"/>
      <c r="N86" s="797"/>
      <c r="O86" s="797"/>
      <c r="P86" s="797"/>
      <c r="Q86" s="797"/>
      <c r="R86" s="797"/>
      <c r="S86" s="797"/>
      <c r="T86" s="797"/>
      <c r="U86" s="797"/>
      <c r="V86" s="797"/>
      <c r="W86" s="797"/>
      <c r="X86" s="797"/>
    </row>
    <row r="87" spans="1:24">
      <c r="A87" s="797"/>
      <c r="B87" s="797"/>
      <c r="C87" s="797"/>
      <c r="D87" s="797"/>
      <c r="E87" s="797"/>
      <c r="F87" s="797"/>
      <c r="G87" s="797"/>
      <c r="H87" s="797"/>
      <c r="I87" s="797"/>
      <c r="J87" s="797"/>
      <c r="K87" s="797"/>
      <c r="L87" s="797"/>
      <c r="M87" s="858" t="s">
        <v>455</v>
      </c>
      <c r="N87" s="859" t="s">
        <v>177</v>
      </c>
      <c r="O87" s="864" t="s">
        <v>385</v>
      </c>
      <c r="P87" s="865" t="s">
        <v>390</v>
      </c>
      <c r="Q87" s="865"/>
      <c r="R87" s="861" t="s">
        <v>391</v>
      </c>
      <c r="S87" s="862"/>
      <c r="T87" s="865" t="s">
        <v>384</v>
      </c>
      <c r="U87" s="864" t="s">
        <v>389</v>
      </c>
      <c r="V87" s="863" t="s">
        <v>447</v>
      </c>
      <c r="W87" s="864" t="s">
        <v>259</v>
      </c>
      <c r="X87" s="801" t="s">
        <v>485</v>
      </c>
    </row>
    <row r="88" spans="1:24" ht="17.25">
      <c r="A88" s="858" t="s">
        <v>455</v>
      </c>
      <c r="B88" s="859" t="s">
        <v>177</v>
      </c>
      <c r="C88" s="865" t="s">
        <v>385</v>
      </c>
      <c r="D88" s="861" t="s">
        <v>390</v>
      </c>
      <c r="E88" s="862"/>
      <c r="F88" s="861" t="s">
        <v>391</v>
      </c>
      <c r="G88" s="862"/>
      <c r="H88" s="865" t="s">
        <v>443</v>
      </c>
      <c r="I88" s="865" t="s">
        <v>389</v>
      </c>
      <c r="J88" s="863" t="s">
        <v>406</v>
      </c>
      <c r="K88" s="864" t="s">
        <v>259</v>
      </c>
      <c r="L88" s="801" t="s">
        <v>485</v>
      </c>
      <c r="M88" s="872" t="s">
        <v>456</v>
      </c>
      <c r="N88" s="868" t="s">
        <v>258</v>
      </c>
      <c r="O88" s="864"/>
      <c r="P88" s="873" t="s">
        <v>392</v>
      </c>
      <c r="Q88" s="873"/>
      <c r="R88" s="869" t="s">
        <v>392</v>
      </c>
      <c r="S88" s="870"/>
      <c r="T88" s="873"/>
      <c r="U88" s="864"/>
      <c r="V88" s="868" t="s">
        <v>258</v>
      </c>
      <c r="W88" s="864"/>
      <c r="X88" s="871" t="s">
        <v>240</v>
      </c>
    </row>
    <row r="89" spans="1:24" ht="17.25">
      <c r="A89" s="872" t="s">
        <v>456</v>
      </c>
      <c r="B89" s="868" t="s">
        <v>258</v>
      </c>
      <c r="C89" s="873"/>
      <c r="D89" s="869" t="s">
        <v>392</v>
      </c>
      <c r="E89" s="870"/>
      <c r="F89" s="869" t="s">
        <v>392</v>
      </c>
      <c r="G89" s="870"/>
      <c r="H89" s="873"/>
      <c r="I89" s="873"/>
      <c r="J89" s="868" t="s">
        <v>258</v>
      </c>
      <c r="K89" s="864"/>
      <c r="L89" s="871" t="s">
        <v>240</v>
      </c>
      <c r="M89" s="883">
        <f>1000000/W89</f>
        <v>781.25</v>
      </c>
      <c r="N89" s="875">
        <f>B90</f>
        <v>80</v>
      </c>
      <c r="O89" s="876" t="s">
        <v>386</v>
      </c>
      <c r="P89" s="864">
        <v>0.5</v>
      </c>
      <c r="Q89" s="864"/>
      <c r="R89" s="912">
        <v>1</v>
      </c>
      <c r="S89" s="912"/>
      <c r="T89" s="876">
        <v>97</v>
      </c>
      <c r="U89" s="876">
        <f>(T89*P89*$N$89)/1000</f>
        <v>3.88</v>
      </c>
      <c r="V89" s="880">
        <f>J90</f>
        <v>1.37</v>
      </c>
      <c r="W89" s="881">
        <f>K90</f>
        <v>1280</v>
      </c>
      <c r="X89" s="882">
        <f>((3.1416*((V89/2)^2)*(N89/2)/1000))*(M89/((N89/2)/1000))</f>
        <v>1151.6541093750002</v>
      </c>
    </row>
    <row r="90" spans="1:24">
      <c r="A90" s="883">
        <f>1000000/K90</f>
        <v>781.25</v>
      </c>
      <c r="B90" s="875">
        <v>80</v>
      </c>
      <c r="C90" s="876" t="s">
        <v>386</v>
      </c>
      <c r="D90" s="866">
        <v>0.5</v>
      </c>
      <c r="E90" s="877"/>
      <c r="F90" s="878">
        <v>1</v>
      </c>
      <c r="G90" s="879"/>
      <c r="H90" s="876">
        <v>57</v>
      </c>
      <c r="I90" s="876">
        <f>(H90*D90*$B$90)/1000</f>
        <v>2.2799999999999998</v>
      </c>
      <c r="J90" s="913">
        <v>1.37</v>
      </c>
      <c r="K90" s="881">
        <v>1280</v>
      </c>
      <c r="L90" s="882">
        <f>((3.1416*((J90/2)^2)*(B90/2)/1000))*(A90/((B90/2)/1000))</f>
        <v>1151.6541093750002</v>
      </c>
      <c r="M90" s="883"/>
      <c r="N90" s="885"/>
      <c r="O90" s="876" t="s">
        <v>388</v>
      </c>
      <c r="P90" s="864">
        <v>0.5</v>
      </c>
      <c r="Q90" s="864"/>
      <c r="R90" s="912">
        <v>1</v>
      </c>
      <c r="S90" s="912"/>
      <c r="T90" s="876">
        <v>57</v>
      </c>
      <c r="U90" s="876">
        <f>(T90*P90*$N$89)/1000</f>
        <v>2.2799999999999998</v>
      </c>
      <c r="V90" s="886"/>
      <c r="W90" s="881"/>
      <c r="X90" s="887"/>
    </row>
    <row r="91" spans="1:24">
      <c r="A91" s="883"/>
      <c r="B91" s="885"/>
      <c r="C91" s="876" t="s">
        <v>388</v>
      </c>
      <c r="D91" s="866">
        <v>0.5</v>
      </c>
      <c r="E91" s="877"/>
      <c r="F91" s="878">
        <v>1</v>
      </c>
      <c r="G91" s="879"/>
      <c r="H91" s="876">
        <v>117</v>
      </c>
      <c r="I91" s="876">
        <f>(H91*D91*$B$90)/1000</f>
        <v>4.68</v>
      </c>
      <c r="J91" s="914"/>
      <c r="K91" s="881"/>
      <c r="L91" s="887"/>
      <c r="M91" s="893"/>
      <c r="N91" s="889"/>
      <c r="O91" s="876" t="s">
        <v>393</v>
      </c>
      <c r="P91" s="864">
        <v>0.5</v>
      </c>
      <c r="Q91" s="864"/>
      <c r="R91" s="912">
        <v>1</v>
      </c>
      <c r="S91" s="912"/>
      <c r="T91" s="876">
        <v>120</v>
      </c>
      <c r="U91" s="890">
        <f>(T91*R91*$N$89)/1000</f>
        <v>9.6</v>
      </c>
      <c r="V91" s="891"/>
      <c r="W91" s="881"/>
      <c r="X91" s="892"/>
    </row>
    <row r="92" spans="1:24">
      <c r="A92" s="893"/>
      <c r="B92" s="889"/>
      <c r="C92" s="876" t="s">
        <v>393</v>
      </c>
      <c r="D92" s="866">
        <v>0.5</v>
      </c>
      <c r="E92" s="877"/>
      <c r="F92" s="878">
        <v>1</v>
      </c>
      <c r="G92" s="879"/>
      <c r="H92" s="876">
        <v>120</v>
      </c>
      <c r="I92" s="890">
        <f>(H92*F92*$B$90)/1000</f>
        <v>9.6</v>
      </c>
      <c r="J92" s="915"/>
      <c r="K92" s="881"/>
      <c r="L92" s="892"/>
      <c r="M92" s="797"/>
      <c r="N92" s="797"/>
      <c r="O92" s="876"/>
      <c r="P92" s="864"/>
      <c r="Q92" s="864"/>
      <c r="R92" s="912"/>
      <c r="S92" s="912"/>
      <c r="T92" s="876"/>
      <c r="U92" s="876"/>
      <c r="V92" s="776"/>
      <c r="W92" s="797"/>
      <c r="X92" s="797"/>
    </row>
    <row r="93" spans="1:24">
      <c r="A93" s="797"/>
      <c r="B93" s="797"/>
      <c r="C93" s="876"/>
      <c r="D93" s="866"/>
      <c r="E93" s="877"/>
      <c r="F93" s="878"/>
      <c r="G93" s="879"/>
      <c r="H93" s="876"/>
      <c r="I93" s="876"/>
      <c r="J93" s="776"/>
      <c r="K93" s="797"/>
      <c r="L93" s="797"/>
      <c r="M93" s="817" t="s">
        <v>491</v>
      </c>
      <c r="N93" s="797"/>
      <c r="O93" s="797"/>
      <c r="P93" s="797"/>
      <c r="Q93" s="797"/>
      <c r="R93" s="797"/>
      <c r="S93" s="797"/>
      <c r="T93" s="797"/>
      <c r="U93" s="797"/>
      <c r="V93" s="797"/>
      <c r="W93" s="797"/>
      <c r="X93" s="797"/>
    </row>
    <row r="94" spans="1:24" ht="15.75">
      <c r="A94" s="817" t="s">
        <v>491</v>
      </c>
      <c r="B94" s="797"/>
      <c r="C94" s="797"/>
      <c r="D94" s="797"/>
      <c r="E94" s="797"/>
      <c r="F94" s="797"/>
      <c r="G94" s="797"/>
      <c r="H94" s="797"/>
      <c r="I94" s="797"/>
      <c r="J94" s="797"/>
      <c r="K94" s="797"/>
      <c r="L94" s="797"/>
      <c r="M94" s="819" t="s">
        <v>495</v>
      </c>
      <c r="N94" s="797"/>
      <c r="O94" s="797"/>
      <c r="P94" s="797"/>
      <c r="Q94" s="797"/>
      <c r="R94" s="797"/>
      <c r="S94" s="797"/>
      <c r="T94" s="797"/>
      <c r="U94" s="797"/>
      <c r="V94" s="797"/>
      <c r="W94" s="797"/>
      <c r="X94" s="797"/>
    </row>
    <row r="95" spans="1:24" ht="17.25">
      <c r="A95" s="819" t="s">
        <v>495</v>
      </c>
      <c r="B95" s="895" t="s">
        <v>445</v>
      </c>
      <c r="C95" s="896"/>
      <c r="D95" s="797"/>
      <c r="E95" s="866" t="s">
        <v>394</v>
      </c>
      <c r="F95" s="897"/>
      <c r="G95" s="897"/>
      <c r="H95" s="877"/>
      <c r="I95" s="797"/>
      <c r="J95" s="864" t="s">
        <v>444</v>
      </c>
      <c r="K95" s="864"/>
      <c r="L95" s="866"/>
      <c r="M95" s="799">
        <f>P89*(SQRT(1-(P89^2)))*(((T89+T90)/2)*T91)*(N89/1000)^2</f>
        <v>25.606639139098281</v>
      </c>
      <c r="N95" s="895" t="s">
        <v>445</v>
      </c>
      <c r="O95" s="896"/>
      <c r="P95" s="797"/>
      <c r="Q95" s="864" t="s">
        <v>394</v>
      </c>
      <c r="R95" s="864"/>
      <c r="S95" s="864"/>
      <c r="T95" s="864"/>
      <c r="U95" s="797"/>
      <c r="V95" s="864" t="s">
        <v>444</v>
      </c>
      <c r="W95" s="864"/>
      <c r="X95" s="864"/>
    </row>
    <row r="96" spans="1:24" ht="15" customHeight="1">
      <c r="A96" s="799">
        <f>D90*(SQRT(1-(D90^2)))*(((H90+H91)/2)*H92)*(B90/1000)^2</f>
        <v>28.932176689630527</v>
      </c>
      <c r="B96" s="916" t="s">
        <v>183</v>
      </c>
      <c r="C96" s="899"/>
      <c r="D96" s="797"/>
      <c r="E96" s="900" t="s">
        <v>396</v>
      </c>
      <c r="F96" s="900" t="s">
        <v>384</v>
      </c>
      <c r="G96" s="900" t="s">
        <v>398</v>
      </c>
      <c r="H96" s="900" t="s">
        <v>405</v>
      </c>
      <c r="I96" s="797"/>
      <c r="J96" s="901">
        <f>'Mecánica de la Red'!N30</f>
        <v>4.5768960000000005</v>
      </c>
      <c r="K96" s="901"/>
      <c r="L96" s="901"/>
      <c r="M96" s="797"/>
      <c r="N96" s="898" t="s">
        <v>184</v>
      </c>
      <c r="O96" s="899"/>
      <c r="P96" s="797"/>
      <c r="Q96" s="900" t="s">
        <v>396</v>
      </c>
      <c r="R96" s="900" t="s">
        <v>384</v>
      </c>
      <c r="S96" s="900" t="s">
        <v>398</v>
      </c>
      <c r="T96" s="900" t="s">
        <v>405</v>
      </c>
      <c r="U96" s="797"/>
      <c r="V96" s="901">
        <f>'Mecánica de la Red'!N34</f>
        <v>4.0508160000000002</v>
      </c>
      <c r="W96" s="901"/>
      <c r="X96" s="901"/>
    </row>
    <row r="97" spans="1:24" ht="15" customHeight="1">
      <c r="A97" s="797"/>
      <c r="B97" s="917">
        <f>COUNTIF(67:68,"C")</f>
        <v>2</v>
      </c>
      <c r="C97" s="904"/>
      <c r="D97" s="797"/>
      <c r="E97" s="876" t="s">
        <v>395</v>
      </c>
      <c r="F97" s="876">
        <f>(H90+H92-H91)</f>
        <v>60</v>
      </c>
      <c r="G97" s="905">
        <f>(ABS(F97-H92))/(2*F97)</f>
        <v>0.5</v>
      </c>
      <c r="H97" s="876" t="str">
        <f>VLOOKUP('Paños de red y cortes'!G97,'Tablas de Referencias'!$A$49:$C$68,3,FALSE)</f>
        <v>1N2B</v>
      </c>
      <c r="I97" s="797"/>
      <c r="J97" s="901"/>
      <c r="K97" s="901"/>
      <c r="L97" s="918"/>
      <c r="M97" s="902" t="s">
        <v>473</v>
      </c>
      <c r="N97" s="903">
        <f>COUNTIF(67:68,"D")</f>
        <v>2</v>
      </c>
      <c r="O97" s="904"/>
      <c r="P97" s="797"/>
      <c r="Q97" s="876" t="s">
        <v>395</v>
      </c>
      <c r="R97" s="876">
        <f>((T90+T91-T89)/T91)*T91</f>
        <v>80</v>
      </c>
      <c r="S97" s="905">
        <f>(T90+T91-T89)/T91</f>
        <v>0.66666666666666663</v>
      </c>
      <c r="T97" s="876" t="str">
        <f>VLOOKUP(S97,'Tablas de Referencias'!A49:C88,3,FALSE)</f>
        <v>1N4B</v>
      </c>
      <c r="U97" s="797"/>
      <c r="V97" s="901"/>
      <c r="W97" s="901"/>
      <c r="X97" s="901"/>
    </row>
    <row r="98" spans="1:24" ht="15" customHeight="1">
      <c r="A98" s="902" t="s">
        <v>473</v>
      </c>
      <c r="B98" s="907"/>
      <c r="C98" s="908"/>
      <c r="D98" s="797"/>
      <c r="E98" s="876" t="s">
        <v>397</v>
      </c>
      <c r="F98" s="876">
        <f>H91+F97-H90</f>
        <v>120</v>
      </c>
      <c r="G98" s="905">
        <f>((H91+1)-1)/H91</f>
        <v>1</v>
      </c>
      <c r="H98" s="876" t="str">
        <f>VLOOKUP('Paños de red y cortes'!G98,'Tablas de Referencias'!A48:C68,3,FALSE)</f>
        <v>AB</v>
      </c>
      <c r="I98" s="797"/>
      <c r="J98" s="901"/>
      <c r="K98" s="901"/>
      <c r="L98" s="918"/>
      <c r="M98" s="780">
        <f>((T89+T90-1)*(T91-0.5))+0.5</f>
        <v>18284</v>
      </c>
      <c r="N98" s="907"/>
      <c r="O98" s="908"/>
      <c r="P98" s="797"/>
      <c r="Q98" s="876" t="s">
        <v>397</v>
      </c>
      <c r="R98" s="876">
        <f>(T89+R97)-T90</f>
        <v>120</v>
      </c>
      <c r="S98" s="905">
        <f>((T90+1)-1)/T90</f>
        <v>1</v>
      </c>
      <c r="T98" s="876" t="str">
        <f>VLOOKUP('Paños de red y cortes'!S98,'Tablas de Referencias'!$A$49:$C$88,3,FALSE)</f>
        <v>AB</v>
      </c>
      <c r="U98" s="797"/>
      <c r="V98" s="901"/>
      <c r="W98" s="901"/>
      <c r="X98" s="901"/>
    </row>
    <row r="99" spans="1:24" ht="15" customHeight="1">
      <c r="A99" s="780">
        <f>((H90+H91-1)*(H92-0.5))+0.5</f>
        <v>20674</v>
      </c>
      <c r="B99" s="919"/>
      <c r="C99" s="911"/>
      <c r="D99" s="797"/>
      <c r="E99" s="797"/>
      <c r="F99" s="797"/>
      <c r="G99" s="797"/>
      <c r="H99" s="797"/>
      <c r="I99" s="797"/>
      <c r="J99" s="797"/>
      <c r="K99" s="797"/>
      <c r="L99" s="797"/>
      <c r="M99" s="797"/>
      <c r="N99" s="910"/>
      <c r="O99" s="911"/>
      <c r="P99" s="797"/>
      <c r="Q99" s="797"/>
      <c r="R99" s="797"/>
      <c r="S99" s="797"/>
      <c r="T99" s="797"/>
      <c r="U99" s="797"/>
      <c r="V99" s="797"/>
      <c r="W99" s="797"/>
      <c r="X99" s="797"/>
    </row>
    <row r="100" spans="1:24" ht="15" customHeight="1">
      <c r="A100" s="850" t="s">
        <v>185</v>
      </c>
      <c r="B100" s="850" t="s">
        <v>191</v>
      </c>
      <c r="C100" s="850"/>
      <c r="D100" s="850"/>
      <c r="E100" s="850"/>
      <c r="F100" s="850"/>
      <c r="G100" s="850"/>
      <c r="H100" s="850"/>
      <c r="I100" s="850"/>
      <c r="J100" s="850"/>
      <c r="K100" s="850"/>
      <c r="L100" s="850"/>
      <c r="M100" s="920" t="s">
        <v>186</v>
      </c>
      <c r="N100" s="920" t="s">
        <v>381</v>
      </c>
      <c r="O100" s="920"/>
      <c r="P100" s="920"/>
      <c r="Q100" s="920"/>
      <c r="R100" s="920"/>
      <c r="S100" s="920" t="s">
        <v>186</v>
      </c>
      <c r="T100" s="920" t="s">
        <v>380</v>
      </c>
      <c r="U100" s="920"/>
      <c r="V100" s="920"/>
      <c r="W100" s="920"/>
      <c r="X100" s="920"/>
    </row>
    <row r="101" spans="1:24" ht="15" customHeight="1">
      <c r="A101" s="850"/>
      <c r="B101" s="850"/>
      <c r="C101" s="850"/>
      <c r="D101" s="850"/>
      <c r="E101" s="850"/>
      <c r="F101" s="850"/>
      <c r="G101" s="850"/>
      <c r="H101" s="850"/>
      <c r="I101" s="850"/>
      <c r="J101" s="850"/>
      <c r="K101" s="850"/>
      <c r="L101" s="850"/>
      <c r="M101" s="920"/>
      <c r="N101" s="920"/>
      <c r="O101" s="920"/>
      <c r="P101" s="920"/>
      <c r="Q101" s="920"/>
      <c r="R101" s="920"/>
      <c r="S101" s="920"/>
      <c r="T101" s="920"/>
      <c r="U101" s="920"/>
      <c r="V101" s="920"/>
      <c r="W101" s="920"/>
      <c r="X101" s="920"/>
    </row>
    <row r="102" spans="1:24">
      <c r="A102" s="797"/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</row>
    <row r="103" spans="1:24">
      <c r="A103" s="797"/>
      <c r="B103" s="797"/>
      <c r="C103" s="797"/>
      <c r="D103" s="797"/>
      <c r="E103" s="797"/>
      <c r="F103" s="797"/>
      <c r="G103" s="797"/>
      <c r="H103" s="797"/>
      <c r="I103" s="797"/>
      <c r="J103" s="797"/>
      <c r="K103" s="797"/>
      <c r="L103" s="797"/>
      <c r="M103" s="797"/>
      <c r="N103" s="797"/>
      <c r="O103" s="797"/>
      <c r="P103" s="797"/>
      <c r="Q103" s="797"/>
      <c r="R103" s="797"/>
      <c r="S103" s="797"/>
      <c r="T103" s="797"/>
      <c r="U103" s="797"/>
      <c r="V103" s="797"/>
      <c r="W103" s="797"/>
      <c r="X103" s="797"/>
    </row>
    <row r="104" spans="1:24">
      <c r="A104" s="797"/>
      <c r="B104" s="797"/>
      <c r="C104" s="797"/>
      <c r="D104" s="797"/>
      <c r="E104" s="797"/>
      <c r="F104" s="797"/>
      <c r="G104" s="797"/>
      <c r="H104" s="797"/>
      <c r="I104" s="797"/>
      <c r="J104" s="797"/>
      <c r="K104" s="797"/>
      <c r="L104" s="797"/>
      <c r="M104" s="797"/>
      <c r="N104" s="797"/>
      <c r="O104" s="797"/>
      <c r="P104" s="797"/>
      <c r="Q104" s="797"/>
      <c r="R104" s="797"/>
      <c r="S104" s="797"/>
      <c r="T104" s="797"/>
      <c r="U104" s="797"/>
      <c r="V104" s="797"/>
      <c r="W104" s="797"/>
      <c r="X104" s="797"/>
    </row>
    <row r="105" spans="1:24">
      <c r="A105" s="797"/>
      <c r="B105" s="797"/>
      <c r="C105" s="797"/>
      <c r="D105" s="797"/>
      <c r="E105" s="797"/>
      <c r="F105" s="797"/>
      <c r="G105" s="797"/>
      <c r="H105" s="797"/>
      <c r="I105" s="797"/>
      <c r="J105" s="797"/>
      <c r="K105" s="797"/>
      <c r="L105" s="797"/>
      <c r="M105" s="797"/>
      <c r="N105" s="797"/>
      <c r="O105" s="797"/>
      <c r="P105" s="797"/>
      <c r="Q105" s="797"/>
      <c r="R105" s="797"/>
      <c r="S105" s="797"/>
      <c r="T105" s="797"/>
      <c r="U105" s="797"/>
      <c r="V105" s="797"/>
      <c r="W105" s="797"/>
      <c r="X105" s="797"/>
    </row>
    <row r="106" spans="1:24">
      <c r="A106" s="797"/>
      <c r="B106" s="797"/>
      <c r="C106" s="797"/>
      <c r="D106" s="797"/>
      <c r="E106" s="797"/>
      <c r="F106" s="797"/>
      <c r="G106" s="797"/>
      <c r="H106" s="797"/>
      <c r="I106" s="797"/>
      <c r="J106" s="797"/>
      <c r="K106" s="797"/>
      <c r="L106" s="797"/>
      <c r="M106" s="797"/>
      <c r="N106" s="797"/>
      <c r="O106" s="797"/>
      <c r="P106" s="797"/>
      <c r="Q106" s="797"/>
      <c r="R106" s="797"/>
      <c r="S106" s="797"/>
      <c r="T106" s="797"/>
      <c r="U106" s="797"/>
      <c r="V106" s="797"/>
      <c r="W106" s="797"/>
      <c r="X106" s="797"/>
    </row>
    <row r="107" spans="1:24">
      <c r="A107" s="797"/>
      <c r="B107" s="797"/>
      <c r="C107" s="797"/>
      <c r="D107" s="797"/>
      <c r="E107" s="797"/>
      <c r="F107" s="797"/>
      <c r="G107" s="797"/>
      <c r="H107" s="797"/>
      <c r="I107" s="797"/>
      <c r="J107" s="797"/>
      <c r="K107" s="797"/>
      <c r="L107" s="797"/>
      <c r="M107" s="797"/>
      <c r="N107" s="797"/>
      <c r="O107" s="797"/>
      <c r="P107" s="797"/>
      <c r="Q107" s="797"/>
      <c r="R107" s="797"/>
      <c r="S107" s="797"/>
      <c r="T107" s="797"/>
      <c r="U107" s="797"/>
      <c r="V107" s="797"/>
      <c r="W107" s="797"/>
      <c r="X107" s="797"/>
    </row>
    <row r="108" spans="1:24">
      <c r="A108" s="797"/>
      <c r="B108" s="797"/>
      <c r="C108" s="797"/>
      <c r="D108" s="797"/>
      <c r="E108" s="797"/>
      <c r="F108" s="797"/>
      <c r="G108" s="797"/>
      <c r="H108" s="797"/>
      <c r="I108" s="797"/>
      <c r="J108" s="797"/>
      <c r="K108" s="797"/>
      <c r="L108" s="797"/>
      <c r="M108" s="797"/>
      <c r="N108" s="797"/>
      <c r="O108" s="797"/>
      <c r="P108" s="797"/>
      <c r="Q108" s="797"/>
      <c r="R108" s="797"/>
      <c r="S108" s="797"/>
      <c r="T108" s="797"/>
      <c r="U108" s="797"/>
      <c r="V108" s="797"/>
      <c r="W108" s="797"/>
      <c r="X108" s="797"/>
    </row>
    <row r="109" spans="1:24">
      <c r="A109" s="797"/>
      <c r="B109" s="797"/>
      <c r="C109" s="797"/>
      <c r="D109" s="797"/>
      <c r="E109" s="797"/>
      <c r="F109" s="797"/>
      <c r="G109" s="797"/>
      <c r="H109" s="797"/>
      <c r="I109" s="797"/>
      <c r="J109" s="797"/>
      <c r="K109" s="797"/>
      <c r="L109" s="797"/>
      <c r="M109" s="797"/>
      <c r="N109" s="797"/>
      <c r="O109" s="797"/>
      <c r="P109" s="797"/>
      <c r="Q109" s="797"/>
      <c r="R109" s="797"/>
      <c r="S109" s="797"/>
      <c r="T109" s="797"/>
      <c r="U109" s="797"/>
      <c r="V109" s="797"/>
      <c r="W109" s="797"/>
      <c r="X109" s="797"/>
    </row>
    <row r="110" spans="1:24">
      <c r="A110" s="797"/>
      <c r="B110" s="797"/>
      <c r="C110" s="797"/>
      <c r="D110" s="797"/>
      <c r="E110" s="797"/>
      <c r="F110" s="797"/>
      <c r="G110" s="797"/>
      <c r="H110" s="797"/>
      <c r="I110" s="797"/>
      <c r="J110" s="797"/>
      <c r="K110" s="797"/>
      <c r="L110" s="797"/>
      <c r="M110" s="797"/>
      <c r="N110" s="797"/>
      <c r="O110" s="797"/>
      <c r="P110" s="797"/>
      <c r="Q110" s="797"/>
      <c r="R110" s="797"/>
      <c r="S110" s="797"/>
      <c r="T110" s="797"/>
      <c r="U110" s="797"/>
      <c r="V110" s="797"/>
      <c r="W110" s="797"/>
      <c r="X110" s="797"/>
    </row>
    <row r="111" spans="1:24">
      <c r="A111" s="797"/>
      <c r="B111" s="797"/>
      <c r="C111" s="797"/>
      <c r="D111" s="797"/>
      <c r="E111" s="797"/>
      <c r="F111" s="797"/>
      <c r="G111" s="797"/>
      <c r="H111" s="797"/>
      <c r="I111" s="797"/>
      <c r="J111" s="797"/>
      <c r="K111" s="797"/>
      <c r="L111" s="797"/>
      <c r="M111" s="797"/>
      <c r="N111" s="797"/>
      <c r="O111" s="797"/>
      <c r="P111" s="797"/>
      <c r="Q111" s="797"/>
      <c r="R111" s="797"/>
      <c r="S111" s="797"/>
      <c r="T111" s="797"/>
      <c r="U111" s="797"/>
      <c r="V111" s="797"/>
      <c r="W111" s="797"/>
      <c r="X111" s="797"/>
    </row>
    <row r="112" spans="1:24">
      <c r="A112" s="797"/>
      <c r="B112" s="797"/>
      <c r="C112" s="797"/>
      <c r="D112" s="797"/>
      <c r="E112" s="797"/>
      <c r="F112" s="797"/>
      <c r="G112" s="797"/>
      <c r="H112" s="797"/>
      <c r="I112" s="797"/>
      <c r="J112" s="797"/>
      <c r="K112" s="797"/>
      <c r="L112" s="797"/>
      <c r="M112" s="858" t="s">
        <v>455</v>
      </c>
      <c r="N112" s="859" t="s">
        <v>177</v>
      </c>
      <c r="O112" s="864" t="s">
        <v>385</v>
      </c>
      <c r="P112" s="865" t="s">
        <v>390</v>
      </c>
      <c r="Q112" s="865"/>
      <c r="R112" s="861" t="s">
        <v>391</v>
      </c>
      <c r="S112" s="862"/>
      <c r="T112" s="865" t="s">
        <v>384</v>
      </c>
      <c r="U112" s="864" t="s">
        <v>389</v>
      </c>
      <c r="V112" s="863" t="s">
        <v>447</v>
      </c>
      <c r="W112" s="864" t="s">
        <v>259</v>
      </c>
      <c r="X112" s="801" t="s">
        <v>485</v>
      </c>
    </row>
    <row r="113" spans="1:24" ht="17.25">
      <c r="A113" s="797"/>
      <c r="B113" s="797"/>
      <c r="C113" s="797"/>
      <c r="D113" s="797"/>
      <c r="E113" s="797"/>
      <c r="F113" s="797"/>
      <c r="G113" s="797"/>
      <c r="H113" s="797"/>
      <c r="I113" s="797"/>
      <c r="J113" s="797"/>
      <c r="K113" s="797"/>
      <c r="L113" s="797"/>
      <c r="M113" s="872" t="s">
        <v>456</v>
      </c>
      <c r="N113" s="868" t="s">
        <v>258</v>
      </c>
      <c r="O113" s="864"/>
      <c r="P113" s="873" t="s">
        <v>392</v>
      </c>
      <c r="Q113" s="873"/>
      <c r="R113" s="869" t="s">
        <v>392</v>
      </c>
      <c r="S113" s="870"/>
      <c r="T113" s="873"/>
      <c r="U113" s="864"/>
      <c r="V113" s="868" t="s">
        <v>258</v>
      </c>
      <c r="W113" s="864"/>
      <c r="X113" s="871" t="s">
        <v>240</v>
      </c>
    </row>
    <row r="114" spans="1:24">
      <c r="A114" s="797"/>
      <c r="B114" s="797"/>
      <c r="C114" s="797"/>
      <c r="D114" s="797"/>
      <c r="E114" s="797"/>
      <c r="F114" s="797"/>
      <c r="G114" s="797"/>
      <c r="H114" s="797"/>
      <c r="I114" s="797"/>
      <c r="J114" s="797"/>
      <c r="K114" s="797"/>
      <c r="L114" s="797"/>
      <c r="M114" s="883">
        <f>1000000/W114</f>
        <v>1052.6315789473683</v>
      </c>
      <c r="N114" s="875">
        <f>B120</f>
        <v>60</v>
      </c>
      <c r="O114" s="876" t="s">
        <v>386</v>
      </c>
      <c r="P114" s="864">
        <v>0.5</v>
      </c>
      <c r="Q114" s="864"/>
      <c r="R114" s="912">
        <v>1</v>
      </c>
      <c r="S114" s="912"/>
      <c r="T114" s="876">
        <v>143</v>
      </c>
      <c r="U114" s="876">
        <f>(T114*P114*$N$114)/1000</f>
        <v>4.29</v>
      </c>
      <c r="V114" s="880">
        <f>J120</f>
        <v>1.1599999999999999</v>
      </c>
      <c r="W114" s="880">
        <f>K120</f>
        <v>950</v>
      </c>
      <c r="X114" s="882">
        <f>((3.1416*((V114/2)^2)*(N114/2)/1000))*(M114/((N114/2)/1000))</f>
        <v>1112.457094736842</v>
      </c>
    </row>
    <row r="115" spans="1:24">
      <c r="A115" s="797"/>
      <c r="B115" s="797"/>
      <c r="C115" s="797"/>
      <c r="D115" s="797"/>
      <c r="E115" s="797"/>
      <c r="F115" s="797"/>
      <c r="G115" s="797"/>
      <c r="H115" s="797"/>
      <c r="I115" s="797"/>
      <c r="J115" s="797"/>
      <c r="K115" s="797"/>
      <c r="L115" s="797"/>
      <c r="M115" s="883"/>
      <c r="N115" s="885"/>
      <c r="O115" s="876" t="s">
        <v>388</v>
      </c>
      <c r="P115" s="864">
        <v>0.5</v>
      </c>
      <c r="Q115" s="864"/>
      <c r="R115" s="912">
        <v>1</v>
      </c>
      <c r="S115" s="912"/>
      <c r="T115" s="876">
        <v>129</v>
      </c>
      <c r="U115" s="876">
        <f>(T115*P115*$N$114)/1000</f>
        <v>3.87</v>
      </c>
      <c r="V115" s="886"/>
      <c r="W115" s="886"/>
      <c r="X115" s="887"/>
    </row>
    <row r="116" spans="1:24">
      <c r="A116" s="797"/>
      <c r="B116" s="797"/>
      <c r="C116" s="797"/>
      <c r="D116" s="797"/>
      <c r="E116" s="797"/>
      <c r="F116" s="797"/>
      <c r="G116" s="797"/>
      <c r="H116" s="797"/>
      <c r="I116" s="797"/>
      <c r="J116" s="797"/>
      <c r="K116" s="797"/>
      <c r="L116" s="797"/>
      <c r="M116" s="893"/>
      <c r="N116" s="889"/>
      <c r="O116" s="876" t="s">
        <v>393</v>
      </c>
      <c r="P116" s="864">
        <v>0.5</v>
      </c>
      <c r="Q116" s="864"/>
      <c r="R116" s="912">
        <v>1</v>
      </c>
      <c r="S116" s="912"/>
      <c r="T116" s="876">
        <v>40</v>
      </c>
      <c r="U116" s="890">
        <f>(T116*R116*$N$114)/1000</f>
        <v>2.4</v>
      </c>
      <c r="V116" s="891"/>
      <c r="W116" s="891"/>
      <c r="X116" s="892"/>
    </row>
    <row r="117" spans="1:24">
      <c r="A117" s="797"/>
      <c r="B117" s="797"/>
      <c r="C117" s="797"/>
      <c r="D117" s="797"/>
      <c r="E117" s="797"/>
      <c r="F117" s="797"/>
      <c r="G117" s="797"/>
      <c r="H117" s="797"/>
      <c r="I117" s="797"/>
      <c r="J117" s="797"/>
      <c r="K117" s="797"/>
      <c r="L117" s="797"/>
      <c r="M117" s="797"/>
      <c r="N117" s="797"/>
      <c r="O117" s="876"/>
      <c r="P117" s="864"/>
      <c r="Q117" s="864"/>
      <c r="R117" s="912"/>
      <c r="S117" s="912"/>
      <c r="T117" s="876"/>
      <c r="U117" s="876"/>
      <c r="V117" s="776"/>
      <c r="W117" s="797"/>
      <c r="X117" s="797"/>
    </row>
    <row r="118" spans="1:24">
      <c r="A118" s="858" t="s">
        <v>455</v>
      </c>
      <c r="B118" s="859" t="s">
        <v>177</v>
      </c>
      <c r="C118" s="865" t="s">
        <v>385</v>
      </c>
      <c r="D118" s="861" t="s">
        <v>390</v>
      </c>
      <c r="E118" s="862"/>
      <c r="F118" s="861" t="s">
        <v>391</v>
      </c>
      <c r="G118" s="862"/>
      <c r="H118" s="865" t="s">
        <v>443</v>
      </c>
      <c r="I118" s="865" t="s">
        <v>389</v>
      </c>
      <c r="J118" s="863" t="s">
        <v>406</v>
      </c>
      <c r="K118" s="864" t="s">
        <v>259</v>
      </c>
      <c r="L118" s="801" t="s">
        <v>485</v>
      </c>
      <c r="M118" s="817" t="s">
        <v>491</v>
      </c>
      <c r="N118" s="797"/>
      <c r="O118" s="797"/>
      <c r="P118" s="797"/>
      <c r="Q118" s="797"/>
      <c r="R118" s="797"/>
      <c r="S118" s="797"/>
      <c r="T118" s="797"/>
      <c r="U118" s="797"/>
      <c r="V118" s="797"/>
      <c r="W118" s="797"/>
      <c r="X118" s="797"/>
    </row>
    <row r="119" spans="1:24" ht="17.25">
      <c r="A119" s="872" t="s">
        <v>456</v>
      </c>
      <c r="B119" s="868" t="s">
        <v>258</v>
      </c>
      <c r="C119" s="873"/>
      <c r="D119" s="869" t="s">
        <v>392</v>
      </c>
      <c r="E119" s="870"/>
      <c r="F119" s="869" t="s">
        <v>392</v>
      </c>
      <c r="G119" s="870"/>
      <c r="H119" s="873"/>
      <c r="I119" s="873"/>
      <c r="J119" s="868" t="s">
        <v>258</v>
      </c>
      <c r="K119" s="864"/>
      <c r="L119" s="871" t="s">
        <v>240</v>
      </c>
      <c r="M119" s="819" t="s">
        <v>495</v>
      </c>
      <c r="N119" s="797"/>
      <c r="O119" s="797"/>
      <c r="P119" s="797"/>
      <c r="Q119" s="797"/>
      <c r="R119" s="797"/>
      <c r="S119" s="797"/>
      <c r="T119" s="797"/>
      <c r="U119" s="797"/>
      <c r="V119" s="797"/>
      <c r="W119" s="797"/>
      <c r="X119" s="797"/>
    </row>
    <row r="120" spans="1:24" ht="17.25">
      <c r="A120" s="883">
        <f>1000000/K120</f>
        <v>1052.6315789473683</v>
      </c>
      <c r="B120" s="875">
        <f>C16</f>
        <v>60</v>
      </c>
      <c r="C120" s="876" t="s">
        <v>386</v>
      </c>
      <c r="D120" s="866">
        <v>0.5</v>
      </c>
      <c r="E120" s="877"/>
      <c r="F120" s="878">
        <v>1</v>
      </c>
      <c r="G120" s="879"/>
      <c r="H120" s="876">
        <v>412</v>
      </c>
      <c r="I120" s="876">
        <f>(D120*H120*B120)/1000</f>
        <v>12.36</v>
      </c>
      <c r="J120" s="913">
        <f>C15</f>
        <v>1.1599999999999999</v>
      </c>
      <c r="K120" s="881">
        <f>C17</f>
        <v>950</v>
      </c>
      <c r="L120" s="882">
        <f>((3.1416*((J120/2)^2)*(B120/2)/1000))*(A120/((B120/2)/1000))</f>
        <v>1112.457094736842</v>
      </c>
      <c r="M120" s="799">
        <f>P114*(SQRT(1-(P114^2)))*(((T114+T115)/2)*T116)*(N114/1000)^2</f>
        <v>8.4801207538572232</v>
      </c>
      <c r="N120" s="895" t="s">
        <v>445</v>
      </c>
      <c r="O120" s="896"/>
      <c r="P120" s="797"/>
      <c r="Q120" s="864" t="s">
        <v>394</v>
      </c>
      <c r="R120" s="864"/>
      <c r="S120" s="864"/>
      <c r="T120" s="864"/>
      <c r="U120" s="797"/>
      <c r="V120" s="864" t="s">
        <v>444</v>
      </c>
      <c r="W120" s="864"/>
      <c r="X120" s="864"/>
    </row>
    <row r="121" spans="1:24">
      <c r="A121" s="883"/>
      <c r="B121" s="885"/>
      <c r="C121" s="876" t="s">
        <v>388</v>
      </c>
      <c r="D121" s="866">
        <v>0.5</v>
      </c>
      <c r="E121" s="877"/>
      <c r="F121" s="878">
        <v>1</v>
      </c>
      <c r="G121" s="879"/>
      <c r="H121" s="876">
        <v>372</v>
      </c>
      <c r="I121" s="876">
        <f>(D121*H121*B120)/1000</f>
        <v>11.16</v>
      </c>
      <c r="J121" s="914"/>
      <c r="K121" s="881"/>
      <c r="L121" s="887"/>
      <c r="M121" s="797"/>
      <c r="N121" s="898" t="s">
        <v>186</v>
      </c>
      <c r="O121" s="899"/>
      <c r="P121" s="797"/>
      <c r="Q121" s="900" t="s">
        <v>396</v>
      </c>
      <c r="R121" s="900" t="s">
        <v>384</v>
      </c>
      <c r="S121" s="900" t="s">
        <v>398</v>
      </c>
      <c r="T121" s="900" t="s">
        <v>405</v>
      </c>
      <c r="U121" s="797"/>
      <c r="V121" s="901">
        <f>'Mecánica de la Red'!N35</f>
        <v>1.5144959999999998</v>
      </c>
      <c r="W121" s="901"/>
      <c r="X121" s="901"/>
    </row>
    <row r="122" spans="1:24">
      <c r="A122" s="893"/>
      <c r="B122" s="889"/>
      <c r="C122" s="876" t="s">
        <v>393</v>
      </c>
      <c r="D122" s="866">
        <v>0.5</v>
      </c>
      <c r="E122" s="877"/>
      <c r="F122" s="878">
        <v>1</v>
      </c>
      <c r="G122" s="879"/>
      <c r="H122" s="876">
        <v>40</v>
      </c>
      <c r="I122" s="890">
        <f>(H122*F122*B120)/1000</f>
        <v>2.4</v>
      </c>
      <c r="J122" s="915"/>
      <c r="K122" s="881"/>
      <c r="L122" s="921"/>
      <c r="M122" s="902" t="s">
        <v>473</v>
      </c>
      <c r="N122" s="903">
        <f>COUNTIF(100:101,"F")</f>
        <v>2</v>
      </c>
      <c r="O122" s="904"/>
      <c r="P122" s="797"/>
      <c r="Q122" s="876" t="s">
        <v>395</v>
      </c>
      <c r="R122" s="876">
        <f>((T115+T116-T114)/T116)*T116</f>
        <v>26</v>
      </c>
      <c r="S122" s="922">
        <f>(T116-R122)/(2*R122)</f>
        <v>0.26923076923076922</v>
      </c>
      <c r="T122" s="876" t="e">
        <f t="array" ref="T122">MATCH(MIN(ABS('Tablas de Referencias'!A49:B88-'Paños de red y cortes'!U122)),'Tablas de Referencias'!A49:B88-'Paños de red y cortes'!U122)</f>
        <v>#N/A</v>
      </c>
      <c r="U122" s="923">
        <f>S122</f>
        <v>0.26923076923076922</v>
      </c>
      <c r="V122" s="901"/>
      <c r="W122" s="901"/>
      <c r="X122" s="901"/>
    </row>
    <row r="123" spans="1:24">
      <c r="A123" s="797"/>
      <c r="B123" s="797"/>
      <c r="C123" s="876"/>
      <c r="D123" s="866"/>
      <c r="E123" s="877"/>
      <c r="F123" s="878"/>
      <c r="G123" s="879"/>
      <c r="H123" s="876"/>
      <c r="I123" s="876"/>
      <c r="J123" s="776"/>
      <c r="K123" s="797"/>
      <c r="L123" s="797"/>
      <c r="M123" s="780">
        <f>((T114+T115-1)*(T116-0.5))+0.5</f>
        <v>10705</v>
      </c>
      <c r="N123" s="907"/>
      <c r="O123" s="908"/>
      <c r="P123" s="797"/>
      <c r="Q123" s="876" t="s">
        <v>397</v>
      </c>
      <c r="R123" s="876">
        <f>(T114+R122)-T115</f>
        <v>40</v>
      </c>
      <c r="S123" s="905">
        <f>((T115+1)-1)/T115</f>
        <v>1</v>
      </c>
      <c r="T123" s="876" t="str">
        <f>VLOOKUP('Paños de red y cortes'!S123,'Tablas de Referencias'!$A$49:$C$88,3,FALSE)</f>
        <v>AB</v>
      </c>
      <c r="U123" s="797"/>
      <c r="V123" s="901"/>
      <c r="W123" s="901"/>
      <c r="X123" s="901"/>
    </row>
    <row r="124" spans="1:24">
      <c r="A124" s="817" t="s">
        <v>491</v>
      </c>
      <c r="B124" s="797"/>
      <c r="C124" s="797"/>
      <c r="D124" s="797"/>
      <c r="E124" s="797"/>
      <c r="F124" s="797"/>
      <c r="G124" s="797"/>
      <c r="H124" s="797"/>
      <c r="I124" s="797"/>
      <c r="J124" s="797"/>
      <c r="K124" s="797"/>
      <c r="L124" s="797"/>
      <c r="M124" s="797"/>
      <c r="N124" s="910"/>
      <c r="O124" s="911"/>
      <c r="P124" s="797"/>
      <c r="Q124" s="797"/>
      <c r="R124" s="797"/>
      <c r="S124" s="797"/>
      <c r="T124" s="797"/>
      <c r="U124" s="797"/>
      <c r="V124" s="797"/>
      <c r="W124" s="797"/>
      <c r="X124" s="797"/>
    </row>
    <row r="125" spans="1:24" ht="17.25">
      <c r="A125" s="819" t="s">
        <v>495</v>
      </c>
      <c r="B125" s="895" t="s">
        <v>445</v>
      </c>
      <c r="C125" s="896"/>
      <c r="D125" s="797"/>
      <c r="E125" s="866" t="s">
        <v>394</v>
      </c>
      <c r="F125" s="897"/>
      <c r="G125" s="897"/>
      <c r="H125" s="877"/>
      <c r="I125" s="797"/>
      <c r="J125" s="864" t="s">
        <v>444</v>
      </c>
      <c r="K125" s="864"/>
      <c r="L125" s="864"/>
      <c r="M125" s="797"/>
      <c r="N125" s="797"/>
      <c r="O125" s="797"/>
      <c r="P125" s="797"/>
      <c r="Q125" s="797"/>
      <c r="R125" s="797"/>
      <c r="S125" s="797"/>
      <c r="T125" s="797"/>
      <c r="U125" s="797"/>
      <c r="V125" s="797"/>
      <c r="W125" s="797"/>
      <c r="X125" s="797"/>
    </row>
    <row r="126" spans="1:24">
      <c r="A126" s="799">
        <f>D120*(SQRT(1-(D120^2)))*(((H120+H121)/2)*H122)*(B120/1000)^2</f>
        <v>24.442700996411997</v>
      </c>
      <c r="B126" s="916" t="s">
        <v>185</v>
      </c>
      <c r="C126" s="899"/>
      <c r="D126" s="797"/>
      <c r="E126" s="900" t="s">
        <v>396</v>
      </c>
      <c r="F126" s="900" t="s">
        <v>384</v>
      </c>
      <c r="G126" s="900" t="s">
        <v>398</v>
      </c>
      <c r="H126" s="900" t="s">
        <v>405</v>
      </c>
      <c r="I126" s="797"/>
      <c r="J126" s="901">
        <f>'Mecánica de la Red'!N31</f>
        <v>2.1826560000000002</v>
      </c>
      <c r="K126" s="901"/>
      <c r="L126" s="901"/>
      <c r="M126" s="797"/>
      <c r="N126" s="797"/>
      <c r="O126" s="797"/>
      <c r="P126" s="797"/>
      <c r="Q126" s="797"/>
      <c r="R126" s="797"/>
      <c r="S126" s="797"/>
      <c r="T126" s="797"/>
      <c r="U126" s="797"/>
      <c r="V126" s="797"/>
      <c r="W126" s="797"/>
      <c r="X126" s="797"/>
    </row>
    <row r="127" spans="1:24" ht="15" customHeight="1">
      <c r="A127" s="797"/>
      <c r="B127" s="917">
        <f>COUNTIF(100:101,"E")</f>
        <v>1</v>
      </c>
      <c r="C127" s="904"/>
      <c r="D127" s="797"/>
      <c r="E127" s="876" t="s">
        <v>395</v>
      </c>
      <c r="F127" s="876">
        <f>(H120-H121)/2</f>
        <v>20</v>
      </c>
      <c r="G127" s="905">
        <f>(H120-H121)/(2*H122)</f>
        <v>0.5</v>
      </c>
      <c r="H127" s="876" t="str">
        <f>VLOOKUP('Paños de red y cortes'!G127,'Tablas de Referencias'!A49:C88,3,FALSE)</f>
        <v>1N2B</v>
      </c>
      <c r="I127" s="797"/>
      <c r="J127" s="901"/>
      <c r="K127" s="901"/>
      <c r="L127" s="901"/>
      <c r="M127" s="797"/>
      <c r="N127" s="797"/>
      <c r="O127" s="797"/>
      <c r="P127" s="797"/>
      <c r="Q127" s="797"/>
      <c r="R127" s="797"/>
      <c r="S127" s="797"/>
      <c r="T127" s="797"/>
      <c r="U127" s="797"/>
      <c r="V127" s="797"/>
      <c r="W127" s="797"/>
      <c r="X127" s="797"/>
    </row>
    <row r="128" spans="1:24" ht="15" customHeight="1">
      <c r="A128" s="902" t="s">
        <v>473</v>
      </c>
      <c r="B128" s="907"/>
      <c r="C128" s="908"/>
      <c r="D128" s="797"/>
      <c r="E128" s="876"/>
      <c r="F128" s="876"/>
      <c r="G128" s="905"/>
      <c r="H128" s="876"/>
      <c r="I128" s="797"/>
      <c r="J128" s="901"/>
      <c r="K128" s="901"/>
      <c r="L128" s="901"/>
      <c r="M128" s="797"/>
      <c r="N128" s="797"/>
      <c r="O128" s="797"/>
      <c r="P128" s="797"/>
      <c r="Q128" s="797"/>
      <c r="R128" s="797"/>
      <c r="S128" s="797"/>
      <c r="T128" s="797"/>
      <c r="U128" s="797"/>
      <c r="V128" s="797"/>
      <c r="W128" s="797"/>
      <c r="X128" s="797"/>
    </row>
    <row r="129" spans="1:24" ht="15" customHeight="1">
      <c r="A129" s="780">
        <f>((H120+H121-1)*(H122-0.5))+0.5</f>
        <v>30929</v>
      </c>
      <c r="B129" s="919"/>
      <c r="C129" s="911"/>
      <c r="D129" s="797"/>
      <c r="E129" s="797"/>
      <c r="F129" s="797"/>
      <c r="G129" s="797"/>
      <c r="H129" s="797"/>
      <c r="I129" s="797"/>
      <c r="J129" s="797"/>
      <c r="K129" s="797"/>
      <c r="L129" s="797"/>
      <c r="M129" s="797"/>
      <c r="N129" s="797"/>
      <c r="O129" s="797"/>
      <c r="P129" s="797"/>
      <c r="Q129" s="797"/>
      <c r="R129" s="797"/>
      <c r="S129" s="797"/>
      <c r="T129" s="797"/>
      <c r="U129" s="797"/>
      <c r="V129" s="797"/>
      <c r="W129" s="797"/>
      <c r="X129" s="797"/>
    </row>
    <row r="130" spans="1:24">
      <c r="A130" s="797"/>
      <c r="B130" s="797"/>
      <c r="C130" s="797"/>
      <c r="D130" s="797"/>
      <c r="E130" s="797"/>
      <c r="F130" s="797"/>
      <c r="G130" s="797"/>
      <c r="H130" s="797"/>
      <c r="I130" s="797"/>
      <c r="J130" s="797"/>
      <c r="K130" s="797"/>
      <c r="L130" s="797"/>
      <c r="M130" s="797"/>
      <c r="N130" s="797"/>
      <c r="O130" s="797"/>
      <c r="P130" s="797"/>
      <c r="Q130" s="797"/>
      <c r="R130" s="797"/>
      <c r="S130" s="797"/>
      <c r="T130" s="797"/>
      <c r="U130" s="797"/>
      <c r="V130" s="797"/>
      <c r="W130" s="797"/>
      <c r="X130" s="797"/>
    </row>
    <row r="131" spans="1:24">
      <c r="A131" s="797"/>
      <c r="B131" s="797"/>
      <c r="C131" s="797"/>
      <c r="D131" s="797"/>
      <c r="E131" s="797"/>
      <c r="F131" s="797"/>
      <c r="G131" s="797"/>
      <c r="H131" s="797"/>
      <c r="I131" s="797"/>
      <c r="J131" s="797"/>
      <c r="K131" s="797"/>
      <c r="L131" s="797"/>
      <c r="M131" s="797"/>
      <c r="N131" s="797"/>
      <c r="O131" s="797"/>
      <c r="P131" s="797"/>
      <c r="Q131" s="797"/>
      <c r="R131" s="797"/>
      <c r="S131" s="797"/>
      <c r="T131" s="797"/>
      <c r="U131" s="797"/>
      <c r="V131" s="797"/>
      <c r="W131" s="797"/>
      <c r="X131" s="797"/>
    </row>
    <row r="132" spans="1:24">
      <c r="A132" s="797"/>
      <c r="B132" s="797"/>
      <c r="C132" s="797"/>
      <c r="D132" s="797"/>
      <c r="E132" s="797"/>
      <c r="F132" s="797"/>
      <c r="G132" s="797"/>
      <c r="H132" s="797"/>
      <c r="I132" s="797"/>
      <c r="J132" s="797"/>
      <c r="K132" s="797"/>
      <c r="L132" s="797"/>
      <c r="M132" s="797"/>
      <c r="N132" s="797"/>
      <c r="O132" s="797"/>
      <c r="P132" s="797"/>
      <c r="Q132" s="797"/>
      <c r="R132" s="797"/>
      <c r="S132" s="797"/>
      <c r="T132" s="797"/>
      <c r="U132" s="797"/>
      <c r="V132" s="797"/>
      <c r="W132" s="797"/>
      <c r="X132" s="797"/>
    </row>
    <row r="133" spans="1:24" ht="15" customHeight="1">
      <c r="A133" s="850" t="s">
        <v>187</v>
      </c>
      <c r="B133" s="850" t="s">
        <v>362</v>
      </c>
      <c r="C133" s="850"/>
      <c r="D133" s="850"/>
      <c r="E133" s="850"/>
      <c r="F133" s="850"/>
      <c r="G133" s="850"/>
      <c r="H133" s="850"/>
      <c r="I133" s="850"/>
      <c r="J133" s="850"/>
      <c r="K133" s="850"/>
      <c r="L133" s="850"/>
      <c r="M133" s="924" t="s">
        <v>187</v>
      </c>
      <c r="N133" s="920" t="s">
        <v>382</v>
      </c>
      <c r="O133" s="920"/>
      <c r="P133" s="920"/>
      <c r="Q133" s="920"/>
      <c r="R133" s="920"/>
      <c r="S133" s="920"/>
      <c r="T133" s="920"/>
      <c r="U133" s="920"/>
      <c r="V133" s="920"/>
      <c r="W133" s="920"/>
      <c r="X133" s="920"/>
    </row>
    <row r="134" spans="1:24" ht="15" customHeight="1">
      <c r="A134" s="850"/>
      <c r="B134" s="850"/>
      <c r="C134" s="850"/>
      <c r="D134" s="850"/>
      <c r="E134" s="850"/>
      <c r="F134" s="850"/>
      <c r="G134" s="850"/>
      <c r="H134" s="850"/>
      <c r="I134" s="850"/>
      <c r="J134" s="850"/>
      <c r="K134" s="850"/>
      <c r="L134" s="850"/>
      <c r="M134" s="924"/>
      <c r="N134" s="920"/>
      <c r="O134" s="920"/>
      <c r="P134" s="920"/>
      <c r="Q134" s="920"/>
      <c r="R134" s="920"/>
      <c r="S134" s="920"/>
      <c r="T134" s="920"/>
      <c r="U134" s="920"/>
      <c r="V134" s="920"/>
      <c r="W134" s="920"/>
      <c r="X134" s="920"/>
    </row>
    <row r="135" spans="1:24">
      <c r="A135" s="797"/>
      <c r="B135" s="797"/>
      <c r="C135" s="797"/>
      <c r="D135" s="797"/>
      <c r="E135" s="797"/>
      <c r="F135" s="797"/>
      <c r="G135" s="797"/>
      <c r="H135" s="797"/>
      <c r="I135" s="797"/>
      <c r="J135" s="797"/>
      <c r="K135" s="797"/>
      <c r="L135" s="797"/>
      <c r="M135" s="797"/>
      <c r="N135" s="797"/>
      <c r="O135" s="797"/>
      <c r="P135" s="797"/>
      <c r="Q135" s="797"/>
      <c r="R135" s="797"/>
      <c r="S135" s="797"/>
      <c r="T135" s="797"/>
      <c r="U135" s="797"/>
      <c r="V135" s="797"/>
      <c r="W135" s="797"/>
      <c r="X135" s="797"/>
    </row>
    <row r="136" spans="1:24">
      <c r="A136" s="797"/>
      <c r="B136" s="797"/>
      <c r="C136" s="797"/>
      <c r="D136" s="797"/>
      <c r="E136" s="797"/>
      <c r="F136" s="797"/>
      <c r="G136" s="797"/>
      <c r="H136" s="797"/>
      <c r="I136" s="797"/>
      <c r="J136" s="797"/>
      <c r="K136" s="797"/>
      <c r="L136" s="797"/>
      <c r="M136" s="797"/>
      <c r="N136" s="797"/>
      <c r="O136" s="797"/>
      <c r="P136" s="797"/>
      <c r="Q136" s="797"/>
      <c r="R136" s="797"/>
      <c r="S136" s="797"/>
      <c r="T136" s="797"/>
      <c r="U136" s="797"/>
      <c r="V136" s="797"/>
      <c r="W136" s="797"/>
      <c r="X136" s="797"/>
    </row>
    <row r="137" spans="1:24">
      <c r="A137" s="797"/>
      <c r="B137" s="797"/>
      <c r="C137" s="797"/>
      <c r="D137" s="797"/>
      <c r="E137" s="797"/>
      <c r="F137" s="797"/>
      <c r="G137" s="797"/>
      <c r="H137" s="797"/>
      <c r="I137" s="797"/>
      <c r="J137" s="797"/>
      <c r="K137" s="797"/>
      <c r="L137" s="797"/>
      <c r="M137" s="797"/>
      <c r="N137" s="797"/>
      <c r="O137" s="797"/>
      <c r="P137" s="797"/>
      <c r="Q137" s="797"/>
      <c r="R137" s="797"/>
      <c r="S137" s="797"/>
      <c r="T137" s="797"/>
      <c r="U137" s="797"/>
      <c r="V137" s="797"/>
      <c r="W137" s="797"/>
      <c r="X137" s="797"/>
    </row>
    <row r="138" spans="1:24">
      <c r="A138" s="797"/>
      <c r="B138" s="797"/>
      <c r="C138" s="797"/>
      <c r="D138" s="797"/>
      <c r="E138" s="797"/>
      <c r="F138" s="797"/>
      <c r="G138" s="797"/>
      <c r="H138" s="797"/>
      <c r="I138" s="797"/>
      <c r="J138" s="797"/>
      <c r="K138" s="797"/>
      <c r="L138" s="797"/>
      <c r="M138" s="797"/>
      <c r="N138" s="797"/>
      <c r="O138" s="797"/>
      <c r="P138" s="797"/>
      <c r="Q138" s="797"/>
      <c r="R138" s="797"/>
      <c r="S138" s="797"/>
      <c r="T138" s="797"/>
      <c r="U138" s="797"/>
      <c r="V138" s="797"/>
      <c r="W138" s="797"/>
      <c r="X138" s="797"/>
    </row>
    <row r="139" spans="1:24">
      <c r="A139" s="797"/>
      <c r="B139" s="797"/>
      <c r="C139" s="797"/>
      <c r="D139" s="797"/>
      <c r="E139" s="797"/>
      <c r="F139" s="797"/>
      <c r="G139" s="797"/>
      <c r="H139" s="797"/>
      <c r="I139" s="797"/>
      <c r="J139" s="797"/>
      <c r="K139" s="797"/>
      <c r="L139" s="797"/>
      <c r="M139" s="797"/>
      <c r="N139" s="797"/>
      <c r="O139" s="797"/>
      <c r="P139" s="797"/>
      <c r="Q139" s="797"/>
      <c r="R139" s="797"/>
      <c r="S139" s="797"/>
      <c r="T139" s="797"/>
      <c r="U139" s="797"/>
      <c r="V139" s="797"/>
      <c r="W139" s="797"/>
      <c r="X139" s="797"/>
    </row>
    <row r="140" spans="1:24">
      <c r="A140" s="797"/>
      <c r="B140" s="797"/>
      <c r="C140" s="797"/>
      <c r="D140" s="797"/>
      <c r="E140" s="797"/>
      <c r="F140" s="797"/>
      <c r="G140" s="797"/>
      <c r="H140" s="797"/>
      <c r="I140" s="797"/>
      <c r="J140" s="797"/>
      <c r="K140" s="797"/>
      <c r="L140" s="797"/>
      <c r="M140" s="797"/>
      <c r="N140" s="797"/>
      <c r="O140" s="797"/>
      <c r="P140" s="797"/>
      <c r="Q140" s="797"/>
      <c r="R140" s="797"/>
      <c r="S140" s="797"/>
      <c r="T140" s="797"/>
      <c r="U140" s="797"/>
      <c r="V140" s="797"/>
      <c r="W140" s="797"/>
      <c r="X140" s="797"/>
    </row>
    <row r="141" spans="1:24">
      <c r="A141" s="797"/>
      <c r="B141" s="797"/>
      <c r="C141" s="797"/>
      <c r="D141" s="797"/>
      <c r="E141" s="797"/>
      <c r="F141" s="797"/>
      <c r="G141" s="797"/>
      <c r="H141" s="797"/>
      <c r="I141" s="797"/>
      <c r="J141" s="797"/>
      <c r="K141" s="797"/>
      <c r="L141" s="797"/>
      <c r="M141" s="797"/>
      <c r="N141" s="797"/>
      <c r="O141" s="797"/>
      <c r="P141" s="797"/>
      <c r="Q141" s="797"/>
      <c r="R141" s="797"/>
      <c r="S141" s="797"/>
      <c r="T141" s="797"/>
      <c r="U141" s="797"/>
      <c r="V141" s="797"/>
      <c r="W141" s="797"/>
      <c r="X141" s="797"/>
    </row>
    <row r="142" spans="1:24">
      <c r="A142" s="797"/>
      <c r="B142" s="797"/>
      <c r="C142" s="797"/>
      <c r="D142" s="797"/>
      <c r="E142" s="797"/>
      <c r="F142" s="797"/>
      <c r="G142" s="797"/>
      <c r="H142" s="797"/>
      <c r="I142" s="797"/>
      <c r="J142" s="797"/>
      <c r="K142" s="797"/>
      <c r="L142" s="797"/>
      <c r="M142" s="797"/>
      <c r="N142" s="797"/>
      <c r="O142" s="797"/>
      <c r="P142" s="797"/>
      <c r="Q142" s="797"/>
      <c r="R142" s="797"/>
      <c r="S142" s="797"/>
      <c r="T142" s="797"/>
      <c r="U142" s="797"/>
      <c r="V142" s="797"/>
      <c r="W142" s="797"/>
      <c r="X142" s="797"/>
    </row>
    <row r="143" spans="1:24">
      <c r="A143" s="797"/>
      <c r="B143" s="797"/>
      <c r="C143" s="797"/>
      <c r="D143" s="797"/>
      <c r="E143" s="797"/>
      <c r="F143" s="797"/>
      <c r="G143" s="797"/>
      <c r="H143" s="797"/>
      <c r="I143" s="797"/>
      <c r="J143" s="797"/>
      <c r="K143" s="797"/>
      <c r="L143" s="797"/>
      <c r="M143" s="797"/>
      <c r="N143" s="797"/>
      <c r="O143" s="797"/>
      <c r="P143" s="797"/>
      <c r="Q143" s="797"/>
      <c r="R143" s="797"/>
      <c r="S143" s="797"/>
      <c r="T143" s="797"/>
      <c r="U143" s="797"/>
      <c r="V143" s="797"/>
      <c r="W143" s="797"/>
      <c r="X143" s="797"/>
    </row>
    <row r="144" spans="1:24">
      <c r="A144" s="797"/>
      <c r="B144" s="797"/>
      <c r="C144" s="797"/>
      <c r="D144" s="797"/>
      <c r="E144" s="797"/>
      <c r="F144" s="797"/>
      <c r="G144" s="797"/>
      <c r="H144" s="797"/>
      <c r="I144" s="797"/>
      <c r="J144" s="797"/>
      <c r="K144" s="797"/>
      <c r="L144" s="797"/>
      <c r="M144" s="797"/>
      <c r="N144" s="797"/>
      <c r="O144" s="797"/>
      <c r="P144" s="797"/>
      <c r="Q144" s="797"/>
      <c r="R144" s="797"/>
      <c r="S144" s="797"/>
      <c r="T144" s="797"/>
      <c r="U144" s="797"/>
      <c r="V144" s="797"/>
      <c r="W144" s="797"/>
      <c r="X144" s="797"/>
    </row>
    <row r="145" spans="1:24">
      <c r="A145" s="797"/>
      <c r="B145" s="797"/>
      <c r="C145" s="797"/>
      <c r="D145" s="797"/>
      <c r="E145" s="797"/>
      <c r="F145" s="797"/>
      <c r="G145" s="797"/>
      <c r="H145" s="797"/>
      <c r="I145" s="797"/>
      <c r="J145" s="797"/>
      <c r="K145" s="797"/>
      <c r="L145" s="797"/>
      <c r="M145" s="797"/>
      <c r="N145" s="797"/>
      <c r="O145" s="797"/>
      <c r="P145" s="797"/>
      <c r="Q145" s="797"/>
      <c r="R145" s="797"/>
      <c r="S145" s="797"/>
      <c r="T145" s="797"/>
      <c r="U145" s="797"/>
      <c r="V145" s="797"/>
      <c r="W145" s="797"/>
      <c r="X145" s="797"/>
    </row>
    <row r="146" spans="1:24">
      <c r="A146" s="797"/>
      <c r="B146" s="797"/>
      <c r="C146" s="797"/>
      <c r="D146" s="797"/>
      <c r="E146" s="797"/>
      <c r="F146" s="797"/>
      <c r="G146" s="797"/>
      <c r="H146" s="797"/>
      <c r="I146" s="797"/>
      <c r="J146" s="797"/>
      <c r="K146" s="797"/>
      <c r="L146" s="797"/>
      <c r="M146" s="797"/>
      <c r="N146" s="797"/>
      <c r="O146" s="797"/>
      <c r="P146" s="797"/>
      <c r="Q146" s="797"/>
      <c r="R146" s="797"/>
      <c r="S146" s="797"/>
      <c r="T146" s="797"/>
      <c r="U146" s="797"/>
      <c r="V146" s="797"/>
      <c r="W146" s="797"/>
      <c r="X146" s="797"/>
    </row>
    <row r="147" spans="1:24">
      <c r="A147" s="797"/>
      <c r="B147" s="797"/>
      <c r="C147" s="797"/>
      <c r="D147" s="797"/>
      <c r="E147" s="797"/>
      <c r="F147" s="797"/>
      <c r="G147" s="797"/>
      <c r="H147" s="797"/>
      <c r="I147" s="797"/>
      <c r="J147" s="797"/>
      <c r="K147" s="797"/>
      <c r="L147" s="797"/>
      <c r="M147" s="797"/>
      <c r="N147" s="797"/>
      <c r="O147" s="797"/>
      <c r="P147" s="797"/>
      <c r="Q147" s="797"/>
      <c r="R147" s="797"/>
      <c r="S147" s="797"/>
      <c r="T147" s="797"/>
      <c r="U147" s="797"/>
      <c r="V147" s="797"/>
      <c r="W147" s="797"/>
      <c r="X147" s="797"/>
    </row>
    <row r="148" spans="1:24">
      <c r="A148" s="797"/>
      <c r="B148" s="797"/>
      <c r="C148" s="797"/>
      <c r="D148" s="797"/>
      <c r="E148" s="797"/>
      <c r="F148" s="797"/>
      <c r="G148" s="797"/>
      <c r="H148" s="797"/>
      <c r="I148" s="797"/>
      <c r="J148" s="797"/>
      <c r="K148" s="797"/>
      <c r="L148" s="797"/>
      <c r="M148" s="797"/>
      <c r="N148" s="797"/>
      <c r="O148" s="797"/>
      <c r="P148" s="797"/>
      <c r="Q148" s="797"/>
      <c r="R148" s="797"/>
      <c r="S148" s="797"/>
      <c r="T148" s="797"/>
      <c r="U148" s="797"/>
      <c r="V148" s="797"/>
      <c r="W148" s="797"/>
      <c r="X148" s="797"/>
    </row>
    <row r="149" spans="1:24">
      <c r="A149" s="797"/>
      <c r="B149" s="797"/>
      <c r="C149" s="797"/>
      <c r="D149" s="797"/>
      <c r="E149" s="797"/>
      <c r="F149" s="797"/>
      <c r="G149" s="797"/>
      <c r="H149" s="797"/>
      <c r="I149" s="797"/>
      <c r="J149" s="797"/>
      <c r="K149" s="797"/>
      <c r="L149" s="797"/>
      <c r="M149" s="797"/>
      <c r="N149" s="797"/>
      <c r="O149" s="797"/>
      <c r="P149" s="797"/>
      <c r="Q149" s="797"/>
      <c r="R149" s="797"/>
      <c r="S149" s="797"/>
      <c r="T149" s="797"/>
      <c r="U149" s="797"/>
      <c r="V149" s="797"/>
      <c r="W149" s="797"/>
      <c r="X149" s="797"/>
    </row>
    <row r="150" spans="1:24">
      <c r="A150" s="797"/>
      <c r="B150" s="797"/>
      <c r="C150" s="797"/>
      <c r="D150" s="797"/>
      <c r="E150" s="797"/>
      <c r="F150" s="797"/>
      <c r="G150" s="797"/>
      <c r="H150" s="797"/>
      <c r="I150" s="797"/>
      <c r="J150" s="797"/>
      <c r="K150" s="797"/>
      <c r="L150" s="797"/>
      <c r="M150" s="797"/>
      <c r="N150" s="797"/>
      <c r="O150" s="797"/>
      <c r="P150" s="797"/>
      <c r="Q150" s="797"/>
      <c r="R150" s="797"/>
      <c r="S150" s="797"/>
      <c r="T150" s="797"/>
      <c r="U150" s="797"/>
      <c r="V150" s="797"/>
      <c r="W150" s="797"/>
      <c r="X150" s="797"/>
    </row>
    <row r="151" spans="1:24">
      <c r="A151" s="797"/>
      <c r="B151" s="797"/>
      <c r="C151" s="797"/>
      <c r="D151" s="797"/>
      <c r="E151" s="797"/>
      <c r="F151" s="797"/>
      <c r="G151" s="797"/>
      <c r="H151" s="797"/>
      <c r="I151" s="797"/>
      <c r="J151" s="797"/>
      <c r="K151" s="797"/>
      <c r="L151" s="797"/>
      <c r="M151" s="797"/>
      <c r="N151" s="797"/>
      <c r="O151" s="797"/>
      <c r="P151" s="797"/>
      <c r="Q151" s="797"/>
      <c r="R151" s="797"/>
      <c r="S151" s="797"/>
      <c r="T151" s="797"/>
      <c r="U151" s="797"/>
      <c r="V151" s="797"/>
      <c r="W151" s="797"/>
      <c r="X151" s="797"/>
    </row>
    <row r="152" spans="1:24">
      <c r="A152" s="797"/>
      <c r="B152" s="797"/>
      <c r="C152" s="797"/>
      <c r="D152" s="797"/>
      <c r="E152" s="797"/>
      <c r="F152" s="797"/>
      <c r="G152" s="797"/>
      <c r="H152" s="797"/>
      <c r="I152" s="797"/>
      <c r="J152" s="797"/>
      <c r="K152" s="797"/>
      <c r="L152" s="797"/>
      <c r="M152" s="797"/>
      <c r="N152" s="797"/>
      <c r="O152" s="797"/>
      <c r="P152" s="797"/>
      <c r="Q152" s="797"/>
      <c r="R152" s="797"/>
      <c r="S152" s="797"/>
      <c r="T152" s="797"/>
      <c r="U152" s="797"/>
      <c r="V152" s="797"/>
      <c r="W152" s="797"/>
      <c r="X152" s="797"/>
    </row>
    <row r="153" spans="1:24">
      <c r="A153" s="797"/>
      <c r="B153" s="797"/>
      <c r="C153" s="797"/>
      <c r="D153" s="797"/>
      <c r="E153" s="797"/>
      <c r="F153" s="797"/>
      <c r="G153" s="797"/>
      <c r="H153" s="797"/>
      <c r="I153" s="797"/>
      <c r="J153" s="797"/>
      <c r="K153" s="797"/>
      <c r="L153" s="797"/>
      <c r="M153" s="797"/>
      <c r="N153" s="797"/>
      <c r="O153" s="797"/>
      <c r="P153" s="797"/>
      <c r="Q153" s="797"/>
      <c r="R153" s="797"/>
      <c r="S153" s="797"/>
      <c r="T153" s="797"/>
      <c r="U153" s="797"/>
      <c r="V153" s="797"/>
      <c r="W153" s="797"/>
      <c r="X153" s="797"/>
    </row>
    <row r="154" spans="1:24">
      <c r="A154" s="858" t="s">
        <v>455</v>
      </c>
      <c r="B154" s="859" t="s">
        <v>177</v>
      </c>
      <c r="C154" s="865" t="s">
        <v>385</v>
      </c>
      <c r="D154" s="861" t="s">
        <v>390</v>
      </c>
      <c r="E154" s="862"/>
      <c r="F154" s="861" t="s">
        <v>391</v>
      </c>
      <c r="G154" s="862"/>
      <c r="H154" s="865" t="s">
        <v>443</v>
      </c>
      <c r="I154" s="865" t="s">
        <v>389</v>
      </c>
      <c r="J154" s="863" t="s">
        <v>406</v>
      </c>
      <c r="K154" s="864" t="s">
        <v>259</v>
      </c>
      <c r="L154" s="801" t="s">
        <v>485</v>
      </c>
      <c r="M154" s="858" t="s">
        <v>455</v>
      </c>
      <c r="N154" s="859" t="s">
        <v>177</v>
      </c>
      <c r="O154" s="865" t="s">
        <v>385</v>
      </c>
      <c r="P154" s="861" t="s">
        <v>390</v>
      </c>
      <c r="Q154" s="862"/>
      <c r="R154" s="861" t="s">
        <v>391</v>
      </c>
      <c r="S154" s="862"/>
      <c r="T154" s="865" t="s">
        <v>443</v>
      </c>
      <c r="U154" s="865" t="s">
        <v>389</v>
      </c>
      <c r="V154" s="863" t="s">
        <v>406</v>
      </c>
      <c r="W154" s="864" t="s">
        <v>259</v>
      </c>
      <c r="X154" s="801" t="s">
        <v>485</v>
      </c>
    </row>
    <row r="155" spans="1:24" ht="17.25">
      <c r="A155" s="872" t="s">
        <v>456</v>
      </c>
      <c r="B155" s="868" t="s">
        <v>258</v>
      </c>
      <c r="C155" s="873"/>
      <c r="D155" s="869" t="s">
        <v>392</v>
      </c>
      <c r="E155" s="870"/>
      <c r="F155" s="869" t="s">
        <v>392</v>
      </c>
      <c r="G155" s="870"/>
      <c r="H155" s="873"/>
      <c r="I155" s="873"/>
      <c r="J155" s="868" t="s">
        <v>258</v>
      </c>
      <c r="K155" s="864"/>
      <c r="L155" s="871" t="s">
        <v>240</v>
      </c>
      <c r="M155" s="872" t="s">
        <v>456</v>
      </c>
      <c r="N155" s="868" t="s">
        <v>258</v>
      </c>
      <c r="O155" s="873"/>
      <c r="P155" s="869" t="s">
        <v>392</v>
      </c>
      <c r="Q155" s="870"/>
      <c r="R155" s="869" t="s">
        <v>392</v>
      </c>
      <c r="S155" s="870"/>
      <c r="T155" s="873"/>
      <c r="U155" s="873"/>
      <c r="V155" s="868" t="s">
        <v>258</v>
      </c>
      <c r="W155" s="864"/>
      <c r="X155" s="871" t="s">
        <v>240</v>
      </c>
    </row>
    <row r="156" spans="1:24" ht="15" customHeight="1">
      <c r="A156" s="883">
        <f>1000000/K156</f>
        <v>1052.6315789473683</v>
      </c>
      <c r="B156" s="875">
        <f>C16</f>
        <v>60</v>
      </c>
      <c r="C156" s="876" t="s">
        <v>386</v>
      </c>
      <c r="D156" s="866">
        <v>0.5</v>
      </c>
      <c r="E156" s="877"/>
      <c r="F156" s="878">
        <v>1</v>
      </c>
      <c r="G156" s="879"/>
      <c r="H156" s="876">
        <v>372</v>
      </c>
      <c r="I156" s="876">
        <f>(D156*H156*B156)/1000</f>
        <v>11.16</v>
      </c>
      <c r="J156" s="913">
        <f>C15</f>
        <v>1.1599999999999999</v>
      </c>
      <c r="K156" s="881">
        <f>C17</f>
        <v>950</v>
      </c>
      <c r="L156" s="882">
        <f>((3.1416*((J156/2)^2)*(B156/2)/1000))*(A156/((B156/2)/1000))</f>
        <v>1112.457094736842</v>
      </c>
      <c r="M156" s="883">
        <f>1000000/W156</f>
        <v>1052.6315789473683</v>
      </c>
      <c r="N156" s="875">
        <f>B156</f>
        <v>60</v>
      </c>
      <c r="O156" s="876" t="s">
        <v>386</v>
      </c>
      <c r="P156" s="866">
        <v>0.5</v>
      </c>
      <c r="Q156" s="877"/>
      <c r="R156" s="878">
        <v>1</v>
      </c>
      <c r="S156" s="879"/>
      <c r="T156" s="876">
        <v>372</v>
      </c>
      <c r="U156" s="876">
        <f>(P156*T156*N156)/1000</f>
        <v>11.16</v>
      </c>
      <c r="V156" s="913">
        <f>J156</f>
        <v>1.1599999999999999</v>
      </c>
      <c r="W156" s="881">
        <f>K156</f>
        <v>950</v>
      </c>
      <c r="X156" s="882">
        <f>((3.1416*((V156/2)^2)*(N156/2)/1000))*(M156/((N156/2)/1000))</f>
        <v>1112.457094736842</v>
      </c>
    </row>
    <row r="157" spans="1:24" ht="15" customHeight="1">
      <c r="A157" s="883"/>
      <c r="B157" s="885"/>
      <c r="C157" s="876" t="s">
        <v>388</v>
      </c>
      <c r="D157" s="866">
        <v>0.5</v>
      </c>
      <c r="E157" s="877"/>
      <c r="F157" s="878">
        <v>1</v>
      </c>
      <c r="G157" s="879"/>
      <c r="H157" s="876">
        <v>162</v>
      </c>
      <c r="I157" s="876">
        <f>(D157*H157*B156)/1000</f>
        <v>4.8600000000000003</v>
      </c>
      <c r="J157" s="914"/>
      <c r="K157" s="881"/>
      <c r="L157" s="887"/>
      <c r="M157" s="883"/>
      <c r="N157" s="885"/>
      <c r="O157" s="876" t="s">
        <v>388</v>
      </c>
      <c r="P157" s="866">
        <v>0.5</v>
      </c>
      <c r="Q157" s="877"/>
      <c r="R157" s="878">
        <v>1</v>
      </c>
      <c r="S157" s="879"/>
      <c r="T157" s="876">
        <v>162</v>
      </c>
      <c r="U157" s="876">
        <f>(P157*T157*N156)/1000</f>
        <v>4.8600000000000003</v>
      </c>
      <c r="V157" s="914"/>
      <c r="W157" s="881"/>
      <c r="X157" s="887"/>
    </row>
    <row r="158" spans="1:24" ht="15" customHeight="1">
      <c r="A158" s="893"/>
      <c r="B158" s="889"/>
      <c r="C158" s="876" t="s">
        <v>393</v>
      </c>
      <c r="D158" s="866">
        <v>0.5</v>
      </c>
      <c r="E158" s="877"/>
      <c r="F158" s="878">
        <v>1</v>
      </c>
      <c r="G158" s="879"/>
      <c r="H158" s="876">
        <v>210</v>
      </c>
      <c r="I158" s="890">
        <f>(H158*F158*B156)/1000</f>
        <v>12.6</v>
      </c>
      <c r="J158" s="915"/>
      <c r="K158" s="881"/>
      <c r="L158" s="892"/>
      <c r="M158" s="893"/>
      <c r="N158" s="889"/>
      <c r="O158" s="876" t="s">
        <v>393</v>
      </c>
      <c r="P158" s="866">
        <v>0.5</v>
      </c>
      <c r="Q158" s="877"/>
      <c r="R158" s="878">
        <v>1</v>
      </c>
      <c r="S158" s="879"/>
      <c r="T158" s="876">
        <v>210</v>
      </c>
      <c r="U158" s="890">
        <f>(T158*R158*N156)/1000</f>
        <v>12.6</v>
      </c>
      <c r="V158" s="915"/>
      <c r="W158" s="881"/>
      <c r="X158" s="892"/>
    </row>
    <row r="159" spans="1:24">
      <c r="A159" s="797"/>
      <c r="B159" s="797"/>
      <c r="C159" s="876"/>
      <c r="D159" s="866"/>
      <c r="E159" s="877"/>
      <c r="F159" s="878"/>
      <c r="G159" s="879"/>
      <c r="H159" s="876"/>
      <c r="I159" s="876"/>
      <c r="J159" s="776"/>
      <c r="K159" s="797"/>
      <c r="L159" s="797"/>
      <c r="M159" s="797"/>
      <c r="N159" s="797"/>
      <c r="O159" s="876"/>
      <c r="P159" s="866"/>
      <c r="Q159" s="877"/>
      <c r="R159" s="878"/>
      <c r="S159" s="879"/>
      <c r="T159" s="876"/>
      <c r="U159" s="876"/>
      <c r="V159" s="776"/>
      <c r="W159" s="797"/>
      <c r="X159" s="797"/>
    </row>
    <row r="160" spans="1:24">
      <c r="A160" s="817" t="s">
        <v>491</v>
      </c>
      <c r="B160" s="797"/>
      <c r="C160" s="797"/>
      <c r="D160" s="797"/>
      <c r="E160" s="797"/>
      <c r="F160" s="797"/>
      <c r="G160" s="797"/>
      <c r="H160" s="797"/>
      <c r="I160" s="797"/>
      <c r="J160" s="797"/>
      <c r="K160" s="797"/>
      <c r="L160" s="797"/>
      <c r="M160" s="817" t="s">
        <v>491</v>
      </c>
      <c r="N160" s="797"/>
      <c r="O160" s="797"/>
      <c r="P160" s="797"/>
      <c r="Q160" s="797"/>
      <c r="R160" s="797"/>
      <c r="S160" s="797"/>
      <c r="T160" s="797"/>
      <c r="U160" s="797"/>
      <c r="V160" s="797"/>
      <c r="W160" s="797"/>
      <c r="X160" s="797"/>
    </row>
    <row r="161" spans="1:24" ht="17.25">
      <c r="A161" s="819" t="s">
        <v>495</v>
      </c>
      <c r="B161" s="925"/>
      <c r="C161" s="925"/>
      <c r="D161" s="797"/>
      <c r="E161" s="866" t="s">
        <v>394</v>
      </c>
      <c r="F161" s="897"/>
      <c r="G161" s="897"/>
      <c r="H161" s="877"/>
      <c r="I161" s="797"/>
      <c r="J161" s="803"/>
      <c r="K161" s="803"/>
      <c r="L161" s="803"/>
      <c r="M161" s="819" t="s">
        <v>495</v>
      </c>
      <c r="N161" s="895" t="s">
        <v>445</v>
      </c>
      <c r="O161" s="896"/>
      <c r="P161" s="797"/>
      <c r="Q161" s="866" t="s">
        <v>394</v>
      </c>
      <c r="R161" s="897"/>
      <c r="S161" s="897"/>
      <c r="T161" s="877"/>
      <c r="U161" s="797"/>
      <c r="V161" s="864" t="s">
        <v>444</v>
      </c>
      <c r="W161" s="864"/>
      <c r="X161" s="864"/>
    </row>
    <row r="162" spans="1:24" ht="15" customHeight="1">
      <c r="A162" s="799">
        <f>D156*(SQRT(1-(D156^2)))*(((H156+H157)/2)*H158)*(B156/1000)^2</f>
        <v>87.404479902348243</v>
      </c>
      <c r="B162" s="925"/>
      <c r="C162" s="925"/>
      <c r="D162" s="797"/>
      <c r="E162" s="900" t="s">
        <v>396</v>
      </c>
      <c r="F162" s="900" t="s">
        <v>384</v>
      </c>
      <c r="G162" s="900" t="s">
        <v>398</v>
      </c>
      <c r="H162" s="900" t="s">
        <v>405</v>
      </c>
      <c r="I162" s="797"/>
      <c r="J162" s="926"/>
      <c r="K162" s="926"/>
      <c r="L162" s="926"/>
      <c r="M162" s="799">
        <f>P156*(SQRT(1-(P156^2)))*(((T156+T157)/2)*T158)*(N156/1000)^2</f>
        <v>87.404479902348243</v>
      </c>
      <c r="N162" s="916" t="s">
        <v>187</v>
      </c>
      <c r="O162" s="899"/>
      <c r="P162" s="797"/>
      <c r="Q162" s="900" t="s">
        <v>396</v>
      </c>
      <c r="R162" s="900" t="s">
        <v>384</v>
      </c>
      <c r="S162" s="900" t="s">
        <v>398</v>
      </c>
      <c r="T162" s="900" t="s">
        <v>405</v>
      </c>
      <c r="U162" s="797"/>
      <c r="V162" s="901">
        <f>'Mecánica de la Red'!N32</f>
        <v>15.609887999999998</v>
      </c>
      <c r="W162" s="901"/>
      <c r="X162" s="901"/>
    </row>
    <row r="163" spans="1:24" ht="15" customHeight="1">
      <c r="A163" s="797"/>
      <c r="B163" s="907"/>
      <c r="C163" s="907"/>
      <c r="D163" s="797"/>
      <c r="E163" s="876" t="s">
        <v>395</v>
      </c>
      <c r="F163" s="876">
        <f>(H156-H157)/2</f>
        <v>105</v>
      </c>
      <c r="G163" s="905">
        <f>(H156-H157)/(2*H158)</f>
        <v>0.5</v>
      </c>
      <c r="H163" s="876" t="str">
        <f>VLOOKUP(G163,'Tablas de Referencias'!$A$49:$C$88,3,FALSE)</f>
        <v>1N2B</v>
      </c>
      <c r="I163" s="797"/>
      <c r="J163" s="926"/>
      <c r="K163" s="926"/>
      <c r="L163" s="926"/>
      <c r="M163" s="797"/>
      <c r="N163" s="917">
        <f>COUNTIF(133:134,"G")</f>
        <v>2</v>
      </c>
      <c r="O163" s="904"/>
      <c r="P163" s="797"/>
      <c r="Q163" s="876" t="s">
        <v>395</v>
      </c>
      <c r="R163" s="876">
        <f>(T156-T157)/2</f>
        <v>105</v>
      </c>
      <c r="S163" s="905">
        <f>(T156-T157)/(2*T158)</f>
        <v>0.5</v>
      </c>
      <c r="T163" s="876" t="str">
        <f>VLOOKUP(S163,'Tablas de Referencias'!$A$49:$C$88,3,FALSE)</f>
        <v>1N2B</v>
      </c>
      <c r="U163" s="797"/>
      <c r="V163" s="901"/>
      <c r="W163" s="901"/>
      <c r="X163" s="901"/>
    </row>
    <row r="164" spans="1:24" ht="15" customHeight="1">
      <c r="A164" s="902" t="s">
        <v>473</v>
      </c>
      <c r="B164" s="907"/>
      <c r="C164" s="907"/>
      <c r="D164" s="797"/>
      <c r="E164" s="876"/>
      <c r="F164" s="876"/>
      <c r="G164" s="905"/>
      <c r="H164" s="876"/>
      <c r="I164" s="797"/>
      <c r="J164" s="926"/>
      <c r="K164" s="926"/>
      <c r="L164" s="926"/>
      <c r="M164" s="902" t="s">
        <v>473</v>
      </c>
      <c r="N164" s="927"/>
      <c r="O164" s="908"/>
      <c r="P164" s="797"/>
      <c r="Q164" s="876"/>
      <c r="R164" s="876"/>
      <c r="S164" s="905"/>
      <c r="T164" s="876"/>
      <c r="U164" s="797"/>
      <c r="V164" s="901"/>
      <c r="W164" s="901"/>
      <c r="X164" s="901"/>
    </row>
    <row r="165" spans="1:24" ht="15" customHeight="1">
      <c r="A165" s="780">
        <f>((H156+H157-1)*(H158-0.5))+0.5</f>
        <v>111664</v>
      </c>
      <c r="B165" s="907"/>
      <c r="C165" s="907"/>
      <c r="D165" s="797"/>
      <c r="E165" s="797"/>
      <c r="F165" s="797"/>
      <c r="G165" s="797"/>
      <c r="H165" s="797"/>
      <c r="I165" s="797"/>
      <c r="J165" s="797"/>
      <c r="K165" s="797"/>
      <c r="L165" s="797"/>
      <c r="M165" s="780">
        <f>((T156+T157-1)*(T158-0.5))+0.5</f>
        <v>111664</v>
      </c>
      <c r="N165" s="910"/>
      <c r="O165" s="911"/>
      <c r="P165" s="797"/>
      <c r="Q165" s="797"/>
      <c r="R165" s="797"/>
      <c r="S165" s="797"/>
      <c r="T165" s="797"/>
      <c r="U165" s="797"/>
      <c r="V165" s="797"/>
      <c r="W165" s="797"/>
      <c r="X165" s="797"/>
    </row>
    <row r="166" spans="1:24" ht="15" customHeight="1">
      <c r="A166" s="850" t="s">
        <v>188</v>
      </c>
      <c r="B166" s="850" t="s">
        <v>363</v>
      </c>
      <c r="C166" s="850"/>
      <c r="D166" s="850"/>
      <c r="E166" s="850"/>
      <c r="F166" s="850"/>
      <c r="G166" s="850"/>
      <c r="H166" s="850"/>
      <c r="I166" s="850"/>
      <c r="J166" s="850"/>
      <c r="K166" s="850"/>
      <c r="L166" s="850"/>
      <c r="M166" s="850" t="s">
        <v>188</v>
      </c>
      <c r="N166" s="920" t="s">
        <v>383</v>
      </c>
      <c r="O166" s="920"/>
      <c r="P166" s="920"/>
      <c r="Q166" s="920"/>
      <c r="R166" s="920"/>
      <c r="S166" s="920"/>
      <c r="T166" s="920"/>
      <c r="U166" s="920"/>
      <c r="V166" s="920"/>
      <c r="W166" s="920"/>
      <c r="X166" s="920"/>
    </row>
    <row r="167" spans="1:24" ht="15" customHeight="1">
      <c r="A167" s="850"/>
      <c r="B167" s="850"/>
      <c r="C167" s="850"/>
      <c r="D167" s="850"/>
      <c r="E167" s="850"/>
      <c r="F167" s="850"/>
      <c r="G167" s="850"/>
      <c r="H167" s="850"/>
      <c r="I167" s="850"/>
      <c r="J167" s="850"/>
      <c r="K167" s="850"/>
      <c r="L167" s="850"/>
      <c r="M167" s="850"/>
      <c r="N167" s="920"/>
      <c r="O167" s="920"/>
      <c r="P167" s="920"/>
      <c r="Q167" s="920"/>
      <c r="R167" s="920"/>
      <c r="S167" s="920"/>
      <c r="T167" s="920"/>
      <c r="U167" s="920"/>
      <c r="V167" s="920"/>
      <c r="W167" s="920"/>
      <c r="X167" s="920"/>
    </row>
    <row r="168" spans="1:24">
      <c r="A168" s="797"/>
      <c r="B168" s="797"/>
      <c r="C168" s="797"/>
      <c r="D168" s="797"/>
      <c r="E168" s="797"/>
      <c r="F168" s="797"/>
      <c r="G168" s="797"/>
      <c r="H168" s="797"/>
      <c r="I168" s="797"/>
      <c r="J168" s="797"/>
      <c r="K168" s="797"/>
      <c r="L168" s="797"/>
      <c r="M168" s="797"/>
      <c r="N168" s="797"/>
      <c r="O168" s="797"/>
      <c r="P168" s="797"/>
      <c r="Q168" s="797"/>
      <c r="R168" s="797"/>
      <c r="S168" s="797"/>
      <c r="T168" s="797"/>
      <c r="U168" s="797"/>
      <c r="V168" s="797"/>
      <c r="W168" s="797"/>
      <c r="X168" s="797"/>
    </row>
    <row r="169" spans="1:24">
      <c r="A169" s="797"/>
      <c r="B169" s="797"/>
      <c r="C169" s="797"/>
      <c r="D169" s="797"/>
      <c r="E169" s="797"/>
      <c r="F169" s="797"/>
      <c r="G169" s="797"/>
      <c r="H169" s="797"/>
      <c r="I169" s="797"/>
      <c r="J169" s="797"/>
      <c r="K169" s="797"/>
      <c r="L169" s="797"/>
      <c r="M169" s="797"/>
      <c r="N169" s="797"/>
      <c r="O169" s="797"/>
      <c r="P169" s="797"/>
      <c r="Q169" s="797"/>
      <c r="R169" s="797"/>
      <c r="S169" s="797"/>
      <c r="T169" s="797"/>
      <c r="U169" s="797"/>
      <c r="V169" s="797"/>
      <c r="W169" s="797"/>
      <c r="X169" s="797"/>
    </row>
    <row r="170" spans="1:24">
      <c r="A170" s="797"/>
      <c r="B170" s="797"/>
      <c r="C170" s="797"/>
      <c r="D170" s="797"/>
      <c r="E170" s="797"/>
      <c r="F170" s="797"/>
      <c r="G170" s="797"/>
      <c r="H170" s="797"/>
      <c r="I170" s="797"/>
      <c r="J170" s="797"/>
      <c r="K170" s="797"/>
      <c r="L170" s="797"/>
      <c r="M170" s="797"/>
      <c r="N170" s="797"/>
      <c r="O170" s="797"/>
      <c r="P170" s="797"/>
      <c r="Q170" s="797"/>
      <c r="R170" s="797"/>
      <c r="S170" s="797"/>
      <c r="T170" s="797"/>
      <c r="U170" s="797"/>
      <c r="V170" s="797"/>
      <c r="W170" s="797"/>
      <c r="X170" s="797"/>
    </row>
    <row r="171" spans="1:24">
      <c r="A171" s="797"/>
      <c r="B171" s="797"/>
      <c r="C171" s="797"/>
      <c r="D171" s="797"/>
      <c r="E171" s="797"/>
      <c r="F171" s="797"/>
      <c r="G171" s="797"/>
      <c r="H171" s="797"/>
      <c r="I171" s="797"/>
      <c r="J171" s="797"/>
      <c r="K171" s="797"/>
      <c r="L171" s="797"/>
      <c r="M171" s="797"/>
      <c r="N171" s="797"/>
      <c r="O171" s="797"/>
      <c r="P171" s="797"/>
      <c r="Q171" s="797"/>
      <c r="R171" s="797"/>
      <c r="S171" s="797"/>
      <c r="T171" s="797"/>
      <c r="U171" s="797"/>
      <c r="V171" s="797"/>
      <c r="W171" s="797"/>
      <c r="X171" s="797"/>
    </row>
    <row r="172" spans="1:24">
      <c r="A172" s="797"/>
      <c r="B172" s="797"/>
      <c r="C172" s="797"/>
      <c r="D172" s="797"/>
      <c r="E172" s="797"/>
      <c r="F172" s="797"/>
      <c r="G172" s="797"/>
      <c r="H172" s="797"/>
      <c r="I172" s="797"/>
      <c r="J172" s="797"/>
      <c r="K172" s="797"/>
      <c r="L172" s="797"/>
      <c r="M172" s="797"/>
      <c r="N172" s="797"/>
      <c r="O172" s="797"/>
      <c r="P172" s="797"/>
      <c r="Q172" s="797"/>
      <c r="R172" s="797"/>
      <c r="S172" s="797"/>
      <c r="T172" s="797"/>
      <c r="U172" s="797"/>
      <c r="V172" s="797"/>
      <c r="W172" s="797"/>
      <c r="X172" s="797"/>
    </row>
    <row r="173" spans="1:24">
      <c r="A173" s="797"/>
      <c r="B173" s="797"/>
      <c r="C173" s="797"/>
      <c r="D173" s="797"/>
      <c r="E173" s="797"/>
      <c r="F173" s="797"/>
      <c r="G173" s="797"/>
      <c r="H173" s="797"/>
      <c r="I173" s="797"/>
      <c r="J173" s="797"/>
      <c r="K173" s="797"/>
      <c r="L173" s="797"/>
      <c r="M173" s="797"/>
      <c r="N173" s="797"/>
      <c r="O173" s="797"/>
      <c r="P173" s="797"/>
      <c r="Q173" s="797"/>
      <c r="R173" s="797"/>
      <c r="S173" s="797"/>
      <c r="T173" s="797"/>
      <c r="U173" s="797"/>
      <c r="V173" s="797"/>
      <c r="W173" s="797"/>
      <c r="X173" s="797"/>
    </row>
    <row r="174" spans="1:24">
      <c r="A174" s="797"/>
      <c r="B174" s="797"/>
      <c r="C174" s="797"/>
      <c r="D174" s="797"/>
      <c r="E174" s="797"/>
      <c r="F174" s="797"/>
      <c r="G174" s="797"/>
      <c r="H174" s="797"/>
      <c r="I174" s="797"/>
      <c r="J174" s="797"/>
      <c r="K174" s="797"/>
      <c r="L174" s="797"/>
      <c r="M174" s="797"/>
      <c r="N174" s="797"/>
      <c r="O174" s="797"/>
      <c r="P174" s="797"/>
      <c r="Q174" s="797"/>
      <c r="R174" s="797"/>
      <c r="S174" s="797"/>
      <c r="T174" s="797"/>
      <c r="U174" s="797"/>
      <c r="V174" s="797"/>
      <c r="W174" s="797"/>
      <c r="X174" s="797"/>
    </row>
    <row r="175" spans="1:24">
      <c r="A175" s="797"/>
      <c r="B175" s="797"/>
      <c r="C175" s="797"/>
      <c r="D175" s="797"/>
      <c r="E175" s="797"/>
      <c r="F175" s="797"/>
      <c r="G175" s="797"/>
      <c r="H175" s="797"/>
      <c r="I175" s="797"/>
      <c r="J175" s="797"/>
      <c r="K175" s="797"/>
      <c r="L175" s="797"/>
      <c r="M175" s="797"/>
      <c r="N175" s="797"/>
      <c r="O175" s="797"/>
      <c r="P175" s="797"/>
      <c r="Q175" s="797"/>
      <c r="R175" s="797"/>
      <c r="S175" s="797"/>
      <c r="T175" s="797"/>
      <c r="U175" s="797"/>
      <c r="V175" s="797"/>
      <c r="W175" s="797"/>
      <c r="X175" s="797"/>
    </row>
    <row r="176" spans="1:24">
      <c r="A176" s="797"/>
      <c r="B176" s="797"/>
      <c r="C176" s="797"/>
      <c r="D176" s="797"/>
      <c r="E176" s="797"/>
      <c r="F176" s="797"/>
      <c r="G176" s="797"/>
      <c r="H176" s="797"/>
      <c r="I176" s="797"/>
      <c r="J176" s="797"/>
      <c r="K176" s="797"/>
      <c r="L176" s="797"/>
      <c r="M176" s="797"/>
      <c r="N176" s="797"/>
      <c r="O176" s="797"/>
      <c r="P176" s="797"/>
      <c r="Q176" s="797"/>
      <c r="R176" s="797"/>
      <c r="S176" s="797"/>
      <c r="T176" s="797"/>
      <c r="U176" s="797"/>
      <c r="V176" s="797"/>
      <c r="W176" s="797"/>
      <c r="X176" s="797"/>
    </row>
    <row r="177" spans="1:24">
      <c r="A177" s="797"/>
      <c r="B177" s="797"/>
      <c r="C177" s="797"/>
      <c r="D177" s="797"/>
      <c r="E177" s="797"/>
      <c r="F177" s="797"/>
      <c r="G177" s="797"/>
      <c r="H177" s="797"/>
      <c r="I177" s="797"/>
      <c r="J177" s="797"/>
      <c r="K177" s="797"/>
      <c r="L177" s="797"/>
      <c r="M177" s="797"/>
      <c r="N177" s="797"/>
      <c r="O177" s="797"/>
      <c r="P177" s="797"/>
      <c r="Q177" s="797"/>
      <c r="R177" s="797"/>
      <c r="S177" s="797"/>
      <c r="T177" s="797"/>
      <c r="U177" s="797"/>
      <c r="V177" s="797"/>
      <c r="W177" s="797"/>
      <c r="X177" s="797"/>
    </row>
    <row r="178" spans="1:24">
      <c r="A178" s="797"/>
      <c r="B178" s="797"/>
      <c r="C178" s="797"/>
      <c r="D178" s="797"/>
      <c r="E178" s="797"/>
      <c r="F178" s="797"/>
      <c r="G178" s="797"/>
      <c r="H178" s="797"/>
      <c r="I178" s="797"/>
      <c r="J178" s="797"/>
      <c r="K178" s="797"/>
      <c r="L178" s="797"/>
      <c r="M178" s="797"/>
      <c r="N178" s="797"/>
      <c r="O178" s="797"/>
      <c r="P178" s="797"/>
      <c r="Q178" s="797"/>
      <c r="R178" s="797"/>
      <c r="S178" s="797"/>
      <c r="T178" s="797"/>
      <c r="U178" s="797"/>
      <c r="V178" s="797"/>
      <c r="W178" s="797"/>
      <c r="X178" s="797"/>
    </row>
    <row r="179" spans="1:24">
      <c r="A179" s="797"/>
      <c r="B179" s="797"/>
      <c r="C179" s="797"/>
      <c r="D179" s="797"/>
      <c r="E179" s="797"/>
      <c r="F179" s="797"/>
      <c r="G179" s="797"/>
      <c r="H179" s="797"/>
      <c r="I179" s="797"/>
      <c r="J179" s="797"/>
      <c r="K179" s="797"/>
      <c r="L179" s="797"/>
      <c r="M179" s="797"/>
      <c r="N179" s="797"/>
      <c r="O179" s="797"/>
      <c r="P179" s="797"/>
      <c r="Q179" s="797"/>
      <c r="R179" s="797"/>
      <c r="S179" s="797"/>
      <c r="T179" s="797"/>
      <c r="U179" s="797"/>
      <c r="V179" s="797"/>
      <c r="W179" s="797"/>
      <c r="X179" s="797"/>
    </row>
    <row r="180" spans="1:24">
      <c r="A180" s="797"/>
      <c r="B180" s="797"/>
      <c r="C180" s="797"/>
      <c r="D180" s="797"/>
      <c r="E180" s="797"/>
      <c r="F180" s="797"/>
      <c r="G180" s="797"/>
      <c r="H180" s="797"/>
      <c r="I180" s="797"/>
      <c r="J180" s="797"/>
      <c r="K180" s="797"/>
      <c r="L180" s="797"/>
      <c r="M180" s="797"/>
      <c r="N180" s="797"/>
      <c r="O180" s="797"/>
      <c r="P180" s="797"/>
      <c r="Q180" s="797"/>
      <c r="R180" s="797"/>
      <c r="S180" s="797"/>
      <c r="T180" s="797"/>
      <c r="U180" s="797"/>
      <c r="V180" s="797"/>
      <c r="W180" s="797"/>
      <c r="X180" s="797"/>
    </row>
    <row r="181" spans="1:24">
      <c r="A181" s="797"/>
      <c r="B181" s="797"/>
      <c r="C181" s="797"/>
      <c r="D181" s="797"/>
      <c r="E181" s="797"/>
      <c r="F181" s="797"/>
      <c r="G181" s="797"/>
      <c r="H181" s="797"/>
      <c r="I181" s="797"/>
      <c r="J181" s="797"/>
      <c r="K181" s="797"/>
      <c r="L181" s="797"/>
      <c r="M181" s="797"/>
      <c r="N181" s="797"/>
      <c r="O181" s="797"/>
      <c r="P181" s="797"/>
      <c r="Q181" s="797"/>
      <c r="R181" s="797"/>
      <c r="S181" s="797"/>
      <c r="T181" s="797"/>
      <c r="U181" s="797"/>
      <c r="V181" s="797"/>
      <c r="W181" s="797"/>
      <c r="X181" s="797"/>
    </row>
    <row r="182" spans="1:24">
      <c r="A182" s="797"/>
      <c r="B182" s="797"/>
      <c r="C182" s="797"/>
      <c r="D182" s="797"/>
      <c r="E182" s="797"/>
      <c r="F182" s="797"/>
      <c r="G182" s="797"/>
      <c r="H182" s="797"/>
      <c r="I182" s="797"/>
      <c r="J182" s="797"/>
      <c r="K182" s="797"/>
      <c r="L182" s="797"/>
      <c r="M182" s="797"/>
      <c r="N182" s="797"/>
      <c r="O182" s="797"/>
      <c r="P182" s="797"/>
      <c r="Q182" s="797"/>
      <c r="R182" s="797"/>
      <c r="S182" s="797"/>
      <c r="T182" s="797"/>
      <c r="U182" s="797"/>
      <c r="V182" s="797"/>
      <c r="W182" s="797"/>
      <c r="X182" s="797"/>
    </row>
    <row r="183" spans="1:24">
      <c r="A183" s="797"/>
      <c r="B183" s="797"/>
      <c r="C183" s="797"/>
      <c r="D183" s="797"/>
      <c r="E183" s="797"/>
      <c r="F183" s="797"/>
      <c r="G183" s="797"/>
      <c r="H183" s="797"/>
      <c r="I183" s="797"/>
      <c r="J183" s="797"/>
      <c r="K183" s="797"/>
      <c r="L183" s="797"/>
      <c r="M183" s="797"/>
      <c r="N183" s="797"/>
      <c r="O183" s="797"/>
      <c r="P183" s="797"/>
      <c r="Q183" s="797"/>
      <c r="R183" s="797"/>
      <c r="S183" s="797"/>
      <c r="T183" s="797"/>
      <c r="U183" s="797"/>
      <c r="V183" s="797"/>
      <c r="W183" s="797"/>
      <c r="X183" s="797"/>
    </row>
    <row r="184" spans="1:24">
      <c r="A184" s="797"/>
      <c r="B184" s="797"/>
      <c r="C184" s="797"/>
      <c r="D184" s="797"/>
      <c r="E184" s="797"/>
      <c r="F184" s="797"/>
      <c r="G184" s="797"/>
      <c r="H184" s="797"/>
      <c r="I184" s="797"/>
      <c r="J184" s="797"/>
      <c r="K184" s="797"/>
      <c r="L184" s="797"/>
      <c r="M184" s="797"/>
      <c r="N184" s="797"/>
      <c r="O184" s="797"/>
      <c r="P184" s="797"/>
      <c r="Q184" s="797"/>
      <c r="R184" s="797"/>
      <c r="S184" s="797"/>
      <c r="T184" s="797"/>
      <c r="U184" s="797"/>
      <c r="V184" s="797"/>
      <c r="W184" s="797"/>
      <c r="X184" s="797"/>
    </row>
    <row r="185" spans="1:24">
      <c r="A185" s="797"/>
      <c r="B185" s="797"/>
      <c r="C185" s="797"/>
      <c r="D185" s="797"/>
      <c r="E185" s="797"/>
      <c r="F185" s="797"/>
      <c r="G185" s="797"/>
      <c r="H185" s="797"/>
      <c r="I185" s="797"/>
      <c r="J185" s="797"/>
      <c r="K185" s="797"/>
      <c r="L185" s="797"/>
      <c r="M185" s="797"/>
      <c r="N185" s="797"/>
      <c r="O185" s="797"/>
      <c r="P185" s="797"/>
      <c r="Q185" s="797"/>
      <c r="R185" s="797"/>
      <c r="S185" s="797"/>
      <c r="T185" s="797"/>
      <c r="U185" s="797"/>
      <c r="V185" s="797"/>
      <c r="W185" s="797"/>
      <c r="X185" s="797"/>
    </row>
    <row r="186" spans="1:24">
      <c r="A186" s="797"/>
      <c r="B186" s="797"/>
      <c r="C186" s="797"/>
      <c r="D186" s="797"/>
      <c r="E186" s="797"/>
      <c r="F186" s="797"/>
      <c r="G186" s="797"/>
      <c r="H186" s="797"/>
      <c r="I186" s="797"/>
      <c r="J186" s="797"/>
      <c r="K186" s="797"/>
      <c r="L186" s="797"/>
      <c r="M186" s="797"/>
      <c r="N186" s="797"/>
      <c r="O186" s="797"/>
      <c r="P186" s="797"/>
      <c r="Q186" s="797"/>
      <c r="R186" s="797"/>
      <c r="S186" s="797"/>
      <c r="T186" s="797"/>
      <c r="U186" s="797"/>
      <c r="V186" s="797"/>
      <c r="W186" s="797"/>
      <c r="X186" s="797"/>
    </row>
    <row r="187" spans="1:24">
      <c r="A187" s="858" t="s">
        <v>455</v>
      </c>
      <c r="B187" s="859" t="s">
        <v>177</v>
      </c>
      <c r="C187" s="865" t="s">
        <v>385</v>
      </c>
      <c r="D187" s="861" t="s">
        <v>390</v>
      </c>
      <c r="E187" s="862"/>
      <c r="F187" s="861" t="s">
        <v>391</v>
      </c>
      <c r="G187" s="862"/>
      <c r="H187" s="865" t="s">
        <v>443</v>
      </c>
      <c r="I187" s="865" t="s">
        <v>389</v>
      </c>
      <c r="J187" s="863" t="s">
        <v>406</v>
      </c>
      <c r="K187" s="864" t="s">
        <v>259</v>
      </c>
      <c r="L187" s="801" t="s">
        <v>485</v>
      </c>
      <c r="M187" s="858" t="s">
        <v>455</v>
      </c>
      <c r="N187" s="859" t="s">
        <v>177</v>
      </c>
      <c r="O187" s="865" t="s">
        <v>385</v>
      </c>
      <c r="P187" s="861" t="s">
        <v>390</v>
      </c>
      <c r="Q187" s="862"/>
      <c r="R187" s="861" t="s">
        <v>391</v>
      </c>
      <c r="S187" s="862"/>
      <c r="T187" s="865" t="s">
        <v>443</v>
      </c>
      <c r="U187" s="865" t="s">
        <v>389</v>
      </c>
      <c r="V187" s="863" t="s">
        <v>406</v>
      </c>
      <c r="W187" s="864" t="s">
        <v>259</v>
      </c>
      <c r="X187" s="801" t="s">
        <v>485</v>
      </c>
    </row>
    <row r="188" spans="1:24" ht="17.25">
      <c r="A188" s="872" t="s">
        <v>456</v>
      </c>
      <c r="B188" s="868" t="s">
        <v>258</v>
      </c>
      <c r="C188" s="873"/>
      <c r="D188" s="869" t="s">
        <v>392</v>
      </c>
      <c r="E188" s="870"/>
      <c r="F188" s="869" t="s">
        <v>392</v>
      </c>
      <c r="G188" s="870"/>
      <c r="H188" s="873"/>
      <c r="I188" s="873"/>
      <c r="J188" s="868" t="s">
        <v>258</v>
      </c>
      <c r="K188" s="864"/>
      <c r="L188" s="871" t="s">
        <v>240</v>
      </c>
      <c r="M188" s="872" t="s">
        <v>456</v>
      </c>
      <c r="N188" s="868" t="s">
        <v>258</v>
      </c>
      <c r="O188" s="873"/>
      <c r="P188" s="869" t="s">
        <v>392</v>
      </c>
      <c r="Q188" s="870"/>
      <c r="R188" s="869" t="s">
        <v>392</v>
      </c>
      <c r="S188" s="870"/>
      <c r="T188" s="873"/>
      <c r="U188" s="873"/>
      <c r="V188" s="868" t="s">
        <v>258</v>
      </c>
      <c r="W188" s="864"/>
      <c r="X188" s="871" t="s">
        <v>240</v>
      </c>
    </row>
    <row r="189" spans="1:24">
      <c r="A189" s="883">
        <f>1000000/K189</f>
        <v>1052.6315789473683</v>
      </c>
      <c r="B189" s="875">
        <f>O6</f>
        <v>40</v>
      </c>
      <c r="C189" s="876" t="s">
        <v>386</v>
      </c>
      <c r="D189" s="866">
        <v>0.5</v>
      </c>
      <c r="E189" s="877"/>
      <c r="F189" s="878">
        <v>1</v>
      </c>
      <c r="G189" s="879"/>
      <c r="H189" s="876">
        <v>243</v>
      </c>
      <c r="I189" s="876">
        <f>(D189*H189*B189)/1000</f>
        <v>4.8600000000000003</v>
      </c>
      <c r="J189" s="913">
        <f>O5</f>
        <v>1.1599999999999999</v>
      </c>
      <c r="K189" s="881">
        <f>O7</f>
        <v>950</v>
      </c>
      <c r="L189" s="882">
        <f>((3.1416*((J189/2)^2)*(B189/2)/1000))*(A189/((B189/2)/1000))</f>
        <v>1112.4570947368418</v>
      </c>
      <c r="M189" s="928">
        <f>1000000/W189</f>
        <v>1052.6315789473683</v>
      </c>
      <c r="N189" s="875">
        <f>B189</f>
        <v>40</v>
      </c>
      <c r="O189" s="876" t="s">
        <v>386</v>
      </c>
      <c r="P189" s="866">
        <v>0.5</v>
      </c>
      <c r="Q189" s="877"/>
      <c r="R189" s="878">
        <v>1</v>
      </c>
      <c r="S189" s="879"/>
      <c r="T189" s="876">
        <v>243</v>
      </c>
      <c r="U189" s="876">
        <f>(P189*T189*N189)/1000</f>
        <v>4.8600000000000003</v>
      </c>
      <c r="V189" s="913">
        <f>J189</f>
        <v>1.1599999999999999</v>
      </c>
      <c r="W189" s="881">
        <f>K189</f>
        <v>950</v>
      </c>
      <c r="X189" s="882">
        <f>((3.1416*((V189/2)^2)*(N189/2)/1000))*(M189/((N189/2)/1000))</f>
        <v>1112.4570947368418</v>
      </c>
    </row>
    <row r="190" spans="1:24">
      <c r="A190" s="883"/>
      <c r="B190" s="885"/>
      <c r="C190" s="876" t="s">
        <v>388</v>
      </c>
      <c r="D190" s="866">
        <v>0.5</v>
      </c>
      <c r="E190" s="877"/>
      <c r="F190" s="878">
        <v>1</v>
      </c>
      <c r="G190" s="879"/>
      <c r="H190" s="876">
        <v>113</v>
      </c>
      <c r="I190" s="876">
        <f>(D190*H190*B189)/1000</f>
        <v>2.2599999999999998</v>
      </c>
      <c r="J190" s="914"/>
      <c r="K190" s="881"/>
      <c r="L190" s="887"/>
      <c r="M190" s="929"/>
      <c r="N190" s="885"/>
      <c r="O190" s="876" t="s">
        <v>388</v>
      </c>
      <c r="P190" s="866">
        <v>0.5</v>
      </c>
      <c r="Q190" s="877"/>
      <c r="R190" s="878">
        <v>1</v>
      </c>
      <c r="S190" s="879"/>
      <c r="T190" s="876">
        <v>113</v>
      </c>
      <c r="U190" s="876">
        <f>(P190*T190*N189)/1000</f>
        <v>2.2599999999999998</v>
      </c>
      <c r="V190" s="914"/>
      <c r="W190" s="881"/>
      <c r="X190" s="887"/>
    </row>
    <row r="191" spans="1:24">
      <c r="A191" s="893"/>
      <c r="B191" s="889"/>
      <c r="C191" s="876" t="s">
        <v>393</v>
      </c>
      <c r="D191" s="866">
        <v>0.5</v>
      </c>
      <c r="E191" s="877"/>
      <c r="F191" s="878">
        <v>1</v>
      </c>
      <c r="G191" s="879"/>
      <c r="H191" s="876">
        <v>130</v>
      </c>
      <c r="I191" s="890">
        <f>(H191*F191*B189)/1000</f>
        <v>5.2</v>
      </c>
      <c r="J191" s="915"/>
      <c r="K191" s="881"/>
      <c r="L191" s="892"/>
      <c r="M191" s="930"/>
      <c r="N191" s="889"/>
      <c r="O191" s="876" t="s">
        <v>393</v>
      </c>
      <c r="P191" s="866">
        <v>0.5</v>
      </c>
      <c r="Q191" s="877"/>
      <c r="R191" s="878">
        <v>1</v>
      </c>
      <c r="S191" s="879"/>
      <c r="T191" s="876">
        <v>130</v>
      </c>
      <c r="U191" s="890">
        <f>(T191*R191*N189)/1000</f>
        <v>5.2</v>
      </c>
      <c r="V191" s="915"/>
      <c r="W191" s="881"/>
      <c r="X191" s="892"/>
    </row>
    <row r="192" spans="1:24">
      <c r="A192" s="797"/>
      <c r="B192" s="797"/>
      <c r="C192" s="876"/>
      <c r="D192" s="866"/>
      <c r="E192" s="877"/>
      <c r="F192" s="878"/>
      <c r="G192" s="879"/>
      <c r="H192" s="876"/>
      <c r="I192" s="876"/>
      <c r="J192" s="776"/>
      <c r="K192" s="797"/>
      <c r="L192" s="797"/>
      <c r="M192" s="797"/>
      <c r="N192" s="797"/>
      <c r="O192" s="876"/>
      <c r="P192" s="866"/>
      <c r="Q192" s="877"/>
      <c r="R192" s="878"/>
      <c r="S192" s="879"/>
      <c r="T192" s="876"/>
      <c r="U192" s="876"/>
      <c r="V192" s="776"/>
      <c r="W192" s="797"/>
      <c r="X192" s="797"/>
    </row>
    <row r="193" spans="1:24">
      <c r="A193" s="817" t="s">
        <v>491</v>
      </c>
      <c r="B193" s="797"/>
      <c r="C193" s="797"/>
      <c r="D193" s="797"/>
      <c r="E193" s="797"/>
      <c r="F193" s="797"/>
      <c r="G193" s="797"/>
      <c r="H193" s="797"/>
      <c r="I193" s="797"/>
      <c r="J193" s="797"/>
      <c r="K193" s="797"/>
      <c r="L193" s="797"/>
      <c r="M193" s="817" t="s">
        <v>491</v>
      </c>
      <c r="N193" s="797"/>
      <c r="O193" s="797"/>
      <c r="P193" s="797"/>
      <c r="Q193" s="797"/>
      <c r="R193" s="797"/>
      <c r="S193" s="797"/>
      <c r="T193" s="797"/>
      <c r="U193" s="797"/>
      <c r="V193" s="797"/>
      <c r="W193" s="797"/>
      <c r="X193" s="797"/>
    </row>
    <row r="194" spans="1:24" ht="17.25">
      <c r="A194" s="819" t="s">
        <v>495</v>
      </c>
      <c r="B194" s="925"/>
      <c r="C194" s="925"/>
      <c r="D194" s="797"/>
      <c r="E194" s="866" t="s">
        <v>394</v>
      </c>
      <c r="F194" s="897"/>
      <c r="G194" s="897"/>
      <c r="H194" s="877"/>
      <c r="I194" s="797"/>
      <c r="J194" s="803"/>
      <c r="K194" s="803"/>
      <c r="L194" s="803"/>
      <c r="M194" s="819" t="s">
        <v>495</v>
      </c>
      <c r="N194" s="895" t="s">
        <v>445</v>
      </c>
      <c r="O194" s="896"/>
      <c r="P194" s="797"/>
      <c r="Q194" s="866" t="s">
        <v>394</v>
      </c>
      <c r="R194" s="897"/>
      <c r="S194" s="897"/>
      <c r="T194" s="877"/>
      <c r="U194" s="797"/>
      <c r="V194" s="864" t="s">
        <v>444</v>
      </c>
      <c r="W194" s="864"/>
      <c r="X194" s="864"/>
    </row>
    <row r="195" spans="1:24">
      <c r="A195" s="799">
        <f>D189*(SQRT(1-(D189^2)))*(((H189+H190)/2)*H191)*(B189/1000)^2</f>
        <v>16.031862274857527</v>
      </c>
      <c r="B195" s="925"/>
      <c r="C195" s="925"/>
      <c r="D195" s="797"/>
      <c r="E195" s="900" t="s">
        <v>396</v>
      </c>
      <c r="F195" s="900" t="s">
        <v>384</v>
      </c>
      <c r="G195" s="900" t="s">
        <v>398</v>
      </c>
      <c r="H195" s="900" t="s">
        <v>405</v>
      </c>
      <c r="I195" s="797"/>
      <c r="J195" s="926"/>
      <c r="K195" s="926"/>
      <c r="L195" s="926"/>
      <c r="M195" s="799">
        <f>P189*(SQRT(1-(P189^2)))*(((T189+T190)/2)*T191)*(N189/1000)^2</f>
        <v>16.031862274857527</v>
      </c>
      <c r="N195" s="916" t="s">
        <v>188</v>
      </c>
      <c r="O195" s="899"/>
      <c r="P195" s="797"/>
      <c r="Q195" s="900" t="s">
        <v>396</v>
      </c>
      <c r="R195" s="900" t="s">
        <v>384</v>
      </c>
      <c r="S195" s="900" t="s">
        <v>398</v>
      </c>
      <c r="T195" s="900" t="s">
        <v>405</v>
      </c>
      <c r="U195" s="797"/>
      <c r="V195" s="901">
        <f>'Mecánica de la Red'!N33</f>
        <v>4.2947839999999999</v>
      </c>
      <c r="W195" s="901"/>
      <c r="X195" s="901"/>
    </row>
    <row r="196" spans="1:24">
      <c r="A196" s="797"/>
      <c r="B196" s="907"/>
      <c r="C196" s="907"/>
      <c r="D196" s="797"/>
      <c r="E196" s="876" t="s">
        <v>395</v>
      </c>
      <c r="F196" s="876">
        <f>(H189-H190)/2</f>
        <v>65</v>
      </c>
      <c r="G196" s="905">
        <f>(H189-H190)/(2*H191)</f>
        <v>0.5</v>
      </c>
      <c r="H196" s="876" t="str">
        <f>VLOOKUP(G196,'Tablas de Referencias'!$A$49:$C$88,3,FALSE)</f>
        <v>1N2B</v>
      </c>
      <c r="I196" s="797"/>
      <c r="J196" s="926"/>
      <c r="K196" s="926"/>
      <c r="L196" s="926"/>
      <c r="M196" s="797"/>
      <c r="N196" s="917">
        <f>COUNTIF(166:167,"H")</f>
        <v>2</v>
      </c>
      <c r="O196" s="904"/>
      <c r="P196" s="797"/>
      <c r="Q196" s="876" t="s">
        <v>395</v>
      </c>
      <c r="R196" s="876">
        <f>(T189-T190)/2</f>
        <v>65</v>
      </c>
      <c r="S196" s="905">
        <f>(T189-T190)/(2*T191)</f>
        <v>0.5</v>
      </c>
      <c r="T196" s="876" t="str">
        <f>VLOOKUP(S196,'Tablas de Referencias'!$A$49:$C$88,3,FALSE)</f>
        <v>1N2B</v>
      </c>
      <c r="U196" s="797"/>
      <c r="V196" s="901"/>
      <c r="W196" s="901"/>
      <c r="X196" s="901"/>
    </row>
    <row r="197" spans="1:24">
      <c r="A197" s="902" t="s">
        <v>473</v>
      </c>
      <c r="B197" s="907"/>
      <c r="C197" s="907"/>
      <c r="D197" s="797"/>
      <c r="E197" s="876"/>
      <c r="F197" s="876"/>
      <c r="G197" s="905"/>
      <c r="H197" s="876"/>
      <c r="I197" s="797"/>
      <c r="J197" s="926"/>
      <c r="K197" s="926"/>
      <c r="L197" s="926"/>
      <c r="M197" s="902" t="s">
        <v>473</v>
      </c>
      <c r="N197" s="927"/>
      <c r="O197" s="908"/>
      <c r="P197" s="797"/>
      <c r="Q197" s="876"/>
      <c r="R197" s="876"/>
      <c r="S197" s="905"/>
      <c r="T197" s="876"/>
      <c r="U197" s="797"/>
      <c r="V197" s="901"/>
      <c r="W197" s="901"/>
      <c r="X197" s="901"/>
    </row>
    <row r="198" spans="1:24">
      <c r="A198" s="780">
        <f>((H189+H190-1)*(H191-0.5))+0.5</f>
        <v>45973</v>
      </c>
      <c r="B198" s="907"/>
      <c r="C198" s="907"/>
      <c r="D198" s="797"/>
      <c r="E198" s="797"/>
      <c r="F198" s="797"/>
      <c r="G198" s="797"/>
      <c r="H198" s="797"/>
      <c r="I198" s="797"/>
      <c r="J198" s="797"/>
      <c r="K198" s="797"/>
      <c r="L198" s="797"/>
      <c r="M198" s="780">
        <f>((T189+T190-1)*(T191-0.5))+0.5</f>
        <v>45973</v>
      </c>
      <c r="N198" s="910"/>
      <c r="O198" s="911"/>
      <c r="P198" s="797"/>
      <c r="Q198" s="797"/>
      <c r="R198" s="797"/>
      <c r="S198" s="797"/>
      <c r="T198" s="797"/>
      <c r="U198" s="797"/>
      <c r="V198" s="797"/>
      <c r="W198" s="797"/>
      <c r="X198" s="797"/>
    </row>
    <row r="199" spans="1:24" ht="15" customHeight="1">
      <c r="A199" s="931" t="s">
        <v>449</v>
      </c>
      <c r="B199" s="932" t="s">
        <v>516</v>
      </c>
      <c r="C199" s="932"/>
      <c r="D199" s="932"/>
      <c r="E199" s="932"/>
      <c r="F199" s="932"/>
      <c r="G199" s="932"/>
      <c r="H199" s="932"/>
      <c r="I199" s="932"/>
      <c r="J199" s="932"/>
      <c r="K199" s="932"/>
      <c r="L199" s="932"/>
      <c r="M199" s="933" t="s">
        <v>452</v>
      </c>
      <c r="N199" s="933" t="s">
        <v>520</v>
      </c>
      <c r="O199" s="933"/>
      <c r="P199" s="933"/>
      <c r="Q199" s="933"/>
      <c r="R199" s="933"/>
      <c r="S199" s="933"/>
      <c r="T199" s="933"/>
      <c r="U199" s="933"/>
      <c r="V199" s="933"/>
      <c r="W199" s="933"/>
      <c r="X199" s="933"/>
    </row>
    <row r="200" spans="1:24" ht="15" customHeight="1">
      <c r="A200" s="931"/>
      <c r="B200" s="932"/>
      <c r="C200" s="932"/>
      <c r="D200" s="932"/>
      <c r="E200" s="932"/>
      <c r="F200" s="932"/>
      <c r="G200" s="932"/>
      <c r="H200" s="932"/>
      <c r="I200" s="932"/>
      <c r="J200" s="932"/>
      <c r="K200" s="932"/>
      <c r="L200" s="932"/>
      <c r="M200" s="933"/>
      <c r="N200" s="933"/>
      <c r="O200" s="933"/>
      <c r="P200" s="933"/>
      <c r="Q200" s="933"/>
      <c r="R200" s="933"/>
      <c r="S200" s="933"/>
      <c r="T200" s="933"/>
      <c r="U200" s="933"/>
      <c r="V200" s="933"/>
      <c r="W200" s="933"/>
      <c r="X200" s="933"/>
    </row>
    <row r="201" spans="1:24">
      <c r="A201" s="797"/>
      <c r="B201" s="797"/>
      <c r="C201" s="797"/>
      <c r="D201" s="797"/>
      <c r="E201" s="797"/>
      <c r="F201" s="797"/>
      <c r="G201" s="797"/>
      <c r="H201" s="797"/>
      <c r="I201" s="797"/>
      <c r="J201" s="797"/>
      <c r="K201" s="797"/>
      <c r="L201" s="797"/>
      <c r="M201" s="797"/>
      <c r="N201" s="797"/>
      <c r="O201" s="797"/>
      <c r="P201" s="797"/>
      <c r="Q201" s="797"/>
      <c r="R201" s="797"/>
      <c r="S201" s="797"/>
      <c r="T201" s="797"/>
      <c r="U201" s="797"/>
      <c r="V201" s="797"/>
      <c r="W201" s="797"/>
      <c r="X201" s="797"/>
    </row>
    <row r="202" spans="1:24">
      <c r="A202" s="797"/>
      <c r="B202" s="797"/>
      <c r="C202" s="797"/>
      <c r="D202" s="797"/>
      <c r="E202" s="797"/>
      <c r="F202" s="797"/>
      <c r="G202" s="797"/>
      <c r="H202" s="797"/>
      <c r="I202" s="797"/>
      <c r="J202" s="797"/>
      <c r="K202" s="797"/>
      <c r="L202" s="797"/>
      <c r="M202" s="797"/>
      <c r="N202" s="797"/>
      <c r="O202" s="797"/>
      <c r="P202" s="797"/>
      <c r="Q202" s="797"/>
      <c r="R202" s="797"/>
      <c r="S202" s="797"/>
      <c r="T202" s="797"/>
      <c r="U202" s="797"/>
      <c r="V202" s="797"/>
      <c r="W202" s="797"/>
      <c r="X202" s="797"/>
    </row>
    <row r="203" spans="1:24">
      <c r="A203" s="797"/>
      <c r="B203" s="797"/>
      <c r="C203" s="797"/>
      <c r="D203" s="797"/>
      <c r="E203" s="797"/>
      <c r="F203" s="797"/>
      <c r="G203" s="797"/>
      <c r="H203" s="797"/>
      <c r="I203" s="797"/>
      <c r="J203" s="797"/>
      <c r="K203" s="797"/>
      <c r="L203" s="797"/>
      <c r="M203" s="797"/>
      <c r="N203" s="797"/>
      <c r="O203" s="797"/>
      <c r="P203" s="797"/>
      <c r="Q203" s="797"/>
      <c r="R203" s="797"/>
      <c r="S203" s="797"/>
      <c r="T203" s="797"/>
      <c r="U203" s="797"/>
      <c r="V203" s="797"/>
      <c r="W203" s="797"/>
      <c r="X203" s="797"/>
    </row>
    <row r="204" spans="1:24">
      <c r="A204" s="797"/>
      <c r="B204" s="797"/>
      <c r="C204" s="797"/>
      <c r="D204" s="797"/>
      <c r="E204" s="797"/>
      <c r="F204" s="797"/>
      <c r="G204" s="797"/>
      <c r="H204" s="797"/>
      <c r="I204" s="797"/>
      <c r="J204" s="797"/>
      <c r="K204" s="797"/>
      <c r="L204" s="797"/>
      <c r="M204" s="797"/>
      <c r="N204" s="797"/>
      <c r="O204" s="797"/>
      <c r="P204" s="797"/>
      <c r="Q204" s="797"/>
      <c r="R204" s="797"/>
      <c r="S204" s="797"/>
      <c r="T204" s="797"/>
      <c r="U204" s="797"/>
      <c r="V204" s="797"/>
      <c r="W204" s="797"/>
      <c r="X204" s="797"/>
    </row>
    <row r="205" spans="1:24">
      <c r="A205" s="797"/>
      <c r="B205" s="797"/>
      <c r="C205" s="797"/>
      <c r="D205" s="797"/>
      <c r="E205" s="797"/>
      <c r="F205" s="797"/>
      <c r="G205" s="797"/>
      <c r="H205" s="797"/>
      <c r="I205" s="797"/>
      <c r="J205" s="797"/>
      <c r="K205" s="797"/>
      <c r="L205" s="797"/>
      <c r="M205" s="797"/>
      <c r="N205" s="797"/>
      <c r="O205" s="797"/>
      <c r="P205" s="797"/>
      <c r="Q205" s="797"/>
      <c r="R205" s="797"/>
      <c r="S205" s="797"/>
      <c r="T205" s="797"/>
      <c r="U205" s="797"/>
      <c r="V205" s="797"/>
      <c r="W205" s="797"/>
      <c r="X205" s="797"/>
    </row>
    <row r="206" spans="1:24">
      <c r="A206" s="797"/>
      <c r="B206" s="797"/>
      <c r="C206" s="797"/>
      <c r="D206" s="797"/>
      <c r="E206" s="797"/>
      <c r="F206" s="797"/>
      <c r="G206" s="797"/>
      <c r="H206" s="797"/>
      <c r="I206" s="797"/>
      <c r="J206" s="797"/>
      <c r="K206" s="797"/>
      <c r="L206" s="797"/>
      <c r="M206" s="797"/>
      <c r="N206" s="797"/>
      <c r="O206" s="797"/>
      <c r="P206" s="797"/>
      <c r="Q206" s="797"/>
      <c r="R206" s="797"/>
      <c r="S206" s="797"/>
      <c r="T206" s="797"/>
      <c r="U206" s="797"/>
      <c r="V206" s="797"/>
      <c r="W206" s="797"/>
      <c r="X206" s="797"/>
    </row>
    <row r="207" spans="1:24">
      <c r="A207" s="797"/>
      <c r="B207" s="797"/>
      <c r="C207" s="797"/>
      <c r="D207" s="797"/>
      <c r="E207" s="797"/>
      <c r="F207" s="797"/>
      <c r="G207" s="797"/>
      <c r="H207" s="797"/>
      <c r="I207" s="797"/>
      <c r="J207" s="797"/>
      <c r="K207" s="797"/>
      <c r="L207" s="797"/>
      <c r="M207" s="797"/>
      <c r="N207" s="797"/>
      <c r="O207" s="797"/>
      <c r="P207" s="797"/>
      <c r="Q207" s="797"/>
      <c r="R207" s="797"/>
      <c r="S207" s="797"/>
      <c r="T207" s="797"/>
      <c r="U207" s="797"/>
      <c r="V207" s="797"/>
      <c r="W207" s="797"/>
      <c r="X207" s="797"/>
    </row>
    <row r="208" spans="1:24">
      <c r="A208" s="797"/>
      <c r="B208" s="797"/>
      <c r="C208" s="797"/>
      <c r="D208" s="797"/>
      <c r="E208" s="797"/>
      <c r="F208" s="797"/>
      <c r="G208" s="797"/>
      <c r="H208" s="797"/>
      <c r="I208" s="797"/>
      <c r="J208" s="797"/>
      <c r="K208" s="797"/>
      <c r="L208" s="797"/>
      <c r="M208" s="797"/>
      <c r="N208" s="797"/>
      <c r="O208" s="797"/>
      <c r="P208" s="797"/>
      <c r="Q208" s="797"/>
      <c r="R208" s="797"/>
      <c r="S208" s="797"/>
      <c r="T208" s="797"/>
      <c r="U208" s="797"/>
      <c r="V208" s="797"/>
      <c r="W208" s="797"/>
      <c r="X208" s="797"/>
    </row>
    <row r="209" spans="1:25">
      <c r="A209" s="797"/>
      <c r="B209" s="797"/>
      <c r="C209" s="797"/>
      <c r="D209" s="797"/>
      <c r="E209" s="797"/>
      <c r="F209" s="797"/>
      <c r="G209" s="797"/>
      <c r="H209" s="797"/>
      <c r="I209" s="797"/>
      <c r="J209" s="797"/>
      <c r="K209" s="797"/>
      <c r="L209" s="797"/>
      <c r="M209" s="797"/>
      <c r="N209" s="797"/>
      <c r="O209" s="797"/>
      <c r="P209" s="797"/>
      <c r="Q209" s="797"/>
      <c r="R209" s="797"/>
      <c r="S209" s="797"/>
      <c r="T209" s="797"/>
      <c r="U209" s="797"/>
      <c r="V209" s="797"/>
      <c r="W209" s="797"/>
      <c r="X209" s="797"/>
    </row>
    <row r="210" spans="1:25">
      <c r="A210" s="797"/>
      <c r="B210" s="797"/>
      <c r="C210" s="797"/>
      <c r="D210" s="797"/>
      <c r="E210" s="797"/>
      <c r="F210" s="797"/>
      <c r="G210" s="797"/>
      <c r="H210" s="797"/>
      <c r="I210" s="797"/>
      <c r="J210" s="797"/>
      <c r="K210" s="797"/>
      <c r="L210" s="797"/>
      <c r="M210" s="797"/>
      <c r="N210" s="797"/>
      <c r="O210" s="797"/>
      <c r="P210" s="797"/>
      <c r="Q210" s="797"/>
      <c r="R210" s="797"/>
      <c r="S210" s="797"/>
      <c r="T210" s="797"/>
      <c r="U210" s="797"/>
      <c r="V210" s="797"/>
      <c r="W210" s="797"/>
      <c r="X210" s="797"/>
    </row>
    <row r="211" spans="1:25">
      <c r="A211" s="797"/>
      <c r="B211" s="797"/>
      <c r="C211" s="797"/>
      <c r="D211" s="797"/>
      <c r="E211" s="797"/>
      <c r="F211" s="797"/>
      <c r="G211" s="797"/>
      <c r="H211" s="797"/>
      <c r="I211" s="797"/>
      <c r="J211" s="797"/>
      <c r="K211" s="797"/>
      <c r="L211" s="797"/>
      <c r="M211" s="797"/>
      <c r="N211" s="797"/>
      <c r="O211" s="797"/>
      <c r="P211" s="797"/>
      <c r="Q211" s="797"/>
      <c r="R211" s="797"/>
      <c r="S211" s="797"/>
      <c r="T211" s="797"/>
      <c r="U211" s="797"/>
      <c r="V211" s="797"/>
      <c r="W211" s="797"/>
      <c r="X211" s="797"/>
    </row>
    <row r="212" spans="1:25">
      <c r="A212" s="797"/>
      <c r="B212" s="797"/>
      <c r="C212" s="797"/>
      <c r="D212" s="797"/>
      <c r="E212" s="797"/>
      <c r="F212" s="797"/>
      <c r="G212" s="797"/>
      <c r="H212" s="797"/>
      <c r="I212" s="797"/>
      <c r="J212" s="797"/>
      <c r="K212" s="797"/>
      <c r="L212" s="797"/>
      <c r="M212" s="797"/>
      <c r="N212" s="797"/>
      <c r="O212" s="797"/>
      <c r="P212" s="797"/>
      <c r="Q212" s="797"/>
      <c r="R212" s="797"/>
      <c r="S212" s="797"/>
      <c r="T212" s="797"/>
      <c r="U212" s="797"/>
      <c r="V212" s="797"/>
      <c r="W212" s="797"/>
      <c r="X212" s="797"/>
    </row>
    <row r="213" spans="1:25">
      <c r="A213" s="797"/>
      <c r="B213" s="797"/>
      <c r="C213" s="797"/>
      <c r="D213" s="797"/>
      <c r="E213" s="797"/>
      <c r="F213" s="797"/>
      <c r="G213" s="797"/>
      <c r="H213" s="797"/>
      <c r="I213" s="797"/>
      <c r="J213" s="797"/>
      <c r="K213" s="797"/>
      <c r="L213" s="797"/>
      <c r="M213" s="797"/>
      <c r="N213" s="797"/>
      <c r="O213" s="797"/>
      <c r="P213" s="797"/>
      <c r="Q213" s="797"/>
      <c r="R213" s="797"/>
      <c r="S213" s="797"/>
      <c r="T213" s="797"/>
      <c r="U213" s="797"/>
      <c r="V213" s="797"/>
      <c r="W213" s="797"/>
      <c r="X213" s="797"/>
    </row>
    <row r="214" spans="1:25">
      <c r="A214" s="797"/>
      <c r="B214" s="797"/>
      <c r="C214" s="797"/>
      <c r="D214" s="797"/>
      <c r="E214" s="797"/>
      <c r="F214" s="797"/>
      <c r="G214" s="797"/>
      <c r="H214" s="797"/>
      <c r="I214" s="797"/>
      <c r="J214" s="797"/>
      <c r="K214" s="797"/>
      <c r="L214" s="797"/>
      <c r="M214" s="797"/>
      <c r="N214" s="797"/>
      <c r="O214" s="797"/>
      <c r="P214" s="797"/>
      <c r="Q214" s="797"/>
      <c r="R214" s="797"/>
      <c r="S214" s="797"/>
      <c r="T214" s="797"/>
      <c r="U214" s="797"/>
      <c r="V214" s="797"/>
      <c r="W214" s="797"/>
      <c r="X214" s="797"/>
    </row>
    <row r="215" spans="1:25">
      <c r="A215" s="797"/>
      <c r="B215" s="797"/>
      <c r="C215" s="797"/>
      <c r="D215" s="797"/>
      <c r="E215" s="797"/>
      <c r="F215" s="797"/>
      <c r="G215" s="797"/>
      <c r="H215" s="797"/>
      <c r="I215" s="797"/>
      <c r="J215" s="797"/>
      <c r="K215" s="797"/>
      <c r="L215" s="797"/>
      <c r="M215" s="797"/>
      <c r="N215" s="797"/>
      <c r="O215" s="797"/>
      <c r="P215" s="797"/>
      <c r="Q215" s="797"/>
      <c r="R215" s="797"/>
      <c r="S215" s="797"/>
      <c r="T215" s="797"/>
      <c r="U215" s="797"/>
      <c r="V215" s="797"/>
      <c r="W215" s="797"/>
      <c r="X215" s="797"/>
      <c r="Y215" s="219"/>
    </row>
    <row r="216" spans="1:25">
      <c r="A216" s="797"/>
      <c r="B216" s="797"/>
      <c r="C216" s="797"/>
      <c r="D216" s="797"/>
      <c r="E216" s="797"/>
      <c r="F216" s="797"/>
      <c r="G216" s="797"/>
      <c r="H216" s="797"/>
      <c r="I216" s="797"/>
      <c r="J216" s="797"/>
      <c r="K216" s="797"/>
      <c r="L216" s="797"/>
      <c r="M216" s="797"/>
      <c r="N216" s="797"/>
      <c r="O216" s="797"/>
      <c r="P216" s="797"/>
      <c r="Q216" s="797"/>
      <c r="R216" s="797"/>
      <c r="S216" s="797"/>
      <c r="T216" s="797"/>
      <c r="U216" s="797"/>
      <c r="V216" s="797"/>
      <c r="W216" s="797"/>
      <c r="X216" s="797"/>
      <c r="Y216" s="219"/>
    </row>
    <row r="217" spans="1:25">
      <c r="A217" s="797"/>
      <c r="B217" s="797"/>
      <c r="C217" s="797"/>
      <c r="D217" s="797"/>
      <c r="E217" s="797"/>
      <c r="F217" s="797"/>
      <c r="G217" s="797"/>
      <c r="H217" s="797"/>
      <c r="I217" s="797"/>
      <c r="J217" s="797"/>
      <c r="K217" s="797"/>
      <c r="L217" s="797"/>
      <c r="M217" s="797"/>
      <c r="N217" s="797"/>
      <c r="O217" s="797"/>
      <c r="P217" s="797"/>
      <c r="Q217" s="797"/>
      <c r="R217" s="797"/>
      <c r="S217" s="797"/>
      <c r="T217" s="797"/>
      <c r="U217" s="797"/>
      <c r="V217" s="797"/>
      <c r="W217" s="797"/>
      <c r="X217" s="797"/>
    </row>
    <row r="218" spans="1:25">
      <c r="A218" s="797"/>
      <c r="B218" s="797"/>
      <c r="C218" s="797"/>
      <c r="D218" s="797"/>
      <c r="E218" s="797"/>
      <c r="F218" s="797"/>
      <c r="G218" s="797"/>
      <c r="H218" s="797"/>
      <c r="I218" s="797"/>
      <c r="J218" s="797"/>
      <c r="K218" s="797"/>
      <c r="L218" s="797"/>
      <c r="M218" s="797"/>
      <c r="N218" s="797"/>
      <c r="O218" s="797"/>
      <c r="P218" s="797"/>
      <c r="Q218" s="797"/>
      <c r="R218" s="797"/>
      <c r="S218" s="797"/>
      <c r="T218" s="797"/>
      <c r="U218" s="797"/>
      <c r="V218" s="797"/>
      <c r="W218" s="797"/>
      <c r="X218" s="797"/>
    </row>
    <row r="219" spans="1:25">
      <c r="A219" s="797"/>
      <c r="B219" s="797"/>
      <c r="C219" s="797"/>
      <c r="D219" s="797"/>
      <c r="E219" s="797"/>
      <c r="F219" s="797"/>
      <c r="G219" s="797"/>
      <c r="H219" s="797"/>
      <c r="I219" s="797"/>
      <c r="J219" s="797"/>
      <c r="K219" s="797"/>
      <c r="L219" s="797"/>
      <c r="M219" s="797"/>
      <c r="N219" s="797"/>
      <c r="O219" s="797"/>
      <c r="P219" s="797"/>
      <c r="Q219" s="797"/>
      <c r="R219" s="797"/>
      <c r="S219" s="797"/>
      <c r="T219" s="797"/>
      <c r="U219" s="797"/>
      <c r="V219" s="797"/>
      <c r="W219" s="797"/>
      <c r="X219" s="797"/>
    </row>
    <row r="220" spans="1:25">
      <c r="A220" s="858" t="s">
        <v>455</v>
      </c>
      <c r="B220" s="859" t="s">
        <v>177</v>
      </c>
      <c r="C220" s="865" t="s">
        <v>385</v>
      </c>
      <c r="D220" s="861" t="s">
        <v>390</v>
      </c>
      <c r="E220" s="862"/>
      <c r="F220" s="861" t="s">
        <v>391</v>
      </c>
      <c r="G220" s="862"/>
      <c r="H220" s="865" t="s">
        <v>443</v>
      </c>
      <c r="I220" s="865" t="s">
        <v>389</v>
      </c>
      <c r="J220" s="863" t="s">
        <v>406</v>
      </c>
      <c r="K220" s="864" t="s">
        <v>259</v>
      </c>
      <c r="L220" s="801" t="s">
        <v>485</v>
      </c>
      <c r="M220" s="858" t="s">
        <v>455</v>
      </c>
      <c r="N220" s="859" t="s">
        <v>177</v>
      </c>
      <c r="O220" s="865" t="s">
        <v>385</v>
      </c>
      <c r="P220" s="861" t="s">
        <v>390</v>
      </c>
      <c r="Q220" s="862"/>
      <c r="R220" s="861" t="s">
        <v>391</v>
      </c>
      <c r="S220" s="862"/>
      <c r="T220" s="865" t="s">
        <v>443</v>
      </c>
      <c r="U220" s="865" t="s">
        <v>389</v>
      </c>
      <c r="V220" s="863" t="s">
        <v>406</v>
      </c>
      <c r="W220" s="864" t="s">
        <v>259</v>
      </c>
      <c r="X220" s="801" t="s">
        <v>485</v>
      </c>
    </row>
    <row r="221" spans="1:25" ht="17.25">
      <c r="A221" s="872" t="s">
        <v>456</v>
      </c>
      <c r="B221" s="868" t="s">
        <v>258</v>
      </c>
      <c r="C221" s="873"/>
      <c r="D221" s="869" t="s">
        <v>392</v>
      </c>
      <c r="E221" s="870"/>
      <c r="F221" s="869" t="s">
        <v>392</v>
      </c>
      <c r="G221" s="870"/>
      <c r="H221" s="873"/>
      <c r="I221" s="873"/>
      <c r="J221" s="868" t="s">
        <v>258</v>
      </c>
      <c r="K221" s="864"/>
      <c r="L221" s="871" t="s">
        <v>240</v>
      </c>
      <c r="M221" s="872" t="s">
        <v>456</v>
      </c>
      <c r="N221" s="868" t="s">
        <v>258</v>
      </c>
      <c r="O221" s="873"/>
      <c r="P221" s="869" t="s">
        <v>392</v>
      </c>
      <c r="Q221" s="870"/>
      <c r="R221" s="869" t="s">
        <v>392</v>
      </c>
      <c r="S221" s="870"/>
      <c r="T221" s="873"/>
      <c r="U221" s="873"/>
      <c r="V221" s="868" t="s">
        <v>258</v>
      </c>
      <c r="W221" s="864"/>
      <c r="X221" s="871" t="s">
        <v>240</v>
      </c>
    </row>
    <row r="222" spans="1:25">
      <c r="A222" s="883">
        <f>1000000/K222</f>
        <v>781.25</v>
      </c>
      <c r="B222" s="875">
        <f>O22</f>
        <v>40</v>
      </c>
      <c r="C222" s="876" t="s">
        <v>386</v>
      </c>
      <c r="D222" s="866">
        <v>0.5</v>
      </c>
      <c r="E222" s="877"/>
      <c r="F222" s="878">
        <v>1</v>
      </c>
      <c r="G222" s="879"/>
      <c r="H222" s="876">
        <v>113</v>
      </c>
      <c r="I222" s="876">
        <f>(D222*H222*B222)/1000</f>
        <v>2.2599999999999998</v>
      </c>
      <c r="J222" s="913">
        <f>O21</f>
        <v>1.37</v>
      </c>
      <c r="K222" s="881">
        <f>O23</f>
        <v>1280</v>
      </c>
      <c r="L222" s="882">
        <f>((3.1416*((J222/2)^2)*(B222/2)/1000))*(A222/((B222/2)/1000))</f>
        <v>1151.6541093750002</v>
      </c>
      <c r="M222" s="883">
        <f>1000000/W222</f>
        <v>781.25</v>
      </c>
      <c r="N222" s="875">
        <f>B222</f>
        <v>40</v>
      </c>
      <c r="O222" s="876" t="s">
        <v>386</v>
      </c>
      <c r="P222" s="866">
        <v>0.5</v>
      </c>
      <c r="Q222" s="877"/>
      <c r="R222" s="878">
        <v>1</v>
      </c>
      <c r="S222" s="879"/>
      <c r="T222" s="876">
        <v>113</v>
      </c>
      <c r="U222" s="876">
        <f>(P222*T222*N222)/1000</f>
        <v>2.2599999999999998</v>
      </c>
      <c r="V222" s="913">
        <f>J222</f>
        <v>1.37</v>
      </c>
      <c r="W222" s="881">
        <f>K222</f>
        <v>1280</v>
      </c>
      <c r="X222" s="882">
        <f>((3.1416*((V222/2)^2)*(N222/2)/1000))*(M222/((N222/2)/1000))</f>
        <v>1151.6541093750002</v>
      </c>
    </row>
    <row r="223" spans="1:25">
      <c r="A223" s="883"/>
      <c r="B223" s="885"/>
      <c r="C223" s="876" t="s">
        <v>388</v>
      </c>
      <c r="D223" s="866">
        <v>0.5</v>
      </c>
      <c r="E223" s="877"/>
      <c r="F223" s="878">
        <v>1</v>
      </c>
      <c r="G223" s="879"/>
      <c r="H223" s="876">
        <v>113</v>
      </c>
      <c r="I223" s="876">
        <f>(D223*H223*B222)/1000</f>
        <v>2.2599999999999998</v>
      </c>
      <c r="J223" s="914"/>
      <c r="K223" s="881"/>
      <c r="L223" s="887"/>
      <c r="M223" s="883"/>
      <c r="N223" s="885"/>
      <c r="O223" s="876" t="s">
        <v>388</v>
      </c>
      <c r="P223" s="866">
        <v>0.5</v>
      </c>
      <c r="Q223" s="877"/>
      <c r="R223" s="878">
        <v>1</v>
      </c>
      <c r="S223" s="879"/>
      <c r="T223" s="876">
        <v>113</v>
      </c>
      <c r="U223" s="876">
        <f>(P223*T223*N222)/1000</f>
        <v>2.2599999999999998</v>
      </c>
      <c r="V223" s="914"/>
      <c r="W223" s="881"/>
      <c r="X223" s="887"/>
    </row>
    <row r="224" spans="1:25">
      <c r="A224" s="893"/>
      <c r="B224" s="889"/>
      <c r="C224" s="876" t="s">
        <v>393</v>
      </c>
      <c r="D224" s="866">
        <v>0.5</v>
      </c>
      <c r="E224" s="877"/>
      <c r="F224" s="878">
        <v>1</v>
      </c>
      <c r="G224" s="879"/>
      <c r="H224" s="876">
        <v>200</v>
      </c>
      <c r="I224" s="890">
        <f>(H224*F224*B222)/1000</f>
        <v>8</v>
      </c>
      <c r="J224" s="915"/>
      <c r="K224" s="881"/>
      <c r="L224" s="892"/>
      <c r="M224" s="893"/>
      <c r="N224" s="889"/>
      <c r="O224" s="876" t="s">
        <v>393</v>
      </c>
      <c r="P224" s="866">
        <v>0.5</v>
      </c>
      <c r="Q224" s="877"/>
      <c r="R224" s="878">
        <v>1</v>
      </c>
      <c r="S224" s="879"/>
      <c r="T224" s="876">
        <v>250</v>
      </c>
      <c r="U224" s="890">
        <f>(T224*R224*N222)/1000</f>
        <v>10</v>
      </c>
      <c r="V224" s="915"/>
      <c r="W224" s="881"/>
      <c r="X224" s="892"/>
    </row>
    <row r="225" spans="1:24">
      <c r="A225" s="797"/>
      <c r="B225" s="797"/>
      <c r="C225" s="876"/>
      <c r="D225" s="866"/>
      <c r="E225" s="877"/>
      <c r="F225" s="878"/>
      <c r="G225" s="879"/>
      <c r="H225" s="876"/>
      <c r="I225" s="876"/>
      <c r="J225" s="776"/>
      <c r="K225" s="797"/>
      <c r="L225" s="797"/>
      <c r="M225" s="797"/>
      <c r="N225" s="797"/>
      <c r="O225" s="876"/>
      <c r="P225" s="866"/>
      <c r="Q225" s="877"/>
      <c r="R225" s="878"/>
      <c r="S225" s="879"/>
      <c r="T225" s="876"/>
      <c r="U225" s="876"/>
      <c r="V225" s="776"/>
      <c r="W225" s="797"/>
      <c r="X225" s="797"/>
    </row>
    <row r="226" spans="1:24">
      <c r="A226" s="806" t="s">
        <v>491</v>
      </c>
      <c r="B226" s="797"/>
      <c r="C226" s="797"/>
      <c r="D226" s="797"/>
      <c r="E226" s="797"/>
      <c r="F226" s="797"/>
      <c r="G226" s="797"/>
      <c r="H226" s="797"/>
      <c r="I226" s="797"/>
      <c r="J226" s="797"/>
      <c r="K226" s="797"/>
      <c r="L226" s="797"/>
      <c r="M226" s="817" t="s">
        <v>491</v>
      </c>
      <c r="N226" s="797"/>
      <c r="O226" s="797"/>
      <c r="P226" s="797"/>
      <c r="Q226" s="797"/>
      <c r="R226" s="797"/>
      <c r="S226" s="797"/>
      <c r="T226" s="797"/>
      <c r="U226" s="797"/>
      <c r="V226" s="797"/>
      <c r="W226" s="797"/>
      <c r="X226" s="797"/>
    </row>
    <row r="227" spans="1:24" ht="17.25">
      <c r="A227" s="810" t="s">
        <v>492</v>
      </c>
      <c r="B227" s="895" t="s">
        <v>445</v>
      </c>
      <c r="C227" s="896"/>
      <c r="D227" s="797"/>
      <c r="E227" s="866" t="s">
        <v>394</v>
      </c>
      <c r="F227" s="897"/>
      <c r="G227" s="897"/>
      <c r="H227" s="877"/>
      <c r="I227" s="797"/>
      <c r="J227" s="864" t="s">
        <v>444</v>
      </c>
      <c r="K227" s="864"/>
      <c r="L227" s="866"/>
      <c r="M227" s="819" t="s">
        <v>495</v>
      </c>
      <c r="N227" s="895" t="s">
        <v>445</v>
      </c>
      <c r="O227" s="896"/>
      <c r="P227" s="797"/>
      <c r="Q227" s="866" t="s">
        <v>394</v>
      </c>
      <c r="R227" s="897"/>
      <c r="S227" s="897"/>
      <c r="T227" s="877"/>
      <c r="U227" s="797"/>
      <c r="V227" s="864" t="s">
        <v>444</v>
      </c>
      <c r="W227" s="864"/>
      <c r="X227" s="864"/>
    </row>
    <row r="228" spans="1:24">
      <c r="A228" s="799">
        <f>D222*(SQRT(1-(D222^2)))*(((H222+H223)/2)*H224)*(B222/1000)^2</f>
        <v>15.65773930042265</v>
      </c>
      <c r="B228" s="916" t="s">
        <v>449</v>
      </c>
      <c r="C228" s="899"/>
      <c r="D228" s="797"/>
      <c r="E228" s="900" t="s">
        <v>385</v>
      </c>
      <c r="F228" s="900" t="s">
        <v>384</v>
      </c>
      <c r="G228" s="900" t="s">
        <v>398</v>
      </c>
      <c r="H228" s="900" t="s">
        <v>405</v>
      </c>
      <c r="I228" s="797"/>
      <c r="J228" s="901">
        <f>'Mecánica de la Red'!N36</f>
        <v>3.4304800000000006</v>
      </c>
      <c r="K228" s="901"/>
      <c r="L228" s="918"/>
      <c r="M228" s="799">
        <f>P222*(SQRT(1-(P222^2)))*(((T222+T223)/2)*T224)*(N222/1000)^2</f>
        <v>19.572174125528313</v>
      </c>
      <c r="N228" s="916" t="s">
        <v>452</v>
      </c>
      <c r="O228" s="899"/>
      <c r="P228" s="797"/>
      <c r="Q228" s="900" t="s">
        <v>385</v>
      </c>
      <c r="R228" s="900" t="s">
        <v>384</v>
      </c>
      <c r="S228" s="900" t="s">
        <v>398</v>
      </c>
      <c r="T228" s="900" t="s">
        <v>405</v>
      </c>
      <c r="U228" s="797"/>
      <c r="V228" s="901">
        <f>'Mecánica de la Red'!N37</f>
        <v>4.2881</v>
      </c>
      <c r="W228" s="901"/>
      <c r="X228" s="901"/>
    </row>
    <row r="229" spans="1:24">
      <c r="A229" s="797"/>
      <c r="B229" s="917">
        <f>COUNTIF(199:200,"I")</f>
        <v>1</v>
      </c>
      <c r="C229" s="904"/>
      <c r="D229" s="797"/>
      <c r="E229" s="876" t="s">
        <v>393</v>
      </c>
      <c r="F229" s="876">
        <f>H224</f>
        <v>200</v>
      </c>
      <c r="G229" s="905">
        <f>H224/H224</f>
        <v>1</v>
      </c>
      <c r="H229" s="876" t="str">
        <f>VLOOKUP(G229,'Tablas de Referencias'!$A$49:$C$88,3,FALSE)</f>
        <v>AB</v>
      </c>
      <c r="I229" s="797"/>
      <c r="J229" s="901"/>
      <c r="K229" s="901"/>
      <c r="L229" s="901"/>
      <c r="M229" s="797"/>
      <c r="N229" s="917">
        <f>COUNTIF(199:200,"J")</f>
        <v>1</v>
      </c>
      <c r="O229" s="904"/>
      <c r="P229" s="797"/>
      <c r="Q229" s="876" t="s">
        <v>393</v>
      </c>
      <c r="R229" s="876">
        <f>T224</f>
        <v>250</v>
      </c>
      <c r="S229" s="905">
        <f>T224/T224</f>
        <v>1</v>
      </c>
      <c r="T229" s="876" t="str">
        <f>VLOOKUP(S229,'Tablas de Referencias'!$A$49:$C$88,3,FALSE)</f>
        <v>AB</v>
      </c>
      <c r="U229" s="797"/>
      <c r="V229" s="901"/>
      <c r="W229" s="901"/>
      <c r="X229" s="901"/>
    </row>
    <row r="230" spans="1:24">
      <c r="A230" s="780" t="s">
        <v>473</v>
      </c>
      <c r="B230" s="927"/>
      <c r="C230" s="908"/>
      <c r="D230" s="797"/>
      <c r="E230" s="876" t="s">
        <v>246</v>
      </c>
      <c r="F230" s="876">
        <f>H222</f>
        <v>113</v>
      </c>
      <c r="G230" s="905">
        <f>H222/H223</f>
        <v>1</v>
      </c>
      <c r="H230" s="876" t="str">
        <f>VLOOKUP(G230,'Tablas de Referencias'!$A$49:$C$88,3,FALSE)</f>
        <v>AB</v>
      </c>
      <c r="I230" s="797"/>
      <c r="J230" s="901"/>
      <c r="K230" s="901"/>
      <c r="L230" s="901"/>
      <c r="M230" s="902" t="s">
        <v>473</v>
      </c>
      <c r="N230" s="927"/>
      <c r="O230" s="908"/>
      <c r="P230" s="797"/>
      <c r="Q230" s="876" t="s">
        <v>246</v>
      </c>
      <c r="R230" s="876">
        <f>T222</f>
        <v>113</v>
      </c>
      <c r="S230" s="905">
        <f>T222/T223</f>
        <v>1</v>
      </c>
      <c r="T230" s="876" t="str">
        <f>VLOOKUP(S230,'Tablas de Referencias'!$A$49:$C$88,3,FALSE)</f>
        <v>AB</v>
      </c>
      <c r="U230" s="797"/>
      <c r="V230" s="901"/>
      <c r="W230" s="901"/>
      <c r="X230" s="901"/>
    </row>
    <row r="231" spans="1:24">
      <c r="A231" s="780">
        <f>((H222+H223-1)*(H224-0.5))+0.5</f>
        <v>44888</v>
      </c>
      <c r="B231" s="910"/>
      <c r="C231" s="911"/>
      <c r="D231" s="797"/>
      <c r="E231" s="797"/>
      <c r="F231" s="797"/>
      <c r="G231" s="797"/>
      <c r="H231" s="797"/>
      <c r="I231" s="797"/>
      <c r="J231" s="797"/>
      <c r="K231" s="797"/>
      <c r="L231" s="797"/>
      <c r="M231" s="780">
        <f>((T222+T223-1)*(T224-0.5))+0.5</f>
        <v>56138</v>
      </c>
      <c r="N231" s="910"/>
      <c r="O231" s="911"/>
      <c r="P231" s="797"/>
      <c r="Q231" s="797"/>
      <c r="R231" s="797"/>
      <c r="S231" s="797"/>
      <c r="T231" s="797"/>
      <c r="U231" s="797"/>
      <c r="V231" s="797"/>
      <c r="W231" s="797"/>
      <c r="X231" s="797"/>
    </row>
    <row r="232" spans="1:24">
      <c r="A232" s="924" t="s">
        <v>454</v>
      </c>
      <c r="B232" s="924" t="s">
        <v>517</v>
      </c>
      <c r="C232" s="924"/>
      <c r="D232" s="924"/>
      <c r="E232" s="924"/>
      <c r="F232" s="924"/>
      <c r="G232" s="924"/>
      <c r="H232" s="924"/>
      <c r="I232" s="924"/>
      <c r="J232" s="924"/>
      <c r="K232" s="924"/>
      <c r="L232" s="924"/>
      <c r="M232" s="924" t="s">
        <v>454</v>
      </c>
      <c r="N232" s="924" t="s">
        <v>453</v>
      </c>
      <c r="O232" s="924"/>
      <c r="P232" s="924"/>
      <c r="Q232" s="924"/>
      <c r="R232" s="924"/>
      <c r="S232" s="924"/>
      <c r="T232" s="924"/>
      <c r="U232" s="924"/>
      <c r="V232" s="924"/>
      <c r="W232" s="924"/>
      <c r="X232" s="924"/>
    </row>
    <row r="233" spans="1:24">
      <c r="A233" s="924"/>
      <c r="B233" s="924"/>
      <c r="C233" s="924"/>
      <c r="D233" s="924"/>
      <c r="E233" s="924"/>
      <c r="F233" s="924"/>
      <c r="G233" s="924"/>
      <c r="H233" s="924"/>
      <c r="I233" s="924"/>
      <c r="J233" s="924"/>
      <c r="K233" s="924"/>
      <c r="L233" s="924"/>
      <c r="M233" s="924"/>
      <c r="N233" s="924"/>
      <c r="O233" s="924"/>
      <c r="P233" s="924"/>
      <c r="Q233" s="924"/>
      <c r="R233" s="924"/>
      <c r="S233" s="924"/>
      <c r="T233" s="924"/>
      <c r="U233" s="924"/>
      <c r="V233" s="924"/>
      <c r="W233" s="924"/>
      <c r="X233" s="924"/>
    </row>
    <row r="234" spans="1:24">
      <c r="A234" s="797"/>
      <c r="B234" s="797"/>
      <c r="C234" s="797"/>
      <c r="D234" s="797"/>
      <c r="E234" s="797"/>
      <c r="F234" s="797"/>
      <c r="G234" s="797"/>
      <c r="H234" s="797"/>
      <c r="I234" s="797"/>
      <c r="J234" s="797"/>
      <c r="K234" s="797"/>
      <c r="L234" s="797"/>
      <c r="M234" s="797"/>
      <c r="N234" s="797"/>
      <c r="O234" s="797"/>
      <c r="P234" s="797"/>
      <c r="Q234" s="797"/>
      <c r="R234" s="797"/>
      <c r="S234" s="797"/>
      <c r="T234" s="797"/>
      <c r="U234" s="797"/>
      <c r="V234" s="797"/>
      <c r="W234" s="797"/>
      <c r="X234" s="797"/>
    </row>
    <row r="235" spans="1:24">
      <c r="A235" s="797"/>
      <c r="B235" s="797"/>
      <c r="C235" s="797"/>
      <c r="D235" s="797"/>
      <c r="E235" s="797"/>
      <c r="F235" s="797"/>
      <c r="G235" s="797"/>
      <c r="H235" s="797"/>
      <c r="I235" s="797"/>
      <c r="J235" s="797"/>
      <c r="K235" s="797"/>
      <c r="L235" s="797"/>
      <c r="M235" s="797"/>
      <c r="N235" s="797"/>
      <c r="O235" s="797"/>
      <c r="P235" s="797"/>
      <c r="Q235" s="797"/>
      <c r="R235" s="797"/>
      <c r="S235" s="797"/>
      <c r="T235" s="797"/>
      <c r="U235" s="797"/>
      <c r="V235" s="797"/>
      <c r="W235" s="797"/>
      <c r="X235" s="797"/>
    </row>
    <row r="236" spans="1:24">
      <c r="A236" s="797"/>
      <c r="B236" s="797"/>
      <c r="C236" s="797"/>
      <c r="D236" s="797"/>
      <c r="E236" s="797"/>
      <c r="F236" s="797"/>
      <c r="G236" s="797"/>
      <c r="H236" s="797"/>
      <c r="I236" s="797"/>
      <c r="J236" s="797"/>
      <c r="K236" s="797"/>
      <c r="L236" s="797"/>
      <c r="M236" s="797"/>
      <c r="N236" s="797"/>
      <c r="O236" s="797"/>
      <c r="P236" s="797"/>
      <c r="Q236" s="797"/>
      <c r="R236" s="797"/>
      <c r="S236" s="797"/>
      <c r="T236" s="797"/>
      <c r="U236" s="797"/>
      <c r="V236" s="797"/>
      <c r="W236" s="797"/>
      <c r="X236" s="797"/>
    </row>
    <row r="237" spans="1:24">
      <c r="A237" s="797"/>
      <c r="B237" s="797"/>
      <c r="C237" s="797"/>
      <c r="D237" s="797"/>
      <c r="E237" s="797"/>
      <c r="F237" s="797"/>
      <c r="G237" s="797"/>
      <c r="H237" s="797"/>
      <c r="I237" s="797"/>
      <c r="J237" s="797"/>
      <c r="K237" s="797"/>
      <c r="L237" s="797"/>
      <c r="M237" s="797"/>
      <c r="N237" s="797"/>
      <c r="O237" s="797"/>
      <c r="P237" s="797"/>
      <c r="Q237" s="797"/>
      <c r="R237" s="797"/>
      <c r="S237" s="797"/>
      <c r="T237" s="797"/>
      <c r="U237" s="797"/>
      <c r="V237" s="797"/>
      <c r="W237" s="797"/>
      <c r="X237" s="797"/>
    </row>
    <row r="238" spans="1:24">
      <c r="A238" s="797"/>
      <c r="B238" s="797"/>
      <c r="C238" s="797"/>
      <c r="D238" s="797"/>
      <c r="E238" s="797"/>
      <c r="F238" s="797"/>
      <c r="G238" s="797"/>
      <c r="H238" s="797"/>
      <c r="I238" s="797"/>
      <c r="J238" s="797"/>
      <c r="K238" s="797"/>
      <c r="L238" s="797"/>
      <c r="M238" s="797"/>
      <c r="N238" s="797"/>
      <c r="O238" s="797"/>
      <c r="P238" s="797"/>
      <c r="Q238" s="797"/>
      <c r="R238" s="797"/>
      <c r="S238" s="797"/>
      <c r="T238" s="797"/>
      <c r="U238" s="797"/>
      <c r="V238" s="797"/>
      <c r="W238" s="797"/>
      <c r="X238" s="797"/>
    </row>
    <row r="239" spans="1:24">
      <c r="A239" s="797"/>
      <c r="B239" s="797" t="s">
        <v>486</v>
      </c>
      <c r="C239" s="797"/>
      <c r="D239" s="797"/>
      <c r="E239" s="797"/>
      <c r="F239" s="797"/>
      <c r="G239" s="797"/>
      <c r="H239" s="797"/>
      <c r="I239" s="797"/>
      <c r="J239" s="785" t="s">
        <v>490</v>
      </c>
      <c r="K239" s="785"/>
      <c r="L239" s="797"/>
      <c r="M239" s="797"/>
      <c r="N239" s="797"/>
      <c r="O239" s="797"/>
      <c r="P239" s="797"/>
      <c r="Q239" s="797"/>
      <c r="R239" s="797"/>
      <c r="S239" s="797"/>
      <c r="T239" s="797"/>
      <c r="U239" s="797"/>
      <c r="V239" s="797"/>
      <c r="W239" s="797"/>
      <c r="X239" s="797"/>
    </row>
    <row r="240" spans="1:24">
      <c r="A240" s="797"/>
      <c r="B240" s="797" t="s">
        <v>487</v>
      </c>
      <c r="C240" s="797"/>
      <c r="D240" s="797"/>
      <c r="E240" s="797"/>
      <c r="F240" s="797"/>
      <c r="G240" s="797"/>
      <c r="H240" s="797"/>
      <c r="I240" s="797"/>
      <c r="J240" s="780">
        <f>I256/I190</f>
        <v>0.92256637168141598</v>
      </c>
      <c r="K240" s="934">
        <f>J240</f>
        <v>0.92256637168141598</v>
      </c>
      <c r="L240" s="797"/>
      <c r="M240" s="797"/>
      <c r="N240" s="797"/>
      <c r="O240" s="797"/>
      <c r="P240" s="797"/>
      <c r="Q240" s="797"/>
      <c r="R240" s="797"/>
      <c r="S240" s="797"/>
      <c r="T240" s="797"/>
      <c r="U240" s="797"/>
      <c r="V240" s="797"/>
      <c r="W240" s="797"/>
      <c r="X240" s="797"/>
    </row>
    <row r="241" spans="1:24">
      <c r="A241" s="797"/>
      <c r="B241" s="797" t="s">
        <v>488</v>
      </c>
      <c r="C241" s="797"/>
      <c r="D241" s="797"/>
      <c r="E241" s="797"/>
      <c r="F241" s="797"/>
      <c r="G241" s="797"/>
      <c r="H241" s="797"/>
      <c r="I241" s="797"/>
      <c r="J241" s="797"/>
      <c r="K241" s="797"/>
      <c r="L241" s="797"/>
      <c r="M241" s="797"/>
      <c r="N241" s="797"/>
      <c r="O241" s="797"/>
      <c r="P241" s="797"/>
      <c r="Q241" s="797"/>
      <c r="R241" s="797"/>
      <c r="S241" s="797"/>
      <c r="T241" s="797"/>
      <c r="U241" s="797"/>
      <c r="V241" s="797"/>
      <c r="W241" s="797"/>
      <c r="X241" s="797"/>
    </row>
    <row r="242" spans="1:24">
      <c r="A242" s="797"/>
      <c r="B242" s="797" t="s">
        <v>489</v>
      </c>
      <c r="C242" s="797"/>
      <c r="D242" s="797"/>
      <c r="E242" s="797"/>
      <c r="F242" s="797"/>
      <c r="G242" s="797"/>
      <c r="H242" s="797"/>
      <c r="I242" s="797"/>
      <c r="J242" s="797"/>
      <c r="K242" s="797"/>
      <c r="L242" s="797"/>
      <c r="M242" s="797"/>
      <c r="N242" s="797"/>
      <c r="O242" s="797"/>
      <c r="P242" s="797"/>
      <c r="Q242" s="797"/>
      <c r="R242" s="797"/>
      <c r="S242" s="797"/>
      <c r="T242" s="797"/>
      <c r="U242" s="797"/>
      <c r="V242" s="797"/>
      <c r="W242" s="797"/>
      <c r="X242" s="797"/>
    </row>
    <row r="243" spans="1:24">
      <c r="A243" s="797"/>
      <c r="B243" s="797">
        <f>(I189-I255)/2</f>
        <v>1.3875000000000002</v>
      </c>
      <c r="C243" s="797"/>
      <c r="D243" s="797"/>
      <c r="E243" s="797"/>
      <c r="F243" s="797"/>
      <c r="G243" s="797"/>
      <c r="H243" s="797"/>
      <c r="I243" s="797"/>
      <c r="J243" s="797"/>
      <c r="K243" s="797"/>
      <c r="L243" s="797"/>
      <c r="M243" s="797"/>
      <c r="N243" s="797"/>
      <c r="O243" s="797"/>
      <c r="P243" s="797"/>
      <c r="Q243" s="797"/>
      <c r="R243" s="797"/>
      <c r="S243" s="797"/>
      <c r="T243" s="797"/>
      <c r="U243" s="797"/>
      <c r="V243" s="797"/>
      <c r="W243" s="797"/>
      <c r="X243" s="797"/>
    </row>
    <row r="244" spans="1:24">
      <c r="A244" s="797"/>
      <c r="B244" s="797"/>
      <c r="C244" s="797"/>
      <c r="D244" s="797"/>
      <c r="E244" s="797"/>
      <c r="F244" s="797"/>
      <c r="G244" s="797"/>
      <c r="H244" s="797"/>
      <c r="I244" s="797"/>
      <c r="J244" s="797"/>
      <c r="K244" s="797"/>
      <c r="L244" s="797"/>
      <c r="M244" s="797"/>
      <c r="N244" s="797"/>
      <c r="O244" s="797"/>
      <c r="P244" s="797"/>
      <c r="Q244" s="797"/>
      <c r="R244" s="797"/>
      <c r="S244" s="797"/>
      <c r="T244" s="797"/>
      <c r="U244" s="797"/>
      <c r="V244" s="797"/>
      <c r="W244" s="797"/>
      <c r="X244" s="797"/>
    </row>
    <row r="245" spans="1:24">
      <c r="A245" s="797"/>
      <c r="B245" s="797"/>
      <c r="C245" s="797"/>
      <c r="D245" s="797"/>
      <c r="E245" s="797"/>
      <c r="F245" s="797"/>
      <c r="G245" s="797"/>
      <c r="H245" s="797"/>
      <c r="I245" s="797"/>
      <c r="J245" s="797"/>
      <c r="K245" s="797"/>
      <c r="L245" s="797"/>
      <c r="M245" s="797"/>
      <c r="N245" s="797"/>
      <c r="O245" s="797"/>
      <c r="P245" s="797"/>
      <c r="Q245" s="797"/>
      <c r="R245" s="797"/>
      <c r="S245" s="797"/>
      <c r="T245" s="797"/>
      <c r="U245" s="797"/>
      <c r="V245" s="797"/>
      <c r="W245" s="797"/>
      <c r="X245" s="797"/>
    </row>
    <row r="246" spans="1:24">
      <c r="A246" s="797"/>
      <c r="B246" s="797"/>
      <c r="C246" s="797"/>
      <c r="D246" s="797"/>
      <c r="E246" s="797"/>
      <c r="F246" s="797"/>
      <c r="G246" s="797"/>
      <c r="H246" s="797"/>
      <c r="I246" s="797"/>
      <c r="J246" s="797"/>
      <c r="K246" s="797"/>
      <c r="L246" s="797"/>
      <c r="M246" s="797"/>
      <c r="N246" s="797"/>
      <c r="O246" s="797"/>
      <c r="P246" s="797"/>
      <c r="Q246" s="797"/>
      <c r="R246" s="797"/>
      <c r="S246" s="797"/>
      <c r="T246" s="797"/>
      <c r="U246" s="797"/>
      <c r="V246" s="797"/>
      <c r="W246" s="797"/>
      <c r="X246" s="797"/>
    </row>
    <row r="247" spans="1:24">
      <c r="A247" s="797"/>
      <c r="B247" s="797"/>
      <c r="C247" s="797"/>
      <c r="D247" s="797"/>
      <c r="E247" s="797"/>
      <c r="F247" s="797"/>
      <c r="G247" s="797"/>
      <c r="H247" s="797"/>
      <c r="I247" s="797"/>
      <c r="J247" s="797"/>
      <c r="K247" s="797"/>
      <c r="L247" s="797"/>
      <c r="M247" s="797"/>
      <c r="N247" s="797"/>
      <c r="O247" s="797"/>
      <c r="P247" s="797"/>
      <c r="Q247" s="797"/>
      <c r="R247" s="797"/>
      <c r="S247" s="797"/>
      <c r="T247" s="797"/>
      <c r="U247" s="797"/>
      <c r="V247" s="797"/>
      <c r="W247" s="797"/>
      <c r="X247" s="797"/>
    </row>
    <row r="248" spans="1:24">
      <c r="A248" s="797"/>
      <c r="B248" s="797"/>
      <c r="C248" s="797"/>
      <c r="D248" s="797"/>
      <c r="E248" s="797"/>
      <c r="F248" s="797"/>
      <c r="G248" s="797"/>
      <c r="H248" s="797"/>
      <c r="I248" s="797"/>
      <c r="J248" s="797"/>
      <c r="K248" s="797"/>
      <c r="L248" s="797"/>
      <c r="M248" s="797"/>
      <c r="N248" s="797"/>
      <c r="O248" s="797"/>
      <c r="P248" s="797"/>
      <c r="Q248" s="797"/>
      <c r="R248" s="797"/>
      <c r="S248" s="797"/>
      <c r="T248" s="797"/>
      <c r="U248" s="797"/>
      <c r="V248" s="797"/>
      <c r="W248" s="797"/>
      <c r="X248" s="797"/>
    </row>
    <row r="249" spans="1:24">
      <c r="A249" s="797"/>
      <c r="B249" s="797"/>
      <c r="C249" s="797"/>
      <c r="D249" s="797"/>
      <c r="E249" s="797"/>
      <c r="F249" s="797"/>
      <c r="G249" s="797"/>
      <c r="H249" s="797"/>
      <c r="I249" s="797"/>
      <c r="J249" s="797"/>
      <c r="K249" s="797"/>
      <c r="L249" s="797"/>
      <c r="M249" s="797"/>
      <c r="N249" s="797"/>
      <c r="O249" s="797"/>
      <c r="P249" s="797"/>
      <c r="Q249" s="797"/>
      <c r="R249" s="797"/>
      <c r="S249" s="797"/>
      <c r="T249" s="797"/>
      <c r="U249" s="797"/>
      <c r="V249" s="797"/>
      <c r="W249" s="797"/>
      <c r="X249" s="797"/>
    </row>
    <row r="250" spans="1:24">
      <c r="A250" s="797"/>
      <c r="B250" s="797"/>
      <c r="C250" s="797"/>
      <c r="D250" s="797"/>
      <c r="E250" s="797"/>
      <c r="F250" s="797"/>
      <c r="G250" s="797"/>
      <c r="H250" s="797"/>
      <c r="I250" s="797"/>
      <c r="J250" s="797"/>
      <c r="K250" s="797"/>
      <c r="L250" s="797"/>
      <c r="M250" s="797"/>
      <c r="N250" s="797"/>
      <c r="O250" s="797"/>
      <c r="P250" s="797"/>
      <c r="Q250" s="797"/>
      <c r="R250" s="797"/>
      <c r="S250" s="797"/>
      <c r="T250" s="797"/>
      <c r="U250" s="797"/>
      <c r="V250" s="797"/>
      <c r="W250" s="797"/>
      <c r="X250" s="797"/>
    </row>
    <row r="251" spans="1:24">
      <c r="A251" s="797"/>
      <c r="B251" s="797"/>
      <c r="C251" s="797"/>
      <c r="D251" s="797"/>
      <c r="E251" s="797"/>
      <c r="F251" s="797"/>
      <c r="G251" s="797"/>
      <c r="H251" s="797"/>
      <c r="I251" s="797"/>
      <c r="J251" s="797"/>
      <c r="K251" s="797"/>
      <c r="L251" s="797"/>
      <c r="M251" s="797"/>
      <c r="N251" s="797"/>
      <c r="O251" s="797"/>
      <c r="P251" s="797"/>
      <c r="Q251" s="797"/>
      <c r="R251" s="797"/>
      <c r="S251" s="797"/>
      <c r="T251" s="797"/>
      <c r="U251" s="797"/>
      <c r="V251" s="797"/>
      <c r="W251" s="797"/>
      <c r="X251" s="797"/>
    </row>
    <row r="252" spans="1:24">
      <c r="A252" s="797"/>
      <c r="B252" s="797"/>
      <c r="C252" s="797"/>
      <c r="D252" s="797"/>
      <c r="E252" s="797"/>
      <c r="F252" s="797"/>
      <c r="G252" s="797"/>
      <c r="H252" s="797"/>
      <c r="I252" s="797"/>
      <c r="J252" s="797"/>
      <c r="K252" s="797"/>
      <c r="L252" s="797"/>
      <c r="M252" s="797"/>
      <c r="N252" s="797"/>
      <c r="O252" s="797"/>
      <c r="P252" s="797"/>
      <c r="Q252" s="797"/>
      <c r="R252" s="797"/>
      <c r="S252" s="797"/>
      <c r="T252" s="797"/>
      <c r="U252" s="797"/>
      <c r="V252" s="797"/>
      <c r="W252" s="797"/>
      <c r="X252" s="797"/>
    </row>
    <row r="253" spans="1:24">
      <c r="A253" s="858" t="s">
        <v>455</v>
      </c>
      <c r="B253" s="859" t="s">
        <v>177</v>
      </c>
      <c r="C253" s="865" t="s">
        <v>385</v>
      </c>
      <c r="D253" s="861" t="s">
        <v>390</v>
      </c>
      <c r="E253" s="862"/>
      <c r="F253" s="861" t="s">
        <v>391</v>
      </c>
      <c r="G253" s="862"/>
      <c r="H253" s="865" t="s">
        <v>443</v>
      </c>
      <c r="I253" s="865" t="s">
        <v>389</v>
      </c>
      <c r="J253" s="863" t="s">
        <v>447</v>
      </c>
      <c r="K253" s="865" t="s">
        <v>259</v>
      </c>
      <c r="L253" s="801" t="s">
        <v>485</v>
      </c>
      <c r="M253" s="858" t="s">
        <v>455</v>
      </c>
      <c r="N253" s="859" t="s">
        <v>177</v>
      </c>
      <c r="O253" s="865" t="s">
        <v>385</v>
      </c>
      <c r="P253" s="861" t="s">
        <v>390</v>
      </c>
      <c r="Q253" s="862"/>
      <c r="R253" s="861" t="s">
        <v>391</v>
      </c>
      <c r="S253" s="862"/>
      <c r="T253" s="865" t="s">
        <v>443</v>
      </c>
      <c r="U253" s="865" t="s">
        <v>389</v>
      </c>
      <c r="V253" s="863" t="s">
        <v>406</v>
      </c>
      <c r="W253" s="864" t="s">
        <v>259</v>
      </c>
      <c r="X253" s="801" t="s">
        <v>485</v>
      </c>
    </row>
    <row r="254" spans="1:24" ht="17.25">
      <c r="A254" s="872" t="s">
        <v>456</v>
      </c>
      <c r="B254" s="868" t="s">
        <v>258</v>
      </c>
      <c r="C254" s="873"/>
      <c r="D254" s="869" t="s">
        <v>392</v>
      </c>
      <c r="E254" s="870"/>
      <c r="F254" s="869" t="s">
        <v>392</v>
      </c>
      <c r="G254" s="870"/>
      <c r="H254" s="873"/>
      <c r="I254" s="873"/>
      <c r="J254" s="868" t="s">
        <v>258</v>
      </c>
      <c r="K254" s="873"/>
      <c r="L254" s="871" t="s">
        <v>240</v>
      </c>
      <c r="M254" s="872" t="s">
        <v>456</v>
      </c>
      <c r="N254" s="868" t="s">
        <v>258</v>
      </c>
      <c r="O254" s="873"/>
      <c r="P254" s="869" t="s">
        <v>392</v>
      </c>
      <c r="Q254" s="870"/>
      <c r="R254" s="869" t="s">
        <v>392</v>
      </c>
      <c r="S254" s="870"/>
      <c r="T254" s="873"/>
      <c r="U254" s="873"/>
      <c r="V254" s="868" t="s">
        <v>258</v>
      </c>
      <c r="W254" s="864"/>
      <c r="X254" s="871" t="s">
        <v>240</v>
      </c>
    </row>
    <row r="255" spans="1:24">
      <c r="A255" s="883">
        <f>1000000/K255</f>
        <v>781.25</v>
      </c>
      <c r="B255" s="875">
        <f>C27</f>
        <v>30</v>
      </c>
      <c r="C255" s="876" t="s">
        <v>386</v>
      </c>
      <c r="D255" s="866">
        <v>0.5</v>
      </c>
      <c r="E255" s="877"/>
      <c r="F255" s="878">
        <v>1</v>
      </c>
      <c r="G255" s="879"/>
      <c r="H255" s="876">
        <v>139</v>
      </c>
      <c r="I255" s="876">
        <f>(D255*H255*B255)/1000</f>
        <v>2.085</v>
      </c>
      <c r="J255" s="913">
        <f>C26</f>
        <v>1.37</v>
      </c>
      <c r="K255" s="880">
        <f>C28</f>
        <v>1280</v>
      </c>
      <c r="L255" s="882">
        <f>((3.1416*((J255/2)^2)*(B255/2)/1000))*(A255/((B255/2)/1000))</f>
        <v>1151.654109375</v>
      </c>
      <c r="M255" s="883">
        <f>1000000/W255</f>
        <v>781.25</v>
      </c>
      <c r="N255" s="875">
        <f>B255</f>
        <v>30</v>
      </c>
      <c r="O255" s="876" t="s">
        <v>386</v>
      </c>
      <c r="P255" s="866">
        <v>0.5</v>
      </c>
      <c r="Q255" s="877"/>
      <c r="R255" s="878">
        <v>1</v>
      </c>
      <c r="S255" s="879"/>
      <c r="T255" s="876">
        <v>139</v>
      </c>
      <c r="U255" s="876">
        <f>(P255*T255*N255)/1000</f>
        <v>2.085</v>
      </c>
      <c r="V255" s="913">
        <f>J255</f>
        <v>1.37</v>
      </c>
      <c r="W255" s="881">
        <f>K255</f>
        <v>1280</v>
      </c>
      <c r="X255" s="882">
        <f>((3.1416*((V255/2)^2)*(N255/2)/1000))*(M255/((N255/2)/1000))</f>
        <v>1151.654109375</v>
      </c>
    </row>
    <row r="256" spans="1:24" ht="15" customHeight="1">
      <c r="A256" s="883"/>
      <c r="B256" s="885"/>
      <c r="C256" s="876" t="s">
        <v>388</v>
      </c>
      <c r="D256" s="866">
        <v>0.5</v>
      </c>
      <c r="E256" s="877"/>
      <c r="F256" s="878">
        <v>1</v>
      </c>
      <c r="G256" s="879"/>
      <c r="H256" s="876">
        <v>139</v>
      </c>
      <c r="I256" s="876">
        <f>(D256*H256*B255)/1000</f>
        <v>2.085</v>
      </c>
      <c r="J256" s="914"/>
      <c r="K256" s="886"/>
      <c r="L256" s="887"/>
      <c r="M256" s="883"/>
      <c r="N256" s="885"/>
      <c r="O256" s="876" t="s">
        <v>388</v>
      </c>
      <c r="P256" s="866">
        <v>0.5</v>
      </c>
      <c r="Q256" s="877"/>
      <c r="R256" s="878">
        <v>1</v>
      </c>
      <c r="S256" s="879"/>
      <c r="T256" s="876">
        <v>139</v>
      </c>
      <c r="U256" s="876">
        <f>(P256*T256*N255)/1000</f>
        <v>2.085</v>
      </c>
      <c r="V256" s="914"/>
      <c r="W256" s="881"/>
      <c r="X256" s="887"/>
    </row>
    <row r="257" spans="1:24" ht="15" customHeight="1">
      <c r="A257" s="893"/>
      <c r="B257" s="889"/>
      <c r="C257" s="876" t="s">
        <v>393</v>
      </c>
      <c r="D257" s="866">
        <v>0.5</v>
      </c>
      <c r="E257" s="877"/>
      <c r="F257" s="878">
        <v>1</v>
      </c>
      <c r="G257" s="879"/>
      <c r="H257" s="876">
        <v>300</v>
      </c>
      <c r="I257" s="890">
        <f>(H257*F257*B255)/1000</f>
        <v>9</v>
      </c>
      <c r="J257" s="915"/>
      <c r="K257" s="891"/>
      <c r="L257" s="892"/>
      <c r="M257" s="893"/>
      <c r="N257" s="889"/>
      <c r="O257" s="876" t="s">
        <v>393</v>
      </c>
      <c r="P257" s="866">
        <v>0.5</v>
      </c>
      <c r="Q257" s="877"/>
      <c r="R257" s="878">
        <v>1</v>
      </c>
      <c r="S257" s="879"/>
      <c r="T257" s="876">
        <v>300</v>
      </c>
      <c r="U257" s="890">
        <f>(T257*R257*N255)/1000</f>
        <v>9</v>
      </c>
      <c r="V257" s="915"/>
      <c r="W257" s="881"/>
      <c r="X257" s="892"/>
    </row>
    <row r="258" spans="1:24" ht="15" customHeight="1">
      <c r="A258" s="797"/>
      <c r="B258" s="797"/>
      <c r="C258" s="876"/>
      <c r="D258" s="866"/>
      <c r="E258" s="877"/>
      <c r="F258" s="878"/>
      <c r="G258" s="879"/>
      <c r="H258" s="876"/>
      <c r="I258" s="876"/>
      <c r="J258" s="776"/>
      <c r="K258" s="797"/>
      <c r="L258" s="797"/>
      <c r="M258" s="797"/>
      <c r="N258" s="797"/>
      <c r="O258" s="876"/>
      <c r="P258" s="866"/>
      <c r="Q258" s="877"/>
      <c r="R258" s="878"/>
      <c r="S258" s="879"/>
      <c r="T258" s="876"/>
      <c r="U258" s="876"/>
      <c r="V258" s="776"/>
      <c r="W258" s="797"/>
      <c r="X258" s="797"/>
    </row>
    <row r="259" spans="1:24">
      <c r="A259" s="817" t="s">
        <v>491</v>
      </c>
      <c r="B259" s="797"/>
      <c r="C259" s="797"/>
      <c r="D259" s="797"/>
      <c r="E259" s="797"/>
      <c r="F259" s="797"/>
      <c r="G259" s="797"/>
      <c r="H259" s="797"/>
      <c r="I259" s="797"/>
      <c r="J259" s="797"/>
      <c r="K259" s="797"/>
      <c r="L259" s="797"/>
      <c r="M259" s="817" t="s">
        <v>491</v>
      </c>
      <c r="N259" s="797"/>
      <c r="O259" s="797"/>
      <c r="P259" s="797"/>
      <c r="Q259" s="797"/>
      <c r="R259" s="797"/>
      <c r="S259" s="797"/>
      <c r="T259" s="797"/>
      <c r="U259" s="797"/>
      <c r="V259" s="797"/>
      <c r="W259" s="797"/>
      <c r="X259" s="797"/>
    </row>
    <row r="260" spans="1:24" ht="17.25">
      <c r="A260" s="819" t="s">
        <v>495</v>
      </c>
      <c r="B260" s="925"/>
      <c r="C260" s="925"/>
      <c r="D260" s="797"/>
      <c r="E260" s="866" t="s">
        <v>394</v>
      </c>
      <c r="F260" s="897"/>
      <c r="G260" s="897"/>
      <c r="H260" s="877"/>
      <c r="I260" s="776"/>
      <c r="J260" s="803"/>
      <c r="K260" s="803"/>
      <c r="L260" s="803"/>
      <c r="M260" s="819" t="s">
        <v>495</v>
      </c>
      <c r="N260" s="797"/>
      <c r="O260" s="935" t="s">
        <v>445</v>
      </c>
      <c r="P260" s="896"/>
      <c r="Q260" s="866" t="s">
        <v>394</v>
      </c>
      <c r="R260" s="897"/>
      <c r="S260" s="897"/>
      <c r="T260" s="877"/>
      <c r="U260" s="797"/>
      <c r="V260" s="864" t="s">
        <v>444</v>
      </c>
      <c r="W260" s="864"/>
      <c r="X260" s="864"/>
    </row>
    <row r="261" spans="1:24">
      <c r="A261" s="799">
        <f>D255*(SQRT(1-(D255^2)))*(((H255+H256)/2)*H257)*(B255/1000)^2</f>
        <v>16.250966702014992</v>
      </c>
      <c r="B261" s="925"/>
      <c r="C261" s="925"/>
      <c r="D261" s="797"/>
      <c r="E261" s="900" t="s">
        <v>385</v>
      </c>
      <c r="F261" s="900" t="s">
        <v>384</v>
      </c>
      <c r="G261" s="900" t="s">
        <v>398</v>
      </c>
      <c r="H261" s="900" t="s">
        <v>405</v>
      </c>
      <c r="I261" s="776"/>
      <c r="J261" s="926"/>
      <c r="K261" s="926"/>
      <c r="L261" s="926"/>
      <c r="M261" s="799">
        <f>P255*(SQRT(1-(P255^2)))*(((T255+T256)/2)*T257)*(N255/1000)^2</f>
        <v>16.250966702014992</v>
      </c>
      <c r="N261" s="797"/>
      <c r="O261" s="898" t="s">
        <v>449</v>
      </c>
      <c r="P261" s="899"/>
      <c r="Q261" s="900" t="s">
        <v>385</v>
      </c>
      <c r="R261" s="900" t="s">
        <v>384</v>
      </c>
      <c r="S261" s="900" t="s">
        <v>398</v>
      </c>
      <c r="T261" s="900" t="s">
        <v>405</v>
      </c>
      <c r="U261" s="797"/>
      <c r="V261" s="901">
        <f>'Mecánica de la Red'!N39</f>
        <v>6.8554800000000018</v>
      </c>
      <c r="W261" s="901"/>
      <c r="X261" s="901"/>
    </row>
    <row r="262" spans="1:24" ht="15" customHeight="1">
      <c r="A262" s="797"/>
      <c r="B262" s="907"/>
      <c r="C262" s="907"/>
      <c r="D262" s="797"/>
      <c r="E262" s="876" t="s">
        <v>393</v>
      </c>
      <c r="F262" s="876">
        <f>H257</f>
        <v>300</v>
      </c>
      <c r="G262" s="905">
        <f>H257/H257</f>
        <v>1</v>
      </c>
      <c r="H262" s="876" t="str">
        <f>VLOOKUP(G262,'Tablas de Referencias'!$A$49:$C$88,3,FALSE)</f>
        <v>AB</v>
      </c>
      <c r="I262" s="776"/>
      <c r="J262" s="926"/>
      <c r="K262" s="926"/>
      <c r="L262" s="926"/>
      <c r="M262" s="797"/>
      <c r="N262" s="797"/>
      <c r="O262" s="917">
        <f>COUNTIF(232:233,"I'")</f>
        <v>2</v>
      </c>
      <c r="P262" s="904"/>
      <c r="Q262" s="876" t="s">
        <v>393</v>
      </c>
      <c r="R262" s="876">
        <f>T257</f>
        <v>300</v>
      </c>
      <c r="S262" s="905">
        <f>T257/T257</f>
        <v>1</v>
      </c>
      <c r="T262" s="876" t="str">
        <f>VLOOKUP(S262,'Tablas de Referencias'!$A$49:$C$88,3,FALSE)</f>
        <v>AB</v>
      </c>
      <c r="U262" s="797"/>
      <c r="V262" s="901"/>
      <c r="W262" s="901"/>
      <c r="X262" s="901"/>
    </row>
    <row r="263" spans="1:24" ht="15" customHeight="1">
      <c r="A263" s="902" t="s">
        <v>473</v>
      </c>
      <c r="B263" s="907"/>
      <c r="C263" s="907"/>
      <c r="D263" s="797"/>
      <c r="E263" s="876" t="s">
        <v>246</v>
      </c>
      <c r="F263" s="876">
        <f>H255</f>
        <v>139</v>
      </c>
      <c r="G263" s="905">
        <f>H255/H256</f>
        <v>1</v>
      </c>
      <c r="H263" s="876" t="str">
        <f>VLOOKUP(G263,'Tablas de Referencias'!$A$49:$C$88,3,FALSE)</f>
        <v>AB</v>
      </c>
      <c r="I263" s="776"/>
      <c r="J263" s="926"/>
      <c r="K263" s="926"/>
      <c r="L263" s="926"/>
      <c r="M263" s="902" t="s">
        <v>473</v>
      </c>
      <c r="N263" s="797"/>
      <c r="O263" s="927"/>
      <c r="P263" s="908"/>
      <c r="Q263" s="876" t="s">
        <v>246</v>
      </c>
      <c r="R263" s="876">
        <f>T255</f>
        <v>139</v>
      </c>
      <c r="S263" s="905">
        <f>T255/T256</f>
        <v>1</v>
      </c>
      <c r="T263" s="876" t="str">
        <f>VLOOKUP(S263,'Tablas de Referencias'!$A$49:$C$88,3,FALSE)</f>
        <v>AB</v>
      </c>
      <c r="U263" s="797"/>
      <c r="V263" s="901"/>
      <c r="W263" s="901"/>
      <c r="X263" s="901"/>
    </row>
    <row r="264" spans="1:24" ht="15" customHeight="1">
      <c r="A264" s="780">
        <f>((H255+H256-1)*(H257-0.5))+0.5</f>
        <v>82962</v>
      </c>
      <c r="B264" s="907"/>
      <c r="C264" s="907"/>
      <c r="D264" s="797"/>
      <c r="E264" s="797"/>
      <c r="F264" s="797"/>
      <c r="G264" s="797"/>
      <c r="H264" s="797"/>
      <c r="I264" s="797"/>
      <c r="J264" s="797"/>
      <c r="K264" s="797"/>
      <c r="L264" s="797"/>
      <c r="M264" s="780">
        <f>((T255+T256-1)*(T257-0.5))+0.5</f>
        <v>82962</v>
      </c>
      <c r="N264" s="797"/>
      <c r="O264" s="910"/>
      <c r="P264" s="911"/>
      <c r="Q264" s="797"/>
      <c r="R264" s="797"/>
      <c r="S264" s="797"/>
      <c r="T264" s="797"/>
      <c r="U264" s="797"/>
      <c r="V264" s="797"/>
      <c r="W264" s="797"/>
      <c r="X264" s="797"/>
    </row>
    <row r="265" spans="1:24" ht="15" customHeight="1">
      <c r="A265" s="931" t="s">
        <v>470</v>
      </c>
      <c r="B265" s="931"/>
      <c r="C265" s="931"/>
      <c r="D265" s="931"/>
      <c r="E265" s="931"/>
      <c r="F265" s="931"/>
      <c r="G265" s="931"/>
      <c r="H265" s="931"/>
      <c r="I265" s="931"/>
      <c r="J265" s="931"/>
      <c r="K265" s="931"/>
      <c r="L265" s="931"/>
      <c r="M265" s="933" t="s">
        <v>513</v>
      </c>
      <c r="N265" s="933"/>
      <c r="O265" s="933"/>
      <c r="P265" s="933"/>
      <c r="Q265" s="933"/>
      <c r="R265" s="933"/>
      <c r="S265" s="933"/>
      <c r="T265" s="933"/>
      <c r="U265" s="933"/>
      <c r="V265" s="933"/>
      <c r="W265" s="933"/>
      <c r="X265" s="933"/>
    </row>
    <row r="266" spans="1:24">
      <c r="A266" s="931"/>
      <c r="B266" s="931"/>
      <c r="C266" s="931"/>
      <c r="D266" s="931"/>
      <c r="E266" s="931"/>
      <c r="F266" s="931"/>
      <c r="G266" s="931"/>
      <c r="H266" s="931"/>
      <c r="I266" s="931"/>
      <c r="J266" s="931"/>
      <c r="K266" s="931"/>
      <c r="L266" s="931"/>
      <c r="M266" s="933"/>
      <c r="N266" s="933"/>
      <c r="O266" s="933"/>
      <c r="P266" s="933"/>
      <c r="Q266" s="933"/>
      <c r="R266" s="933"/>
      <c r="S266" s="933"/>
      <c r="T266" s="933"/>
      <c r="U266" s="933"/>
      <c r="V266" s="933"/>
      <c r="W266" s="933"/>
      <c r="X266" s="933"/>
    </row>
    <row r="267" spans="1:24">
      <c r="A267" s="797"/>
      <c r="B267" s="797"/>
      <c r="C267" s="797"/>
      <c r="D267" s="797"/>
      <c r="E267" s="797"/>
      <c r="F267" s="797"/>
      <c r="G267" s="797"/>
      <c r="H267" s="797"/>
      <c r="I267" s="797"/>
      <c r="J267" s="797"/>
      <c r="K267" s="797"/>
      <c r="L267" s="797"/>
      <c r="M267" s="797"/>
      <c r="N267" s="797"/>
      <c r="O267" s="797"/>
      <c r="P267" s="797"/>
      <c r="Q267" s="797"/>
      <c r="R267" s="797"/>
      <c r="S267" s="797"/>
      <c r="T267" s="797"/>
      <c r="U267" s="797"/>
      <c r="V267" s="797"/>
      <c r="W267" s="797"/>
      <c r="X267" s="797"/>
    </row>
    <row r="268" spans="1:24">
      <c r="A268" s="797"/>
      <c r="B268" s="797"/>
      <c r="C268" s="797"/>
      <c r="D268" s="797"/>
      <c r="E268" s="797"/>
      <c r="F268" s="797"/>
      <c r="G268" s="797"/>
      <c r="H268" s="936" t="s">
        <v>237</v>
      </c>
      <c r="I268" s="801" t="s">
        <v>477</v>
      </c>
      <c r="J268" s="797"/>
      <c r="K268" s="797"/>
      <c r="L268" s="797"/>
      <c r="M268" s="797"/>
      <c r="N268" s="797"/>
      <c r="O268" s="797"/>
      <c r="P268" s="797"/>
      <c r="Q268" s="797"/>
      <c r="R268" s="797"/>
      <c r="S268" s="797"/>
      <c r="T268" s="797"/>
      <c r="U268" s="797"/>
      <c r="V268" s="797"/>
      <c r="W268" s="797"/>
      <c r="X268" s="797"/>
    </row>
    <row r="269" spans="1:24">
      <c r="A269" s="797"/>
      <c r="B269" s="797"/>
      <c r="C269" s="797"/>
      <c r="D269" s="797"/>
      <c r="E269" s="797"/>
      <c r="F269" s="797"/>
      <c r="G269" s="797"/>
      <c r="H269" s="937" t="s">
        <v>473</v>
      </c>
      <c r="I269" s="937" t="s">
        <v>473</v>
      </c>
      <c r="J269" s="797"/>
      <c r="K269" s="797"/>
      <c r="L269" s="797"/>
      <c r="M269" s="797"/>
      <c r="N269" s="938" t="str">
        <f>A35</f>
        <v>Plan Alto</v>
      </c>
      <c r="O269" s="938"/>
      <c r="P269" s="938"/>
      <c r="Q269" s="938"/>
      <c r="R269" s="938"/>
      <c r="S269" s="938"/>
      <c r="T269" s="938"/>
      <c r="U269" s="938"/>
      <c r="V269" s="938"/>
      <c r="W269" s="939"/>
      <c r="X269" s="797"/>
    </row>
    <row r="270" spans="1:24" ht="18">
      <c r="A270" s="797"/>
      <c r="B270" s="797"/>
      <c r="C270" s="797"/>
      <c r="D270" s="797"/>
      <c r="E270" s="801" t="s">
        <v>226</v>
      </c>
      <c r="F270" s="801" t="s">
        <v>472</v>
      </c>
      <c r="G270" s="797"/>
      <c r="H270" s="937" t="s">
        <v>474</v>
      </c>
      <c r="I270" s="937" t="s">
        <v>474</v>
      </c>
      <c r="J270" s="797"/>
      <c r="K270" s="797"/>
      <c r="L270" s="797"/>
      <c r="M270" s="797"/>
      <c r="N270" s="940" t="s">
        <v>142</v>
      </c>
      <c r="O270" s="940"/>
      <c r="P270" s="940"/>
      <c r="Q270" s="941" t="str">
        <f>A6</f>
        <v>Mallero [mm]</v>
      </c>
      <c r="R270" s="941" t="str">
        <f>C57</f>
        <v>h (N)</v>
      </c>
      <c r="S270" s="941" t="str">
        <f>C56</f>
        <v>a (T1)</v>
      </c>
      <c r="T270" s="780" t="s">
        <v>0</v>
      </c>
      <c r="U270" s="780" t="str">
        <f>K53</f>
        <v>Rtex</v>
      </c>
      <c r="V270" s="942" t="str">
        <f>J53</f>
        <v>Ø del Hilo</v>
      </c>
      <c r="W270" s="780" t="s">
        <v>233</v>
      </c>
      <c r="X270" s="797"/>
    </row>
    <row r="271" spans="1:24">
      <c r="A271" s="797"/>
      <c r="B271" s="797"/>
      <c r="C271" s="797"/>
      <c r="D271" s="797"/>
      <c r="E271" s="943" t="s">
        <v>471</v>
      </c>
      <c r="F271" s="943" t="s">
        <v>471</v>
      </c>
      <c r="G271" s="797"/>
      <c r="H271" s="937" t="s">
        <v>475</v>
      </c>
      <c r="I271" s="937" t="s">
        <v>475</v>
      </c>
      <c r="J271" s="797"/>
      <c r="K271" s="801" t="s">
        <v>480</v>
      </c>
      <c r="L271" s="797"/>
      <c r="M271" s="797"/>
      <c r="N271" s="944" t="str">
        <f>H37</f>
        <v>Punta de ala sup. derecha</v>
      </c>
      <c r="O271" s="944"/>
      <c r="P271" s="944"/>
      <c r="Q271" s="780">
        <f>B55</f>
        <v>80</v>
      </c>
      <c r="R271" s="780">
        <f>H57</f>
        <v>36</v>
      </c>
      <c r="S271" s="780">
        <f>H56</f>
        <v>57</v>
      </c>
      <c r="T271" s="780" t="s">
        <v>1</v>
      </c>
      <c r="U271" s="780">
        <f>K55</f>
        <v>1280</v>
      </c>
      <c r="V271" s="780">
        <f>J55</f>
        <v>1.37</v>
      </c>
      <c r="W271" s="780">
        <v>0.38</v>
      </c>
      <c r="X271" s="797"/>
    </row>
    <row r="272" spans="1:24">
      <c r="A272" s="797"/>
      <c r="B272" s="780" t="s">
        <v>172</v>
      </c>
      <c r="C272" s="785" t="s">
        <v>173</v>
      </c>
      <c r="D272" s="782"/>
      <c r="E272" s="871" t="s">
        <v>228</v>
      </c>
      <c r="F272" s="871" t="s">
        <v>231</v>
      </c>
      <c r="G272" s="945" t="s">
        <v>236</v>
      </c>
      <c r="H272" s="946" t="s">
        <v>476</v>
      </c>
      <c r="I272" s="946" t="s">
        <v>478</v>
      </c>
      <c r="J272" s="947" t="s">
        <v>479</v>
      </c>
      <c r="K272" s="871" t="s">
        <v>481</v>
      </c>
      <c r="L272" s="797"/>
      <c r="M272" s="797"/>
      <c r="N272" s="944" t="str">
        <f>H67</f>
        <v>Ala Superior Derecha</v>
      </c>
      <c r="O272" s="944"/>
      <c r="P272" s="944"/>
      <c r="Q272" s="780">
        <f>B90</f>
        <v>80</v>
      </c>
      <c r="R272" s="780">
        <f>H92</f>
        <v>120</v>
      </c>
      <c r="S272" s="780">
        <f>H91</f>
        <v>117</v>
      </c>
      <c r="T272" s="780" t="s">
        <v>1</v>
      </c>
      <c r="U272" s="780">
        <f>K90</f>
        <v>1280</v>
      </c>
      <c r="V272" s="780">
        <f>J90</f>
        <v>1.37</v>
      </c>
      <c r="W272" s="780">
        <v>0.38</v>
      </c>
      <c r="X272" s="797"/>
    </row>
    <row r="273" spans="1:24">
      <c r="A273" s="797"/>
      <c r="B273" s="780" t="str">
        <f>A37</f>
        <v>A</v>
      </c>
      <c r="C273" s="785" t="str">
        <f>VLOOKUP(B273,A:L,2,FALSE)</f>
        <v xml:space="preserve">Punta de ala sup. izquierda </v>
      </c>
      <c r="D273" s="785"/>
      <c r="E273" s="810">
        <f>'Mecánica de la Red'!K56</f>
        <v>0.38</v>
      </c>
      <c r="F273" s="781">
        <f>'Mecánica de la Red'!L56</f>
        <v>0.92498648638777425</v>
      </c>
      <c r="G273" s="780" t="str">
        <f>I63</f>
        <v>1N2B</v>
      </c>
      <c r="H273" s="780">
        <f>VLOOKUP($G$273,'Tablas de Referencias'!$C$49:$F$88,3,FALSE)</f>
        <v>1</v>
      </c>
      <c r="I273" s="780">
        <f>VLOOKUP($G$273,'Tablas de Referencias'!$C$49:$F$88,4,FALSE)</f>
        <v>2</v>
      </c>
      <c r="J273" s="781">
        <f>(H273*E273)/(I273*F273)</f>
        <v>0.20540840628059501</v>
      </c>
      <c r="K273" s="799">
        <f>DEGREES(ATAN((J273)))</f>
        <v>11.607580652578216</v>
      </c>
      <c r="L273" s="797"/>
      <c r="M273" s="797"/>
      <c r="N273" s="944" t="str">
        <f>B37</f>
        <v xml:space="preserve">Punta de ala sup. izquierda </v>
      </c>
      <c r="O273" s="944"/>
      <c r="P273" s="944"/>
      <c r="Q273" s="780">
        <f>B55</f>
        <v>80</v>
      </c>
      <c r="R273" s="780">
        <f>R271</f>
        <v>36</v>
      </c>
      <c r="S273" s="780">
        <f>T55</f>
        <v>57</v>
      </c>
      <c r="T273" s="780" t="s">
        <v>1</v>
      </c>
      <c r="U273" s="780">
        <f>U271</f>
        <v>1280</v>
      </c>
      <c r="V273" s="780">
        <f>V271</f>
        <v>1.37</v>
      </c>
      <c r="W273" s="780">
        <v>0.38</v>
      </c>
      <c r="X273" s="797"/>
    </row>
    <row r="274" spans="1:24">
      <c r="A274" s="797"/>
      <c r="B274" s="780" t="str">
        <f>A67</f>
        <v>C</v>
      </c>
      <c r="C274" s="785" t="str">
        <f>VLOOKUP(B274,A:L,2,TRUE)</f>
        <v>Ala Superior Izquierda</v>
      </c>
      <c r="D274" s="785"/>
      <c r="E274" s="780">
        <f>'Mecánica de la Red'!K57</f>
        <v>0.38</v>
      </c>
      <c r="F274" s="781">
        <f>'Mecánica de la Red'!L57</f>
        <v>0.92498648638777425</v>
      </c>
      <c r="G274" s="780" t="str">
        <f>H97</f>
        <v>1N2B</v>
      </c>
      <c r="H274" s="780">
        <f>VLOOKUP($G$273,'Tablas de Referencias'!$C$49:$F$88,3,FALSE)</f>
        <v>1</v>
      </c>
      <c r="I274" s="780">
        <f>VLOOKUP($G$273,'Tablas de Referencias'!$C$49:$F$88,4,FALSE)</f>
        <v>2</v>
      </c>
      <c r="J274" s="781">
        <f>(H274*E274)/(I274*F274)</f>
        <v>0.20540840628059501</v>
      </c>
      <c r="K274" s="799">
        <f>DEGREES(ATAN((J274)))</f>
        <v>11.607580652578216</v>
      </c>
      <c r="L274" s="797"/>
      <c r="M274" s="797"/>
      <c r="N274" s="944" t="str">
        <f>B67</f>
        <v>Ala Superior Izquierda</v>
      </c>
      <c r="O274" s="944"/>
      <c r="P274" s="944"/>
      <c r="Q274" s="780">
        <f>B90</f>
        <v>80</v>
      </c>
      <c r="R274" s="780">
        <f>R272</f>
        <v>120</v>
      </c>
      <c r="S274" s="780">
        <f>H91</f>
        <v>117</v>
      </c>
      <c r="T274" s="780" t="s">
        <v>1</v>
      </c>
      <c r="U274" s="780">
        <f>U272</f>
        <v>1280</v>
      </c>
      <c r="V274" s="780">
        <f>V272</f>
        <v>1.37</v>
      </c>
      <c r="W274" s="780">
        <v>0.38</v>
      </c>
      <c r="X274" s="797"/>
    </row>
    <row r="275" spans="1:24">
      <c r="A275" s="797"/>
      <c r="B275" s="780" t="str">
        <f>A100</f>
        <v>E</v>
      </c>
      <c r="C275" s="785" t="str">
        <f>VLOOKUP(B275,A:L,2,TRUE)</f>
        <v>Square</v>
      </c>
      <c r="D275" s="785"/>
      <c r="E275" s="780">
        <f>'Mecánica de la Red'!K58</f>
        <v>0.38</v>
      </c>
      <c r="F275" s="781">
        <f>'Mecánica de la Red'!L58</f>
        <v>0.92498648638777425</v>
      </c>
      <c r="G275" s="780" t="str">
        <f>H127</f>
        <v>1N2B</v>
      </c>
      <c r="H275" s="780">
        <f>VLOOKUP($G$273,'Tablas de Referencias'!$C$49:$F$88,3,FALSE)</f>
        <v>1</v>
      </c>
      <c r="I275" s="780">
        <f>VLOOKUP($G$273,'Tablas de Referencias'!$C$49:$F$88,4,FALSE)</f>
        <v>2</v>
      </c>
      <c r="J275" s="781">
        <f>(H275*E275)/(I275*F275)</f>
        <v>0.20540840628059501</v>
      </c>
      <c r="K275" s="799">
        <f>DEGREES(ATAN((J275)))</f>
        <v>11.607580652578216</v>
      </c>
      <c r="L275" s="797"/>
      <c r="M275" s="797"/>
      <c r="N275" s="944" t="str">
        <f>B100</f>
        <v>Square</v>
      </c>
      <c r="O275" s="944"/>
      <c r="P275" s="944"/>
      <c r="Q275" s="780">
        <f>B120</f>
        <v>60</v>
      </c>
      <c r="R275" s="780">
        <f>H122</f>
        <v>40</v>
      </c>
      <c r="S275" s="780">
        <f>H120</f>
        <v>412</v>
      </c>
      <c r="T275" s="780" t="s">
        <v>1</v>
      </c>
      <c r="U275" s="780">
        <f>K120</f>
        <v>950</v>
      </c>
      <c r="V275" s="780">
        <f>J120</f>
        <v>1.1599999999999999</v>
      </c>
      <c r="W275" s="780">
        <v>0.38</v>
      </c>
      <c r="X275" s="797"/>
    </row>
    <row r="276" spans="1:24">
      <c r="A276" s="797"/>
      <c r="B276" s="780" t="str">
        <f>A133</f>
        <v>G</v>
      </c>
      <c r="C276" s="785" t="str">
        <f>VLOOKUP(B276,A:L,2,TRUE)</f>
        <v>Dorso D1</v>
      </c>
      <c r="D276" s="785"/>
      <c r="E276" s="780">
        <f>'Mecánica de la Red'!K59</f>
        <v>0.38</v>
      </c>
      <c r="F276" s="781">
        <f>'Mecánica de la Red'!L59</f>
        <v>0.92498648638777425</v>
      </c>
      <c r="G276" s="780" t="str">
        <f>H163</f>
        <v>1N2B</v>
      </c>
      <c r="H276" s="780">
        <f>VLOOKUP($G$273,'Tablas de Referencias'!$C$49:$F$88,3,FALSE)</f>
        <v>1</v>
      </c>
      <c r="I276" s="780">
        <f>VLOOKUP($G$273,'Tablas de Referencias'!$C$49:$F$88,4,FALSE)</f>
        <v>2</v>
      </c>
      <c r="J276" s="781">
        <f>(H276*E276)/(I276*F276)</f>
        <v>0.20540840628059501</v>
      </c>
      <c r="K276" s="799">
        <f>DEGREES(ATAN((J276)))</f>
        <v>11.607580652578216</v>
      </c>
      <c r="L276" s="797"/>
      <c r="M276" s="797"/>
      <c r="N276" s="944" t="str">
        <f>B133</f>
        <v>Dorso D1</v>
      </c>
      <c r="O276" s="944"/>
      <c r="P276" s="944"/>
      <c r="Q276" s="780">
        <f>B156</f>
        <v>60</v>
      </c>
      <c r="R276" s="780">
        <f>H158</f>
        <v>210</v>
      </c>
      <c r="S276" s="780">
        <f>H156</f>
        <v>372</v>
      </c>
      <c r="T276" s="780" t="s">
        <v>1</v>
      </c>
      <c r="U276" s="780">
        <f>K156</f>
        <v>950</v>
      </c>
      <c r="V276" s="780">
        <f>J156</f>
        <v>1.1599999999999999</v>
      </c>
      <c r="W276" s="780">
        <v>0.38</v>
      </c>
      <c r="X276" s="797"/>
    </row>
    <row r="277" spans="1:24">
      <c r="A277" s="797"/>
      <c r="B277" s="780" t="str">
        <f>A166</f>
        <v>H</v>
      </c>
      <c r="C277" s="785" t="str">
        <f>VLOOKUP(B277,A:L,2,TRUE)</f>
        <v>Dorso D2</v>
      </c>
      <c r="D277" s="785"/>
      <c r="E277" s="780">
        <f>'Mecánica de la Red'!K60</f>
        <v>0.23</v>
      </c>
      <c r="F277" s="781">
        <f>'Mecánica de la Red'!L60</f>
        <v>0.97319062880814877</v>
      </c>
      <c r="G277" s="780" t="str">
        <f>H196</f>
        <v>1N2B</v>
      </c>
      <c r="H277" s="780">
        <f>VLOOKUP($G$273,'Tablas de Referencias'!$C$49:$F$88,3,FALSE)</f>
        <v>1</v>
      </c>
      <c r="I277" s="780">
        <f>VLOOKUP($G$273,'Tablas de Referencias'!$C$49:$F$88,4,FALSE)</f>
        <v>2</v>
      </c>
      <c r="J277" s="781">
        <f>(H277*E277)/(I277*F277)</f>
        <v>0.1181680100442795</v>
      </c>
      <c r="K277" s="799">
        <f>DEGREES(ATAN((J277)))</f>
        <v>6.7392758463980691</v>
      </c>
      <c r="L277" s="797"/>
      <c r="M277" s="797"/>
      <c r="N277" s="944" t="str">
        <f>B166</f>
        <v>Dorso D2</v>
      </c>
      <c r="O277" s="944"/>
      <c r="P277" s="944"/>
      <c r="Q277" s="780">
        <f>B189</f>
        <v>40</v>
      </c>
      <c r="R277" s="780">
        <f>H191</f>
        <v>130</v>
      </c>
      <c r="S277" s="780">
        <f>H189</f>
        <v>243</v>
      </c>
      <c r="T277" s="780" t="s">
        <v>1</v>
      </c>
      <c r="U277" s="780">
        <f>K189</f>
        <v>950</v>
      </c>
      <c r="V277" s="780">
        <f>J189</f>
        <v>1.1599999999999999</v>
      </c>
      <c r="W277" s="780">
        <v>0.23</v>
      </c>
      <c r="X277" s="797"/>
    </row>
    <row r="278" spans="1:24">
      <c r="A278" s="797"/>
      <c r="B278" s="797"/>
      <c r="C278" s="797"/>
      <c r="D278" s="797"/>
      <c r="E278" s="797"/>
      <c r="F278" s="797"/>
      <c r="G278" s="797"/>
      <c r="H278" s="797"/>
      <c r="I278" s="785" t="s">
        <v>484</v>
      </c>
      <c r="J278" s="785"/>
      <c r="K278" s="799">
        <f>AVERAGE(K273:K277)</f>
        <v>10.633919691342186</v>
      </c>
      <c r="L278" s="797"/>
      <c r="M278" s="797"/>
      <c r="N278" s="944" t="str">
        <f>B199</f>
        <v>Bolsa Superior (Estándar)</v>
      </c>
      <c r="O278" s="944"/>
      <c r="P278" s="944"/>
      <c r="Q278" s="780">
        <f>B222</f>
        <v>40</v>
      </c>
      <c r="R278" s="780">
        <f>H224</f>
        <v>200</v>
      </c>
      <c r="S278" s="780">
        <f>H222</f>
        <v>113</v>
      </c>
      <c r="T278" s="780" t="s">
        <v>1</v>
      </c>
      <c r="U278" s="780">
        <f>K222</f>
        <v>1280</v>
      </c>
      <c r="V278" s="780">
        <f>J222</f>
        <v>1.37</v>
      </c>
      <c r="W278" s="780">
        <v>0.23</v>
      </c>
      <c r="X278" s="797"/>
    </row>
    <row r="279" spans="1:24">
      <c r="A279" s="797"/>
      <c r="B279" s="797"/>
      <c r="C279" s="797"/>
      <c r="D279" s="797"/>
      <c r="E279" s="797"/>
      <c r="F279" s="797"/>
      <c r="G279" s="797"/>
      <c r="H279" s="797"/>
      <c r="I279" s="797"/>
      <c r="J279" s="797"/>
      <c r="K279" s="797"/>
      <c r="L279" s="797"/>
      <c r="M279" s="797"/>
      <c r="N279" s="948" t="str">
        <f>B232</f>
        <v>Bolsa Superior Modificada para Crustáceos</v>
      </c>
      <c r="O279" s="948"/>
      <c r="P279" s="948"/>
      <c r="Q279" s="780">
        <f>B255</f>
        <v>30</v>
      </c>
      <c r="R279" s="780">
        <f>H257</f>
        <v>300</v>
      </c>
      <c r="S279" s="780">
        <f>H255</f>
        <v>139</v>
      </c>
      <c r="T279" s="780" t="s">
        <v>1</v>
      </c>
      <c r="U279" s="780">
        <f>K255</f>
        <v>1280</v>
      </c>
      <c r="V279" s="780">
        <f>J255</f>
        <v>1.37</v>
      </c>
      <c r="W279" s="780">
        <v>0.23</v>
      </c>
      <c r="X279" s="797"/>
    </row>
    <row r="280" spans="1:24">
      <c r="A280" s="797"/>
      <c r="B280" s="797"/>
      <c r="C280" s="797"/>
      <c r="D280" s="797"/>
      <c r="E280" s="797"/>
      <c r="F280" s="797"/>
      <c r="G280" s="797"/>
      <c r="H280" s="797"/>
      <c r="I280" s="797"/>
      <c r="J280" s="797"/>
      <c r="K280" s="797"/>
      <c r="L280" s="797"/>
      <c r="M280" s="797"/>
      <c r="N280" s="783" t="str">
        <f>M35</f>
        <v>Plan Inferior</v>
      </c>
      <c r="O280" s="783"/>
      <c r="P280" s="783"/>
      <c r="Q280" s="783"/>
      <c r="R280" s="783"/>
      <c r="S280" s="783"/>
      <c r="T280" s="783"/>
      <c r="U280" s="783"/>
      <c r="V280" s="783"/>
      <c r="W280" s="784"/>
      <c r="X280" s="797"/>
    </row>
    <row r="281" spans="1:24">
      <c r="A281" s="797"/>
      <c r="B281" s="797"/>
      <c r="C281" s="797"/>
      <c r="D281" s="797"/>
      <c r="E281" s="797"/>
      <c r="F281" s="797"/>
      <c r="G281" s="797"/>
      <c r="H281" s="797"/>
      <c r="I281" s="797"/>
      <c r="J281" s="797"/>
      <c r="K281" s="797"/>
      <c r="L281" s="797"/>
      <c r="M281" s="797"/>
      <c r="N281" s="940" t="s">
        <v>142</v>
      </c>
      <c r="O281" s="940"/>
      <c r="P281" s="940"/>
      <c r="Q281" s="941" t="str">
        <f>Q270</f>
        <v>Mallero [mm]</v>
      </c>
      <c r="R281" s="941" t="str">
        <f>R270</f>
        <v>h (N)</v>
      </c>
      <c r="S281" s="941" t="str">
        <f>S270</f>
        <v>a (T1)</v>
      </c>
      <c r="T281" s="780" t="s">
        <v>0</v>
      </c>
      <c r="U281" s="780" t="str">
        <f>U270</f>
        <v>Rtex</v>
      </c>
      <c r="V281" s="942" t="str">
        <f>V270</f>
        <v>Ø del Hilo</v>
      </c>
      <c r="W281" s="780" t="s">
        <v>233</v>
      </c>
      <c r="X281" s="797"/>
    </row>
    <row r="282" spans="1:24">
      <c r="A282" s="797"/>
      <c r="B282" s="797"/>
      <c r="C282" s="797"/>
      <c r="D282" s="797"/>
      <c r="E282" s="797"/>
      <c r="F282" s="797"/>
      <c r="G282" s="797"/>
      <c r="H282" s="797"/>
      <c r="I282" s="797"/>
      <c r="J282" s="797"/>
      <c r="K282" s="797"/>
      <c r="L282" s="797"/>
      <c r="M282" s="797"/>
      <c r="N282" s="948" t="str">
        <f>T37</f>
        <v>Punta de ala inf. derecha</v>
      </c>
      <c r="O282" s="948"/>
      <c r="P282" s="948"/>
      <c r="Q282" s="780">
        <v>80</v>
      </c>
      <c r="R282" s="780">
        <f>T56</f>
        <v>36</v>
      </c>
      <c r="S282" s="780">
        <f>T55</f>
        <v>57</v>
      </c>
      <c r="T282" s="780" t="s">
        <v>1</v>
      </c>
      <c r="U282" s="780">
        <f>W54</f>
        <v>1280</v>
      </c>
      <c r="V282" s="780">
        <f>V54</f>
        <v>1.37</v>
      </c>
      <c r="W282" s="780">
        <v>0.38</v>
      </c>
      <c r="X282" s="797"/>
    </row>
    <row r="283" spans="1:24">
      <c r="A283" s="797"/>
      <c r="B283" s="797"/>
      <c r="C283" s="797"/>
      <c r="D283" s="797"/>
      <c r="E283" s="797"/>
      <c r="F283" s="797"/>
      <c r="G283" s="797"/>
      <c r="H283" s="797"/>
      <c r="I283" s="797"/>
      <c r="J283" s="797"/>
      <c r="K283" s="797"/>
      <c r="L283" s="797"/>
      <c r="M283" s="797"/>
      <c r="N283" s="944" t="str">
        <f>T67</f>
        <v>Ala Inferior Derecha</v>
      </c>
      <c r="O283" s="944"/>
      <c r="P283" s="944"/>
      <c r="Q283" s="780">
        <v>80</v>
      </c>
      <c r="R283" s="780">
        <f>T91</f>
        <v>120</v>
      </c>
      <c r="S283" s="780">
        <f>T89</f>
        <v>97</v>
      </c>
      <c r="T283" s="780" t="s">
        <v>1</v>
      </c>
      <c r="U283" s="780">
        <f>W89</f>
        <v>1280</v>
      </c>
      <c r="V283" s="780">
        <f>V89</f>
        <v>1.37</v>
      </c>
      <c r="W283" s="780">
        <v>0.38</v>
      </c>
      <c r="X283" s="797"/>
    </row>
    <row r="284" spans="1:24">
      <c r="A284" s="797"/>
      <c r="B284" s="797"/>
      <c r="C284" s="797"/>
      <c r="D284" s="797"/>
      <c r="E284" s="797"/>
      <c r="F284" s="797"/>
      <c r="G284" s="797"/>
      <c r="H284" s="797"/>
      <c r="I284" s="797"/>
      <c r="J284" s="797"/>
      <c r="K284" s="797"/>
      <c r="L284" s="797"/>
      <c r="M284" s="797"/>
      <c r="N284" s="948" t="str">
        <f>N37</f>
        <v>Punta de ala inf. Izquierda</v>
      </c>
      <c r="O284" s="948"/>
      <c r="P284" s="948"/>
      <c r="Q284" s="780">
        <v>80</v>
      </c>
      <c r="R284" s="780">
        <f>R282</f>
        <v>36</v>
      </c>
      <c r="S284" s="780">
        <f>T55</f>
        <v>57</v>
      </c>
      <c r="T284" s="780" t="s">
        <v>1</v>
      </c>
      <c r="U284" s="780">
        <f>U282</f>
        <v>1280</v>
      </c>
      <c r="V284" s="780">
        <f>V282</f>
        <v>1.37</v>
      </c>
      <c r="W284" s="780">
        <v>0.38</v>
      </c>
      <c r="X284" s="797"/>
    </row>
    <row r="285" spans="1:24">
      <c r="A285" s="797"/>
      <c r="B285" s="797"/>
      <c r="C285" s="797"/>
      <c r="D285" s="797"/>
      <c r="E285" s="797"/>
      <c r="F285" s="797"/>
      <c r="G285" s="797"/>
      <c r="H285" s="797"/>
      <c r="I285" s="797"/>
      <c r="J285" s="797"/>
      <c r="K285" s="797"/>
      <c r="L285" s="797"/>
      <c r="M285" s="797"/>
      <c r="N285" s="944" t="str">
        <f>N67</f>
        <v>Ala Inferior Izquierda</v>
      </c>
      <c r="O285" s="944"/>
      <c r="P285" s="944"/>
      <c r="Q285" s="780">
        <v>80</v>
      </c>
      <c r="R285" s="780">
        <f>R283</f>
        <v>120</v>
      </c>
      <c r="S285" s="780">
        <f>S283</f>
        <v>97</v>
      </c>
      <c r="T285" s="780" t="s">
        <v>1</v>
      </c>
      <c r="U285" s="780">
        <f>U283</f>
        <v>1280</v>
      </c>
      <c r="V285" s="780">
        <f>V283</f>
        <v>1.37</v>
      </c>
      <c r="W285" s="780">
        <v>0.38</v>
      </c>
      <c r="X285" s="797"/>
    </row>
    <row r="286" spans="1:24">
      <c r="A286" s="797"/>
      <c r="B286" s="797"/>
      <c r="C286" s="797"/>
      <c r="D286" s="797"/>
      <c r="E286" s="797"/>
      <c r="F286" s="797"/>
      <c r="G286" s="797"/>
      <c r="H286" s="797"/>
      <c r="I286" s="797"/>
      <c r="J286" s="797"/>
      <c r="K286" s="797"/>
      <c r="L286" s="797"/>
      <c r="M286" s="797"/>
      <c r="N286" s="948" t="str">
        <f>T100</f>
        <v>2° SECCIÓN ALA INFERIOR DERECHA</v>
      </c>
      <c r="O286" s="948"/>
      <c r="P286" s="948"/>
      <c r="Q286" s="780">
        <v>60</v>
      </c>
      <c r="R286" s="780">
        <f>T116</f>
        <v>40</v>
      </c>
      <c r="S286" s="780">
        <f>T114</f>
        <v>143</v>
      </c>
      <c r="T286" s="780" t="s">
        <v>1</v>
      </c>
      <c r="U286" s="780">
        <f>W114</f>
        <v>950</v>
      </c>
      <c r="V286" s="780">
        <f>V114</f>
        <v>1.1599999999999999</v>
      </c>
      <c r="W286" s="780">
        <v>0.38</v>
      </c>
      <c r="X286" s="797"/>
    </row>
    <row r="287" spans="1:24">
      <c r="A287" s="797"/>
      <c r="B287" s="797"/>
      <c r="C287" s="797"/>
      <c r="D287" s="797"/>
      <c r="E287" s="797"/>
      <c r="F287" s="797"/>
      <c r="G287" s="797"/>
      <c r="H287" s="797"/>
      <c r="I287" s="797"/>
      <c r="J287" s="797"/>
      <c r="K287" s="797"/>
      <c r="L287" s="797"/>
      <c r="M287" s="797"/>
      <c r="N287" s="948" t="str">
        <f>N100</f>
        <v>2° SECCIÓN ALA INFERIOR IZQUIERDA</v>
      </c>
      <c r="O287" s="948"/>
      <c r="P287" s="948"/>
      <c r="Q287" s="780">
        <v>60</v>
      </c>
      <c r="R287" s="780">
        <f>R286</f>
        <v>40</v>
      </c>
      <c r="S287" s="780">
        <f>T114</f>
        <v>143</v>
      </c>
      <c r="T287" s="780" t="s">
        <v>1</v>
      </c>
      <c r="U287" s="780">
        <f>U286</f>
        <v>950</v>
      </c>
      <c r="V287" s="780">
        <f>V114</f>
        <v>1.1599999999999999</v>
      </c>
      <c r="W287" s="780">
        <v>0.38</v>
      </c>
      <c r="X287" s="797"/>
    </row>
    <row r="288" spans="1:24">
      <c r="A288" s="797"/>
      <c r="B288" s="797"/>
      <c r="C288" s="797"/>
      <c r="D288" s="797"/>
      <c r="E288" s="797"/>
      <c r="F288" s="797"/>
      <c r="G288" s="797"/>
      <c r="H288" s="797"/>
      <c r="I288" s="797"/>
      <c r="J288" s="797"/>
      <c r="K288" s="797"/>
      <c r="L288" s="797"/>
      <c r="M288" s="797"/>
      <c r="N288" s="944" t="str">
        <f>N133</f>
        <v>Vientre V1</v>
      </c>
      <c r="O288" s="944"/>
      <c r="P288" s="944"/>
      <c r="Q288" s="780">
        <v>60</v>
      </c>
      <c r="R288" s="780">
        <f>T158</f>
        <v>210</v>
      </c>
      <c r="S288" s="780">
        <f>T156</f>
        <v>372</v>
      </c>
      <c r="T288" s="780" t="s">
        <v>1</v>
      </c>
      <c r="U288" s="780">
        <f>W156</f>
        <v>950</v>
      </c>
      <c r="V288" s="780">
        <f>V156</f>
        <v>1.1599999999999999</v>
      </c>
      <c r="W288" s="780">
        <v>0.38</v>
      </c>
      <c r="X288" s="797"/>
    </row>
    <row r="289" spans="1:24">
      <c r="A289" s="797"/>
      <c r="B289" s="797"/>
      <c r="C289" s="797"/>
      <c r="D289" s="797"/>
      <c r="E289" s="797"/>
      <c r="F289" s="797"/>
      <c r="G289" s="797"/>
      <c r="H289" s="797"/>
      <c r="I289" s="797"/>
      <c r="J289" s="797"/>
      <c r="K289" s="797"/>
      <c r="L289" s="797"/>
      <c r="M289" s="797"/>
      <c r="N289" s="944" t="str">
        <f>N166</f>
        <v>Vientre V2</v>
      </c>
      <c r="O289" s="944"/>
      <c r="P289" s="944"/>
      <c r="Q289" s="780">
        <v>40</v>
      </c>
      <c r="R289" s="780">
        <f>T191</f>
        <v>130</v>
      </c>
      <c r="S289" s="780">
        <f>T189</f>
        <v>243</v>
      </c>
      <c r="T289" s="780" t="s">
        <v>1</v>
      </c>
      <c r="U289" s="780">
        <f>U288</f>
        <v>950</v>
      </c>
      <c r="V289" s="780">
        <f>V189</f>
        <v>1.1599999999999999</v>
      </c>
      <c r="W289" s="780">
        <v>0.23</v>
      </c>
      <c r="X289" s="797"/>
    </row>
    <row r="290" spans="1:24">
      <c r="A290" s="797"/>
      <c r="B290" s="797"/>
      <c r="C290" s="797"/>
      <c r="D290" s="797"/>
      <c r="E290" s="797"/>
      <c r="F290" s="797"/>
      <c r="G290" s="797"/>
      <c r="H290" s="797"/>
      <c r="I290" s="797"/>
      <c r="J290" s="797"/>
      <c r="K290" s="797"/>
      <c r="L290" s="797"/>
      <c r="M290" s="797"/>
      <c r="N290" s="944" t="str">
        <f>N199</f>
        <v>Bolsa Inferior (Estándar)</v>
      </c>
      <c r="O290" s="944"/>
      <c r="P290" s="944"/>
      <c r="Q290" s="780">
        <v>40</v>
      </c>
      <c r="R290" s="780">
        <f>T224</f>
        <v>250</v>
      </c>
      <c r="S290" s="780">
        <f>T222</f>
        <v>113</v>
      </c>
      <c r="T290" s="780" t="s">
        <v>1</v>
      </c>
      <c r="U290" s="780">
        <f>W222</f>
        <v>1280</v>
      </c>
      <c r="V290" s="780">
        <f>V222</f>
        <v>1.37</v>
      </c>
      <c r="W290" s="780">
        <v>0.23</v>
      </c>
      <c r="X290" s="797"/>
    </row>
    <row r="291" spans="1:24">
      <c r="A291" s="797"/>
      <c r="B291" s="797"/>
      <c r="C291" s="797"/>
      <c r="D291" s="797"/>
      <c r="E291" s="797"/>
      <c r="F291" s="797"/>
      <c r="G291" s="797"/>
      <c r="H291" s="797"/>
      <c r="I291" s="797"/>
      <c r="J291" s="797"/>
      <c r="K291" s="797"/>
      <c r="L291" s="797"/>
      <c r="M291" s="797"/>
      <c r="N291" s="948" t="str">
        <f>N232</f>
        <v>Bolsa Inferior Modificada para Crustáceos</v>
      </c>
      <c r="O291" s="948"/>
      <c r="P291" s="948"/>
      <c r="Q291" s="780">
        <v>30</v>
      </c>
      <c r="R291" s="780">
        <f>T257</f>
        <v>300</v>
      </c>
      <c r="S291" s="780">
        <f>T256</f>
        <v>139</v>
      </c>
      <c r="T291" s="780" t="s">
        <v>1</v>
      </c>
      <c r="U291" s="780">
        <f>W255</f>
        <v>1280</v>
      </c>
      <c r="V291" s="780">
        <f>V255</f>
        <v>1.37</v>
      </c>
      <c r="W291" s="780">
        <v>0.23</v>
      </c>
      <c r="X291" s="797"/>
    </row>
    <row r="298" spans="1:24">
      <c r="A298" s="525"/>
      <c r="B298" s="525"/>
      <c r="C298" s="525"/>
      <c r="D298" s="525"/>
      <c r="E298" s="525"/>
      <c r="F298" s="525"/>
      <c r="G298" s="525"/>
      <c r="H298" s="525"/>
      <c r="I298" s="525"/>
      <c r="J298" s="525"/>
      <c r="K298" s="525"/>
      <c r="L298" s="525"/>
    </row>
    <row r="299" spans="1:24">
      <c r="A299" s="525"/>
      <c r="B299" s="525"/>
      <c r="C299" s="525"/>
      <c r="D299" s="525"/>
      <c r="E299" s="525"/>
      <c r="F299" s="525"/>
      <c r="G299" s="525"/>
      <c r="H299" s="525"/>
      <c r="I299" s="525"/>
      <c r="J299" s="525"/>
      <c r="K299" s="525"/>
      <c r="L299" s="525"/>
    </row>
  </sheetData>
  <mergeCells count="468">
    <mergeCell ref="N276:P276"/>
    <mergeCell ref="N277:P277"/>
    <mergeCell ref="D155:E155"/>
    <mergeCell ref="J261:L263"/>
    <mergeCell ref="B262:C264"/>
    <mergeCell ref="N278:P278"/>
    <mergeCell ref="N291:P291"/>
    <mergeCell ref="N282:P282"/>
    <mergeCell ref="N283:P283"/>
    <mergeCell ref="N284:P284"/>
    <mergeCell ref="N285:P285"/>
    <mergeCell ref="N286:P286"/>
    <mergeCell ref="N287:P287"/>
    <mergeCell ref="N288:P288"/>
    <mergeCell ref="N289:P289"/>
    <mergeCell ref="N290:P290"/>
    <mergeCell ref="N281:P281"/>
    <mergeCell ref="N279:P279"/>
    <mergeCell ref="N280:W280"/>
    <mergeCell ref="N269:W269"/>
    <mergeCell ref="N270:P270"/>
    <mergeCell ref="N271:P271"/>
    <mergeCell ref="N272:P272"/>
    <mergeCell ref="N273:P273"/>
    <mergeCell ref="N274:P274"/>
    <mergeCell ref="N275:P275"/>
    <mergeCell ref="V222:V224"/>
    <mergeCell ref="W222:W224"/>
    <mergeCell ref="V260:X260"/>
    <mergeCell ref="A298:L299"/>
    <mergeCell ref="M265:X266"/>
    <mergeCell ref="A90:A92"/>
    <mergeCell ref="A189:A191"/>
    <mergeCell ref="A222:A224"/>
    <mergeCell ref="M222:M224"/>
    <mergeCell ref="M255:M257"/>
    <mergeCell ref="A255:A257"/>
    <mergeCell ref="A120:A122"/>
    <mergeCell ref="M114:M116"/>
    <mergeCell ref="A156:A158"/>
    <mergeCell ref="M156:M158"/>
    <mergeCell ref="A232:A233"/>
    <mergeCell ref="B232:L233"/>
    <mergeCell ref="M232:M233"/>
    <mergeCell ref="C154:C155"/>
    <mergeCell ref="D154:E154"/>
    <mergeCell ref="F154:G154"/>
    <mergeCell ref="H154:H155"/>
    <mergeCell ref="I154:I155"/>
    <mergeCell ref="K154:K155"/>
    <mergeCell ref="J239:K239"/>
    <mergeCell ref="O261:P261"/>
    <mergeCell ref="O260:P260"/>
    <mergeCell ref="N232:X233"/>
    <mergeCell ref="R225:S225"/>
    <mergeCell ref="N227:O227"/>
    <mergeCell ref="Q227:T227"/>
    <mergeCell ref="V227:X227"/>
    <mergeCell ref="N228:O228"/>
    <mergeCell ref="V228:X230"/>
    <mergeCell ref="N229:O231"/>
    <mergeCell ref="T253:T254"/>
    <mergeCell ref="U253:U254"/>
    <mergeCell ref="W253:W254"/>
    <mergeCell ref="V261:X263"/>
    <mergeCell ref="O262:P264"/>
    <mergeCell ref="P257:Q257"/>
    <mergeCell ref="R257:S257"/>
    <mergeCell ref="P258:Q258"/>
    <mergeCell ref="R258:S258"/>
    <mergeCell ref="J260:L260"/>
    <mergeCell ref="N255:N257"/>
    <mergeCell ref="B255:B257"/>
    <mergeCell ref="D255:E255"/>
    <mergeCell ref="F255:G255"/>
    <mergeCell ref="J255:J257"/>
    <mergeCell ref="K255:K257"/>
    <mergeCell ref="D256:E256"/>
    <mergeCell ref="F256:G256"/>
    <mergeCell ref="D257:E257"/>
    <mergeCell ref="F257:G257"/>
    <mergeCell ref="V255:V257"/>
    <mergeCell ref="W255:W257"/>
    <mergeCell ref="R255:S255"/>
    <mergeCell ref="P256:Q256"/>
    <mergeCell ref="R256:S256"/>
    <mergeCell ref="Q260:T260"/>
    <mergeCell ref="P255:Q255"/>
    <mergeCell ref="C253:C254"/>
    <mergeCell ref="D253:E253"/>
    <mergeCell ref="F253:G253"/>
    <mergeCell ref="H253:H254"/>
    <mergeCell ref="I253:I254"/>
    <mergeCell ref="K253:K254"/>
    <mergeCell ref="R254:S254"/>
    <mergeCell ref="F254:G254"/>
    <mergeCell ref="D254:E254"/>
    <mergeCell ref="R253:S253"/>
    <mergeCell ref="P254:Q254"/>
    <mergeCell ref="O253:O254"/>
    <mergeCell ref="P253:Q253"/>
    <mergeCell ref="P223:Q223"/>
    <mergeCell ref="R223:S223"/>
    <mergeCell ref="P224:Q224"/>
    <mergeCell ref="R224:S224"/>
    <mergeCell ref="B228:C228"/>
    <mergeCell ref="J228:L230"/>
    <mergeCell ref="B229:C231"/>
    <mergeCell ref="N222:N224"/>
    <mergeCell ref="P222:Q222"/>
    <mergeCell ref="P225:Q225"/>
    <mergeCell ref="D225:E225"/>
    <mergeCell ref="F225:G225"/>
    <mergeCell ref="B227:C227"/>
    <mergeCell ref="E227:H227"/>
    <mergeCell ref="J227:L227"/>
    <mergeCell ref="B222:B224"/>
    <mergeCell ref="D222:E222"/>
    <mergeCell ref="F222:G222"/>
    <mergeCell ref="J222:J224"/>
    <mergeCell ref="K222:K224"/>
    <mergeCell ref="D223:E223"/>
    <mergeCell ref="R222:S222"/>
    <mergeCell ref="V195:X197"/>
    <mergeCell ref="N196:O198"/>
    <mergeCell ref="C220:C221"/>
    <mergeCell ref="D220:E220"/>
    <mergeCell ref="F220:G220"/>
    <mergeCell ref="H220:H221"/>
    <mergeCell ref="I220:I221"/>
    <mergeCell ref="K220:K221"/>
    <mergeCell ref="D221:E221"/>
    <mergeCell ref="F221:G221"/>
    <mergeCell ref="R220:S220"/>
    <mergeCell ref="T220:T221"/>
    <mergeCell ref="U220:U221"/>
    <mergeCell ref="W220:W221"/>
    <mergeCell ref="R221:S221"/>
    <mergeCell ref="O220:O221"/>
    <mergeCell ref="P220:Q220"/>
    <mergeCell ref="P221:Q221"/>
    <mergeCell ref="P192:Q192"/>
    <mergeCell ref="R192:S192"/>
    <mergeCell ref="N194:O194"/>
    <mergeCell ref="Q194:T194"/>
    <mergeCell ref="V194:X194"/>
    <mergeCell ref="W189:W191"/>
    <mergeCell ref="P190:Q190"/>
    <mergeCell ref="R190:S190"/>
    <mergeCell ref="P191:Q191"/>
    <mergeCell ref="R191:S191"/>
    <mergeCell ref="J194:L194"/>
    <mergeCell ref="B195:C195"/>
    <mergeCell ref="J195:L197"/>
    <mergeCell ref="B196:C198"/>
    <mergeCell ref="O187:O188"/>
    <mergeCell ref="N195:O195"/>
    <mergeCell ref="M189:M191"/>
    <mergeCell ref="F191:G191"/>
    <mergeCell ref="D192:E192"/>
    <mergeCell ref="F192:G192"/>
    <mergeCell ref="B194:C194"/>
    <mergeCell ref="E194:H194"/>
    <mergeCell ref="P187:Q187"/>
    <mergeCell ref="R187:S187"/>
    <mergeCell ref="T187:T188"/>
    <mergeCell ref="U187:U188"/>
    <mergeCell ref="W187:W188"/>
    <mergeCell ref="P188:Q188"/>
    <mergeCell ref="R188:S188"/>
    <mergeCell ref="N189:N191"/>
    <mergeCell ref="P189:Q189"/>
    <mergeCell ref="R189:S189"/>
    <mergeCell ref="V189:V191"/>
    <mergeCell ref="P155:Q155"/>
    <mergeCell ref="R155:S155"/>
    <mergeCell ref="P159:Q159"/>
    <mergeCell ref="R159:S159"/>
    <mergeCell ref="N161:O161"/>
    <mergeCell ref="Q161:T161"/>
    <mergeCell ref="V161:X161"/>
    <mergeCell ref="N162:O162"/>
    <mergeCell ref="W156:W158"/>
    <mergeCell ref="U154:U155"/>
    <mergeCell ref="N156:N158"/>
    <mergeCell ref="P156:Q156"/>
    <mergeCell ref="R156:S156"/>
    <mergeCell ref="V156:V158"/>
    <mergeCell ref="P157:Q157"/>
    <mergeCell ref="R157:S157"/>
    <mergeCell ref="P158:Q158"/>
    <mergeCell ref="R158:S158"/>
    <mergeCell ref="O154:O155"/>
    <mergeCell ref="P154:Q154"/>
    <mergeCell ref="R154:S154"/>
    <mergeCell ref="T154:T155"/>
    <mergeCell ref="V162:X164"/>
    <mergeCell ref="N163:O165"/>
    <mergeCell ref="J161:L161"/>
    <mergeCell ref="B162:C162"/>
    <mergeCell ref="J162:L164"/>
    <mergeCell ref="B163:C165"/>
    <mergeCell ref="D157:E157"/>
    <mergeCell ref="F157:G157"/>
    <mergeCell ref="D158:E158"/>
    <mergeCell ref="F158:G158"/>
    <mergeCell ref="D159:E159"/>
    <mergeCell ref="F159:G159"/>
    <mergeCell ref="B156:B158"/>
    <mergeCell ref="J156:J158"/>
    <mergeCell ref="K156:K158"/>
    <mergeCell ref="R112:S112"/>
    <mergeCell ref="T112:T113"/>
    <mergeCell ref="U112:U113"/>
    <mergeCell ref="P113:Q113"/>
    <mergeCell ref="R113:S113"/>
    <mergeCell ref="D156:E156"/>
    <mergeCell ref="F156:G156"/>
    <mergeCell ref="W89:W91"/>
    <mergeCell ref="K88:K89"/>
    <mergeCell ref="K90:K92"/>
    <mergeCell ref="M89:M91"/>
    <mergeCell ref="N121:O121"/>
    <mergeCell ref="V121:X123"/>
    <mergeCell ref="N122:O124"/>
    <mergeCell ref="W112:W113"/>
    <mergeCell ref="W114:W116"/>
    <mergeCell ref="P117:Q117"/>
    <mergeCell ref="R117:S117"/>
    <mergeCell ref="N120:O120"/>
    <mergeCell ref="Q120:T120"/>
    <mergeCell ref="V120:X120"/>
    <mergeCell ref="N114:N116"/>
    <mergeCell ref="P114:Q114"/>
    <mergeCell ref="W154:W155"/>
    <mergeCell ref="A166:A167"/>
    <mergeCell ref="B166:L167"/>
    <mergeCell ref="M166:M167"/>
    <mergeCell ref="N166:X167"/>
    <mergeCell ref="B199:L200"/>
    <mergeCell ref="A199:A200"/>
    <mergeCell ref="N199:X200"/>
    <mergeCell ref="M199:M200"/>
    <mergeCell ref="B189:B191"/>
    <mergeCell ref="D189:E189"/>
    <mergeCell ref="F189:G189"/>
    <mergeCell ref="J189:J191"/>
    <mergeCell ref="K189:K191"/>
    <mergeCell ref="D190:E190"/>
    <mergeCell ref="F190:G190"/>
    <mergeCell ref="D191:E191"/>
    <mergeCell ref="C187:C188"/>
    <mergeCell ref="D187:E187"/>
    <mergeCell ref="F187:G187"/>
    <mergeCell ref="H187:H188"/>
    <mergeCell ref="I187:I188"/>
    <mergeCell ref="K187:K188"/>
    <mergeCell ref="D188:E188"/>
    <mergeCell ref="F188:G188"/>
    <mergeCell ref="A133:A134"/>
    <mergeCell ref="B133:L134"/>
    <mergeCell ref="M133:M134"/>
    <mergeCell ref="N133:X134"/>
    <mergeCell ref="J125:L125"/>
    <mergeCell ref="J126:L128"/>
    <mergeCell ref="B125:C125"/>
    <mergeCell ref="B126:C126"/>
    <mergeCell ref="B127:C129"/>
    <mergeCell ref="E125:H125"/>
    <mergeCell ref="J96:L98"/>
    <mergeCell ref="B95:C95"/>
    <mergeCell ref="B96:C96"/>
    <mergeCell ref="B97:C99"/>
    <mergeCell ref="E95:H95"/>
    <mergeCell ref="N89:N91"/>
    <mergeCell ref="B90:B92"/>
    <mergeCell ref="B55:B57"/>
    <mergeCell ref="J95:L95"/>
    <mergeCell ref="F58:G58"/>
    <mergeCell ref="F61:I61"/>
    <mergeCell ref="F93:G93"/>
    <mergeCell ref="H88:H89"/>
    <mergeCell ref="J90:J92"/>
    <mergeCell ref="F88:G88"/>
    <mergeCell ref="F89:G89"/>
    <mergeCell ref="F90:G90"/>
    <mergeCell ref="F91:G91"/>
    <mergeCell ref="F92:G92"/>
    <mergeCell ref="D89:E89"/>
    <mergeCell ref="D88:E88"/>
    <mergeCell ref="D90:E90"/>
    <mergeCell ref="D91:E91"/>
    <mergeCell ref="D92:E92"/>
    <mergeCell ref="A100:A101"/>
    <mergeCell ref="N100:R101"/>
    <mergeCell ref="M100:M101"/>
    <mergeCell ref="S100:S101"/>
    <mergeCell ref="T100:X101"/>
    <mergeCell ref="B100:L101"/>
    <mergeCell ref="B120:B122"/>
    <mergeCell ref="K118:K119"/>
    <mergeCell ref="K120:K122"/>
    <mergeCell ref="D121:E121"/>
    <mergeCell ref="F121:G121"/>
    <mergeCell ref="D122:E122"/>
    <mergeCell ref="F122:G122"/>
    <mergeCell ref="D120:E120"/>
    <mergeCell ref="F120:G120"/>
    <mergeCell ref="J120:J122"/>
    <mergeCell ref="R114:S114"/>
    <mergeCell ref="V114:V116"/>
    <mergeCell ref="P115:Q115"/>
    <mergeCell ref="R115:S115"/>
    <mergeCell ref="P116:Q116"/>
    <mergeCell ref="R116:S116"/>
    <mergeCell ref="O112:O113"/>
    <mergeCell ref="P112:Q112"/>
    <mergeCell ref="N96:O96"/>
    <mergeCell ref="V96:X98"/>
    <mergeCell ref="N97:O99"/>
    <mergeCell ref="W87:W88"/>
    <mergeCell ref="P91:Q91"/>
    <mergeCell ref="R91:S91"/>
    <mergeCell ref="P88:Q88"/>
    <mergeCell ref="R88:S88"/>
    <mergeCell ref="P89:Q89"/>
    <mergeCell ref="R89:S89"/>
    <mergeCell ref="P90:Q90"/>
    <mergeCell ref="R90:S90"/>
    <mergeCell ref="P87:Q87"/>
    <mergeCell ref="N95:O95"/>
    <mergeCell ref="O87:O88"/>
    <mergeCell ref="T87:T88"/>
    <mergeCell ref="U87:U88"/>
    <mergeCell ref="V89:V91"/>
    <mergeCell ref="P92:Q92"/>
    <mergeCell ref="R92:S92"/>
    <mergeCell ref="Q95:T95"/>
    <mergeCell ref="V95:X95"/>
    <mergeCell ref="R87:S87"/>
    <mergeCell ref="S67:S68"/>
    <mergeCell ref="C53:C54"/>
    <mergeCell ref="D53:E53"/>
    <mergeCell ref="F53:G53"/>
    <mergeCell ref="H53:H54"/>
    <mergeCell ref="I53:I54"/>
    <mergeCell ref="D54:E54"/>
    <mergeCell ref="F54:G54"/>
    <mergeCell ref="D55:E55"/>
    <mergeCell ref="F55:G55"/>
    <mergeCell ref="N60:O60"/>
    <mergeCell ref="J55:J57"/>
    <mergeCell ref="D56:E56"/>
    <mergeCell ref="F56:G56"/>
    <mergeCell ref="D57:E57"/>
    <mergeCell ref="F57:G57"/>
    <mergeCell ref="D58:E58"/>
    <mergeCell ref="Q60:T60"/>
    <mergeCell ref="B67:F68"/>
    <mergeCell ref="R56:S56"/>
    <mergeCell ref="P53:Q53"/>
    <mergeCell ref="R53:S53"/>
    <mergeCell ref="V60:X60"/>
    <mergeCell ref="V61:X63"/>
    <mergeCell ref="N62:O64"/>
    <mergeCell ref="A35:L36"/>
    <mergeCell ref="B37:F37"/>
    <mergeCell ref="H37:L37"/>
    <mergeCell ref="N37:R37"/>
    <mergeCell ref="P52:Q52"/>
    <mergeCell ref="R52:S52"/>
    <mergeCell ref="A55:A57"/>
    <mergeCell ref="M35:X36"/>
    <mergeCell ref="K53:K54"/>
    <mergeCell ref="K55:K57"/>
    <mergeCell ref="N54:N56"/>
    <mergeCell ref="W52:W53"/>
    <mergeCell ref="W54:W56"/>
    <mergeCell ref="M54:M56"/>
    <mergeCell ref="P54:Q54"/>
    <mergeCell ref="P55:Q55"/>
    <mergeCell ref="P56:Q56"/>
    <mergeCell ref="R54:S54"/>
    <mergeCell ref="R55:S55"/>
    <mergeCell ref="T37:X37"/>
    <mergeCell ref="C276:D276"/>
    <mergeCell ref="D93:E93"/>
    <mergeCell ref="C88:C89"/>
    <mergeCell ref="I88:I89"/>
    <mergeCell ref="C118:C119"/>
    <mergeCell ref="D118:E118"/>
    <mergeCell ref="F118:G118"/>
    <mergeCell ref="H118:H119"/>
    <mergeCell ref="I118:I119"/>
    <mergeCell ref="D119:E119"/>
    <mergeCell ref="F119:G119"/>
    <mergeCell ref="D123:E123"/>
    <mergeCell ref="F123:G123"/>
    <mergeCell ref="B161:C161"/>
    <mergeCell ref="E161:H161"/>
    <mergeCell ref="B261:C261"/>
    <mergeCell ref="F223:G223"/>
    <mergeCell ref="D224:E224"/>
    <mergeCell ref="F224:G224"/>
    <mergeCell ref="D258:E258"/>
    <mergeCell ref="F258:G258"/>
    <mergeCell ref="B260:C260"/>
    <mergeCell ref="E260:H260"/>
    <mergeCell ref="F155:G155"/>
    <mergeCell ref="C277:D277"/>
    <mergeCell ref="I278:J278"/>
    <mergeCell ref="L55:L57"/>
    <mergeCell ref="X54:X56"/>
    <mergeCell ref="L90:L92"/>
    <mergeCell ref="X89:X91"/>
    <mergeCell ref="L120:L122"/>
    <mergeCell ref="X114:X116"/>
    <mergeCell ref="L156:L158"/>
    <mergeCell ref="X156:X158"/>
    <mergeCell ref="L189:L191"/>
    <mergeCell ref="X189:X191"/>
    <mergeCell ref="L222:L224"/>
    <mergeCell ref="X222:X224"/>
    <mergeCell ref="L255:L257"/>
    <mergeCell ref="X255:X257"/>
    <mergeCell ref="T67:X68"/>
    <mergeCell ref="H67:L68"/>
    <mergeCell ref="V54:V56"/>
    <mergeCell ref="A265:L266"/>
    <mergeCell ref="C272:D272"/>
    <mergeCell ref="C273:D273"/>
    <mergeCell ref="C274:D274"/>
    <mergeCell ref="C275:D275"/>
    <mergeCell ref="M3:N3"/>
    <mergeCell ref="M4:N4"/>
    <mergeCell ref="N61:O61"/>
    <mergeCell ref="A1:L2"/>
    <mergeCell ref="A3:B3"/>
    <mergeCell ref="A4:B4"/>
    <mergeCell ref="A5:B5"/>
    <mergeCell ref="A6:B6"/>
    <mergeCell ref="A7:B7"/>
    <mergeCell ref="A8:B8"/>
    <mergeCell ref="A9:B9"/>
    <mergeCell ref="A10:B10"/>
    <mergeCell ref="A67:A68"/>
    <mergeCell ref="G67:G68"/>
    <mergeCell ref="M67:M68"/>
    <mergeCell ref="N67:R68"/>
    <mergeCell ref="A25:B25"/>
    <mergeCell ref="A26:B26"/>
    <mergeCell ref="A27:B27"/>
    <mergeCell ref="A28:B28"/>
    <mergeCell ref="M5:N5"/>
    <mergeCell ref="M6:N6"/>
    <mergeCell ref="M7:N7"/>
    <mergeCell ref="M19:N19"/>
    <mergeCell ref="M20:N20"/>
    <mergeCell ref="M21:N21"/>
    <mergeCell ref="M22:N22"/>
    <mergeCell ref="M23:N23"/>
    <mergeCell ref="A24:B24"/>
    <mergeCell ref="A11:B11"/>
    <mergeCell ref="A13:B13"/>
    <mergeCell ref="A14:B14"/>
    <mergeCell ref="A15:B15"/>
    <mergeCell ref="A16:B16"/>
    <mergeCell ref="A17:B17"/>
  </mergeCells>
  <pageMargins left="0.25" right="0.25" top="0.75" bottom="0.75" header="0.3" footer="0.3"/>
  <pageSetup paperSize="9" scale="98" orientation="landscape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2"/>
  <sheetViews>
    <sheetView workbookViewId="0">
      <selection activeCell="H17" sqref="H17"/>
    </sheetView>
  </sheetViews>
  <sheetFormatPr baseColWidth="10" defaultRowHeight="15"/>
  <cols>
    <col min="2" max="2" width="11.85546875" bestFit="1" customWidth="1"/>
    <col min="4" max="4" width="9.140625" customWidth="1"/>
    <col min="5" max="5" width="9.5703125" customWidth="1"/>
    <col min="6" max="6" width="16.85546875" customWidth="1"/>
    <col min="7" max="7" width="12.140625" customWidth="1"/>
    <col min="8" max="8" width="11.85546875" customWidth="1"/>
  </cols>
  <sheetData>
    <row r="1" spans="1:10" ht="21">
      <c r="A1" s="539" t="s">
        <v>739</v>
      </c>
      <c r="B1" s="540"/>
      <c r="C1" s="540"/>
      <c r="D1" s="540"/>
      <c r="E1" s="540"/>
      <c r="F1" s="540"/>
      <c r="G1" s="540"/>
      <c r="H1" s="540"/>
      <c r="I1" s="540"/>
      <c r="J1" s="335"/>
    </row>
    <row r="2" spans="1:10">
      <c r="A2" s="319"/>
      <c r="B2" s="300"/>
      <c r="C2" s="300"/>
      <c r="D2" s="1" t="s">
        <v>0</v>
      </c>
      <c r="E2" s="2" t="s">
        <v>257</v>
      </c>
      <c r="F2" s="3" t="str">
        <f>'Tablas de Referencias'!D292</f>
        <v>CONSTRUCCION</v>
      </c>
      <c r="G2" s="347" t="str">
        <f>'Tablas de Referencias'!E292</f>
        <v>Kg/m</v>
      </c>
      <c r="H2" s="333" t="str">
        <f>'Tablas de Referencias'!F292</f>
        <v>Resistencia [ton]</v>
      </c>
      <c r="I2" s="1" t="s">
        <v>257</v>
      </c>
      <c r="J2" s="347" t="s">
        <v>944</v>
      </c>
    </row>
    <row r="3" spans="1:10">
      <c r="A3" s="535" t="str">
        <f t="array" ref="A3">'Dimensiones de la Red'!B45:E45</f>
        <v>Lima, Relinga Superior (L)</v>
      </c>
      <c r="B3" s="474"/>
      <c r="C3" s="474"/>
      <c r="D3" s="474" t="s">
        <v>825</v>
      </c>
      <c r="E3" s="474"/>
      <c r="F3" s="474"/>
      <c r="G3" s="347">
        <f>LOOKUP(resulmat,cabl,'Tablas de Referencias'!E293:E296)</f>
        <v>0.438</v>
      </c>
      <c r="H3" s="347">
        <f>LOOKUP(resulmat,cabl,'Tablas de Referencias'!F293:F296)</f>
        <v>3.48</v>
      </c>
      <c r="I3" s="1">
        <f>LOOKUP(resulmat,cabl,diamcab)</f>
        <v>12</v>
      </c>
      <c r="J3" s="347">
        <f>Lima</f>
        <v>28.698</v>
      </c>
    </row>
    <row r="4" spans="1:10">
      <c r="A4" s="535" t="str">
        <f t="array" ref="A4">'Dimensiones de la Red'!B46:E46</f>
        <v>Burlon, Relinga Inferior (m)</v>
      </c>
      <c r="B4" s="474"/>
      <c r="C4" s="474"/>
      <c r="D4" s="474" t="s">
        <v>826</v>
      </c>
      <c r="E4" s="474"/>
      <c r="F4" s="474"/>
      <c r="G4" s="347">
        <f>LOOKUP(D4,cabl,'Tablas de Referencias'!E293:E296)</f>
        <v>0.624</v>
      </c>
      <c r="H4" s="347">
        <f>LOOKUP(D4,cabl,'Tablas de Referencias'!F293:F296)</f>
        <v>8.6999999999999993</v>
      </c>
      <c r="I4" s="1">
        <f>LOOKUP(D4,cabl,diamcab)</f>
        <v>14</v>
      </c>
      <c r="J4" s="347">
        <f>Burlon</f>
        <v>33.299999999999997</v>
      </c>
    </row>
    <row r="5" spans="1:10" ht="15.75" thickBot="1">
      <c r="A5" s="474" t="s">
        <v>946</v>
      </c>
      <c r="B5" s="474"/>
      <c r="C5" s="474"/>
      <c r="D5" s="322"/>
      <c r="E5" s="322"/>
      <c r="F5" s="322"/>
      <c r="G5" s="322"/>
      <c r="H5" s="322"/>
      <c r="I5" s="322"/>
      <c r="J5" s="347">
        <f>ROUNDUP(4*'Dimensiones de la Red'!C155,1)</f>
        <v>11.6</v>
      </c>
    </row>
    <row r="6" spans="1:10">
      <c r="B6" s="424"/>
    </row>
    <row r="7" spans="1:10" ht="15.75" thickBot="1">
      <c r="F7" s="424"/>
    </row>
    <row r="8" spans="1:10">
      <c r="A8" s="334"/>
      <c r="B8" s="384"/>
      <c r="C8" s="384"/>
      <c r="D8" s="384"/>
      <c r="E8" s="384"/>
      <c r="F8" s="384"/>
      <c r="G8" s="384"/>
      <c r="H8" s="384"/>
      <c r="I8" s="384"/>
      <c r="J8" s="335"/>
    </row>
    <row r="9" spans="1:10" ht="18.75">
      <c r="A9" s="533" t="s">
        <v>861</v>
      </c>
      <c r="B9" s="534"/>
      <c r="C9" s="534"/>
      <c r="D9" s="534"/>
      <c r="E9" s="534"/>
      <c r="F9" s="534"/>
      <c r="G9" s="534"/>
      <c r="H9" s="534"/>
      <c r="I9" s="534"/>
      <c r="J9" s="320"/>
    </row>
    <row r="10" spans="1:10">
      <c r="A10" s="319"/>
      <c r="B10" s="300"/>
      <c r="C10" s="300"/>
      <c r="D10" s="474" t="s">
        <v>933</v>
      </c>
      <c r="E10" s="474"/>
      <c r="F10" s="474"/>
      <c r="G10" s="332" t="s">
        <v>941</v>
      </c>
      <c r="H10" s="347" t="s">
        <v>942</v>
      </c>
      <c r="I10" s="536" t="s">
        <v>943</v>
      </c>
      <c r="J10" s="537"/>
    </row>
    <row r="11" spans="1:10">
      <c r="A11" s="535" t="s">
        <v>932</v>
      </c>
      <c r="B11" s="474"/>
      <c r="C11" s="474"/>
      <c r="D11" s="474" t="str">
        <f>LOOKUP('Cables de Remolque'!E264,diamremolque,'Tablas de Referencias'!C338:C343)</f>
        <v>CA 6X19+1 AT Seale Compactado</v>
      </c>
      <c r="E11" s="474"/>
      <c r="F11" s="474"/>
      <c r="G11" s="347">
        <f>LOOKUP('Cables de Remolque'!E264,diamremolque,diamremolque)</f>
        <v>12</v>
      </c>
      <c r="H11" s="347">
        <f>LOOKUP('Cables de Remolque'!E264,diamremolque,pesoremolque)</f>
        <v>0.53100000000000003</v>
      </c>
      <c r="I11" s="474">
        <f>LOOKUP('Cables de Remolque'!E264,diamremolque,resisremolque)</f>
        <v>8.5500000000000007</v>
      </c>
      <c r="J11" s="538"/>
    </row>
    <row r="12" spans="1:10" ht="15.75" thickBot="1">
      <c r="A12" s="321"/>
      <c r="B12" s="474" t="s">
        <v>945</v>
      </c>
      <c r="C12" s="474"/>
      <c r="D12" s="347">
        <f>'Cables de Remolque'!F255*2+('Cables de Remolque'!F255*0.5)</f>
        <v>500</v>
      </c>
      <c r="E12" s="322" t="s">
        <v>560</v>
      </c>
      <c r="F12" s="322"/>
      <c r="G12" s="322"/>
      <c r="H12" s="322"/>
      <c r="I12" s="322"/>
      <c r="J12" s="323"/>
    </row>
  </sheetData>
  <mergeCells count="13">
    <mergeCell ref="A1:I1"/>
    <mergeCell ref="A3:C3"/>
    <mergeCell ref="A4:C4"/>
    <mergeCell ref="D3:F3"/>
    <mergeCell ref="D4:F4"/>
    <mergeCell ref="B12:C12"/>
    <mergeCell ref="A5:C5"/>
    <mergeCell ref="A9:I9"/>
    <mergeCell ref="A11:C11"/>
    <mergeCell ref="D10:F10"/>
    <mergeCell ref="D11:F11"/>
    <mergeCell ref="I10:J10"/>
    <mergeCell ref="I11:J11"/>
  </mergeCells>
  <dataValidations count="1">
    <dataValidation type="list" allowBlank="1" showInputMessage="1" showErrorMessage="1" sqref="D3:F4">
      <formula1>cabl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83"/>
  <sheetViews>
    <sheetView topLeftCell="A138" zoomScale="90" zoomScaleNormal="90" workbookViewId="0">
      <selection activeCell="S188" sqref="S188"/>
    </sheetView>
  </sheetViews>
  <sheetFormatPr baseColWidth="10" defaultRowHeight="15"/>
  <cols>
    <col min="2" max="2" width="11.85546875" bestFit="1" customWidth="1"/>
    <col min="6" max="6" width="11.85546875" bestFit="1" customWidth="1"/>
  </cols>
  <sheetData>
    <row r="1" spans="1:16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16" ht="26.25">
      <c r="A2" s="56"/>
      <c r="B2" s="56"/>
      <c r="C2" s="56"/>
      <c r="D2" s="565" t="s">
        <v>387</v>
      </c>
      <c r="E2" s="565"/>
      <c r="F2" s="565"/>
      <c r="G2" s="565"/>
      <c r="H2" s="565"/>
      <c r="I2" s="565"/>
      <c r="J2" s="565"/>
      <c r="K2" s="565"/>
      <c r="L2" s="565"/>
      <c r="M2" s="56"/>
      <c r="N2" s="56"/>
      <c r="O2" s="56"/>
      <c r="P2" s="56"/>
    </row>
    <row r="3" spans="1:16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</row>
    <row r="4" spans="1:16" ht="18">
      <c r="A4" s="56"/>
      <c r="B4" s="56"/>
      <c r="C4" s="56"/>
      <c r="D4" s="566" t="s">
        <v>172</v>
      </c>
      <c r="E4" s="559" t="s">
        <v>173</v>
      </c>
      <c r="F4" s="568"/>
      <c r="G4" s="560"/>
      <c r="H4" s="150" t="s">
        <v>174</v>
      </c>
      <c r="I4" s="152" t="s">
        <v>179</v>
      </c>
      <c r="J4" s="150" t="s">
        <v>177</v>
      </c>
      <c r="K4" s="566" t="s">
        <v>180</v>
      </c>
      <c r="L4" s="56"/>
      <c r="M4" s="56"/>
      <c r="N4" s="56"/>
      <c r="O4" s="56"/>
      <c r="P4" s="56"/>
    </row>
    <row r="5" spans="1:16" ht="18">
      <c r="A5" s="56"/>
      <c r="B5" s="56"/>
      <c r="C5" s="56"/>
      <c r="D5" s="567"/>
      <c r="E5" s="563"/>
      <c r="F5" s="571"/>
      <c r="G5" s="564"/>
      <c r="H5" s="151" t="s">
        <v>175</v>
      </c>
      <c r="I5" s="151" t="s">
        <v>176</v>
      </c>
      <c r="J5" s="151" t="s">
        <v>178</v>
      </c>
      <c r="K5" s="567"/>
      <c r="L5" s="56"/>
      <c r="M5" s="56"/>
      <c r="N5" s="56"/>
      <c r="O5" s="56"/>
      <c r="P5" s="56"/>
    </row>
    <row r="6" spans="1:16">
      <c r="A6" s="56"/>
      <c r="B6" s="56"/>
      <c r="C6" s="56"/>
      <c r="D6" s="58" t="str">
        <f t="shared" ref="D6:E12" si="0">C29</f>
        <v>A+B</v>
      </c>
      <c r="E6" s="550" t="str">
        <f t="shared" si="0"/>
        <v>Punta de Alas</v>
      </c>
      <c r="F6" s="552"/>
      <c r="G6" s="551"/>
      <c r="H6" s="57">
        <f>F29</f>
        <v>4</v>
      </c>
      <c r="I6" s="162">
        <f t="shared" ref="I6:J14" si="1">H29</f>
        <v>1.37</v>
      </c>
      <c r="J6" s="57">
        <f t="shared" si="1"/>
        <v>80</v>
      </c>
      <c r="K6" s="153">
        <f>(I6/J6)*H6</f>
        <v>6.8500000000000005E-2</v>
      </c>
      <c r="L6" s="56"/>
      <c r="M6" s="56"/>
      <c r="N6" s="56"/>
      <c r="O6" s="56"/>
      <c r="P6" s="56"/>
    </row>
    <row r="7" spans="1:16">
      <c r="A7" s="56"/>
      <c r="B7" s="56"/>
      <c r="C7" s="56"/>
      <c r="D7" s="58" t="str">
        <f t="shared" si="0"/>
        <v>C</v>
      </c>
      <c r="E7" s="550" t="str">
        <f t="shared" si="0"/>
        <v>A. Superiores</v>
      </c>
      <c r="F7" s="552"/>
      <c r="G7" s="551"/>
      <c r="H7" s="57">
        <f t="shared" ref="H7:H14" si="2">F30</f>
        <v>2</v>
      </c>
      <c r="I7" s="162">
        <f t="shared" si="1"/>
        <v>1.37</v>
      </c>
      <c r="J7" s="57">
        <f t="shared" si="1"/>
        <v>80</v>
      </c>
      <c r="K7" s="153">
        <f t="shared" ref="K7:K14" si="3">(I7/J7)*H7</f>
        <v>3.4250000000000003E-2</v>
      </c>
      <c r="L7" s="56"/>
      <c r="M7" s="56"/>
      <c r="N7" s="56"/>
      <c r="O7" s="56"/>
      <c r="P7" s="56"/>
    </row>
    <row r="8" spans="1:16">
      <c r="A8" s="56"/>
      <c r="B8" s="56"/>
      <c r="C8" s="56"/>
      <c r="D8" s="58" t="str">
        <f t="shared" si="0"/>
        <v>E</v>
      </c>
      <c r="E8" s="550" t="str">
        <f t="shared" si="0"/>
        <v>Square</v>
      </c>
      <c r="F8" s="552"/>
      <c r="G8" s="551"/>
      <c r="H8" s="57">
        <f t="shared" si="2"/>
        <v>1</v>
      </c>
      <c r="I8" s="162">
        <f t="shared" si="1"/>
        <v>1.1599999999999999</v>
      </c>
      <c r="J8" s="57">
        <f t="shared" si="1"/>
        <v>60</v>
      </c>
      <c r="K8" s="153">
        <f t="shared" si="3"/>
        <v>1.9333333333333331E-2</v>
      </c>
      <c r="L8" s="56"/>
      <c r="M8" s="56"/>
      <c r="N8" s="56"/>
      <c r="O8" s="56"/>
      <c r="P8" s="56"/>
    </row>
    <row r="9" spans="1:16">
      <c r="A9" s="56"/>
      <c r="B9" s="56"/>
      <c r="C9" s="56"/>
      <c r="D9" s="58" t="str">
        <f t="shared" si="0"/>
        <v>G</v>
      </c>
      <c r="E9" s="550" t="str">
        <f t="shared" si="0"/>
        <v>Dorso/Vientre</v>
      </c>
      <c r="F9" s="552"/>
      <c r="G9" s="551"/>
      <c r="H9" s="57">
        <f t="shared" si="2"/>
        <v>2</v>
      </c>
      <c r="I9" s="162">
        <f t="shared" si="1"/>
        <v>1.1599999999999999</v>
      </c>
      <c r="J9" s="57">
        <f t="shared" si="1"/>
        <v>60</v>
      </c>
      <c r="K9" s="153">
        <f t="shared" si="3"/>
        <v>3.8666666666666662E-2</v>
      </c>
      <c r="L9" s="56"/>
      <c r="M9" s="56"/>
      <c r="N9" s="56"/>
      <c r="O9" s="56"/>
      <c r="P9" s="56"/>
    </row>
    <row r="10" spans="1:16">
      <c r="A10" s="56"/>
      <c r="B10" s="56"/>
      <c r="C10" s="56"/>
      <c r="D10" s="58" t="str">
        <f t="shared" si="0"/>
        <v>H</v>
      </c>
      <c r="E10" s="550" t="str">
        <f t="shared" si="0"/>
        <v>Vientre V2</v>
      </c>
      <c r="F10" s="552"/>
      <c r="G10" s="551"/>
      <c r="H10" s="57">
        <f t="shared" si="2"/>
        <v>2</v>
      </c>
      <c r="I10" s="162">
        <f t="shared" si="1"/>
        <v>1.1599999999999999</v>
      </c>
      <c r="J10" s="57">
        <f t="shared" si="1"/>
        <v>40</v>
      </c>
      <c r="K10" s="153">
        <f t="shared" si="3"/>
        <v>5.7999999999999996E-2</v>
      </c>
      <c r="L10" s="56"/>
      <c r="M10" s="56"/>
      <c r="N10" s="56"/>
      <c r="O10" s="56"/>
      <c r="P10" s="56"/>
    </row>
    <row r="11" spans="1:16">
      <c r="A11" s="56"/>
      <c r="B11" s="56"/>
      <c r="C11" s="56"/>
      <c r="D11" s="58" t="str">
        <f t="shared" si="0"/>
        <v>D</v>
      </c>
      <c r="E11" s="550" t="str">
        <f t="shared" si="0"/>
        <v>Ala Inferior 1º</v>
      </c>
      <c r="F11" s="552"/>
      <c r="G11" s="551"/>
      <c r="H11" s="57">
        <f t="shared" si="2"/>
        <v>2</v>
      </c>
      <c r="I11" s="162">
        <f t="shared" si="1"/>
        <v>1.37</v>
      </c>
      <c r="J11" s="57">
        <f t="shared" si="1"/>
        <v>80</v>
      </c>
      <c r="K11" s="153">
        <f t="shared" si="3"/>
        <v>3.4250000000000003E-2</v>
      </c>
      <c r="L11" s="56"/>
      <c r="M11" s="56"/>
      <c r="N11" s="56"/>
      <c r="O11" s="56"/>
      <c r="P11" s="56"/>
    </row>
    <row r="12" spans="1:16">
      <c r="A12" s="56"/>
      <c r="B12" s="56"/>
      <c r="C12" s="56"/>
      <c r="D12" s="58" t="str">
        <f t="shared" si="0"/>
        <v>F</v>
      </c>
      <c r="E12" s="550" t="str">
        <f t="shared" si="0"/>
        <v>Ala Inferior 2º</v>
      </c>
      <c r="F12" s="552"/>
      <c r="G12" s="551"/>
      <c r="H12" s="57">
        <f t="shared" si="2"/>
        <v>2</v>
      </c>
      <c r="I12" s="162">
        <f t="shared" si="1"/>
        <v>1.1599999999999999</v>
      </c>
      <c r="J12" s="57">
        <f t="shared" si="1"/>
        <v>60</v>
      </c>
      <c r="K12" s="153">
        <f t="shared" si="3"/>
        <v>3.8666666666666662E-2</v>
      </c>
      <c r="L12" s="56"/>
      <c r="M12" s="56"/>
      <c r="N12" s="56"/>
      <c r="O12" s="56"/>
      <c r="P12" s="56"/>
    </row>
    <row r="13" spans="1:16">
      <c r="A13" s="56"/>
      <c r="B13" s="56"/>
      <c r="C13" s="56"/>
      <c r="D13" s="58" t="str">
        <f>C36</f>
        <v>I</v>
      </c>
      <c r="E13" s="550" t="str">
        <f>D36</f>
        <v>Bolsa Superior (Estándar)</v>
      </c>
      <c r="F13" s="552"/>
      <c r="G13" s="551"/>
      <c r="H13" s="57">
        <f t="shared" si="2"/>
        <v>1</v>
      </c>
      <c r="I13" s="162">
        <f t="shared" si="1"/>
        <v>1.37</v>
      </c>
      <c r="J13" s="57">
        <f t="shared" si="1"/>
        <v>40</v>
      </c>
      <c r="K13" s="153">
        <f t="shared" si="3"/>
        <v>3.4250000000000003E-2</v>
      </c>
      <c r="L13" s="56"/>
      <c r="M13" s="56"/>
      <c r="N13" s="56"/>
      <c r="O13" s="56"/>
      <c r="P13" s="56"/>
    </row>
    <row r="14" spans="1:16">
      <c r="A14" s="56"/>
      <c r="B14" s="56"/>
      <c r="C14" s="56"/>
      <c r="D14" s="58" t="str">
        <f>C37</f>
        <v>J</v>
      </c>
      <c r="E14" s="550" t="str">
        <f>D37</f>
        <v>Bolsa Inferior</v>
      </c>
      <c r="F14" s="552"/>
      <c r="G14" s="551"/>
      <c r="H14" s="57">
        <f t="shared" si="2"/>
        <v>1</v>
      </c>
      <c r="I14" s="162">
        <f t="shared" si="1"/>
        <v>1.37</v>
      </c>
      <c r="J14" s="57">
        <f t="shared" si="1"/>
        <v>40</v>
      </c>
      <c r="K14" s="153">
        <f t="shared" si="3"/>
        <v>3.4250000000000003E-2</v>
      </c>
      <c r="L14" s="56"/>
      <c r="M14" s="56"/>
      <c r="N14" s="56"/>
      <c r="O14" s="56"/>
      <c r="P14" s="56"/>
    </row>
    <row r="15" spans="1:16">
      <c r="A15" s="56"/>
      <c r="B15" s="56"/>
      <c r="C15" s="56"/>
      <c r="D15" s="58"/>
      <c r="E15" s="559"/>
      <c r="F15" s="568"/>
      <c r="G15" s="560"/>
      <c r="H15" s="57">
        <f>SUM(H6:H14)</f>
        <v>17</v>
      </c>
      <c r="I15" s="162">
        <f>SUM(I6:I14)</f>
        <v>11.490000000000002</v>
      </c>
      <c r="J15" s="57">
        <f>SUM(J6:J14)</f>
        <v>540</v>
      </c>
      <c r="K15" s="181">
        <f>I15/J15</f>
        <v>2.1277777777777781E-2</v>
      </c>
      <c r="L15" s="544" t="s">
        <v>461</v>
      </c>
      <c r="M15" s="544"/>
      <c r="N15" s="544"/>
      <c r="O15" s="56"/>
      <c r="P15" s="56"/>
    </row>
    <row r="16" spans="1:16">
      <c r="A16" s="56"/>
      <c r="B16" s="56"/>
      <c r="C16" s="56"/>
      <c r="D16" s="58" t="str">
        <f>C39</f>
        <v>I'</v>
      </c>
      <c r="E16" s="550" t="str">
        <f>D39</f>
        <v>Bolsa Sup e Inf Crustáceos</v>
      </c>
      <c r="F16" s="552"/>
      <c r="G16" s="551"/>
      <c r="H16" s="60">
        <f>F39</f>
        <v>2</v>
      </c>
      <c r="I16" s="163">
        <f>H39</f>
        <v>1.37</v>
      </c>
      <c r="J16" s="60">
        <f>I39</f>
        <v>30</v>
      </c>
      <c r="K16" s="179">
        <f>(I16/J16)*H16</f>
        <v>9.1333333333333336E-2</v>
      </c>
      <c r="L16" s="56"/>
      <c r="M16" s="56"/>
      <c r="N16" s="56"/>
      <c r="O16" s="56"/>
      <c r="P16" s="56"/>
    </row>
    <row r="17" spans="1:16">
      <c r="A17" s="56"/>
      <c r="B17" s="56"/>
      <c r="C17" s="56"/>
      <c r="D17" s="58"/>
      <c r="E17" s="56"/>
      <c r="F17" s="56"/>
      <c r="G17" s="56"/>
      <c r="H17" s="169">
        <f>SUM(H16,H6:H12)</f>
        <v>17</v>
      </c>
      <c r="I17" s="170">
        <f>SUM(I16,I6:I12)</f>
        <v>10.120000000000001</v>
      </c>
      <c r="J17" s="169">
        <f>SUM(J16,J6:J12,J16)</f>
        <v>520</v>
      </c>
      <c r="K17" s="180">
        <f>(I17/J17)</f>
        <v>1.9461538461538464E-2</v>
      </c>
      <c r="L17" s="549" t="s">
        <v>462</v>
      </c>
      <c r="M17" s="549"/>
      <c r="N17" s="549"/>
      <c r="O17" s="549"/>
      <c r="P17" s="56"/>
    </row>
    <row r="18" spans="1:16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183"/>
      <c r="L18" s="182"/>
      <c r="M18" s="56"/>
      <c r="N18" s="56"/>
      <c r="O18" s="56"/>
      <c r="P18" s="56"/>
    </row>
    <row r="19" spans="1:16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</row>
    <row r="20" spans="1:16" ht="23.25">
      <c r="A20" s="56"/>
      <c r="B20" s="56"/>
      <c r="C20" s="565" t="s">
        <v>195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"/>
      <c r="P20" s="56"/>
    </row>
    <row r="21" spans="1:16" ht="21">
      <c r="A21" s="56"/>
      <c r="B21" s="56"/>
      <c r="C21" s="164"/>
      <c r="D21" s="164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56"/>
      <c r="P21" s="56"/>
    </row>
    <row r="22" spans="1:16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</row>
    <row r="23" spans="1:16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</row>
    <row r="24" spans="1:16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</row>
    <row r="25" spans="1:16">
      <c r="A25" s="56"/>
      <c r="B25" s="56"/>
      <c r="C25" s="59"/>
      <c r="D25" s="59"/>
      <c r="E25" s="59"/>
      <c r="F25" s="59"/>
      <c r="G25" s="59"/>
      <c r="H25" s="59"/>
      <c r="I25" s="544" t="s">
        <v>196</v>
      </c>
      <c r="J25" s="544"/>
      <c r="K25" s="544"/>
      <c r="L25" s="544"/>
      <c r="M25" s="65"/>
      <c r="N25" s="65"/>
      <c r="O25" s="56"/>
      <c r="P25" s="56"/>
    </row>
    <row r="26" spans="1:16" ht="18">
      <c r="A26" s="56"/>
      <c r="B26" s="56"/>
      <c r="C26" s="60"/>
      <c r="D26" s="559" t="s">
        <v>173</v>
      </c>
      <c r="E26" s="560"/>
      <c r="F26" s="60"/>
      <c r="G26" s="60"/>
      <c r="H26" s="60"/>
      <c r="I26" s="61"/>
      <c r="J26" s="59" t="s">
        <v>197</v>
      </c>
      <c r="K26" s="63" t="s">
        <v>198</v>
      </c>
      <c r="L26" s="63" t="s">
        <v>199</v>
      </c>
      <c r="M26" s="63" t="s">
        <v>204</v>
      </c>
      <c r="N26" s="61" t="s">
        <v>206</v>
      </c>
      <c r="O26" s="56"/>
      <c r="P26" s="56"/>
    </row>
    <row r="27" spans="1:16" ht="18.75" thickBot="1">
      <c r="A27" s="56"/>
      <c r="B27" s="56"/>
      <c r="C27" s="61"/>
      <c r="D27" s="561"/>
      <c r="E27" s="562"/>
      <c r="F27" s="61" t="s">
        <v>174</v>
      </c>
      <c r="G27" s="61"/>
      <c r="H27" s="66" t="s">
        <v>209</v>
      </c>
      <c r="I27" s="61" t="s">
        <v>177</v>
      </c>
      <c r="J27" s="59" t="s">
        <v>202</v>
      </c>
      <c r="K27" s="63" t="s">
        <v>201</v>
      </c>
      <c r="L27" s="63" t="s">
        <v>201</v>
      </c>
      <c r="M27" s="63" t="s">
        <v>205</v>
      </c>
      <c r="N27" s="61" t="s">
        <v>207</v>
      </c>
      <c r="O27" s="56"/>
      <c r="P27" s="56"/>
    </row>
    <row r="28" spans="1:16" ht="19.5" thickBot="1">
      <c r="A28" s="56"/>
      <c r="B28" s="56"/>
      <c r="C28" s="58" t="s">
        <v>172</v>
      </c>
      <c r="D28" s="563"/>
      <c r="E28" s="564"/>
      <c r="F28" s="58" t="s">
        <v>208</v>
      </c>
      <c r="G28" s="58" t="s">
        <v>0</v>
      </c>
      <c r="H28" s="58" t="s">
        <v>176</v>
      </c>
      <c r="I28" s="58" t="s">
        <v>210</v>
      </c>
      <c r="J28" s="65" t="s">
        <v>200</v>
      </c>
      <c r="K28" s="64" t="s">
        <v>203</v>
      </c>
      <c r="L28" s="64" t="s">
        <v>194</v>
      </c>
      <c r="M28" s="64" t="s">
        <v>172</v>
      </c>
      <c r="N28" s="64" t="s">
        <v>213</v>
      </c>
      <c r="O28" s="473" t="s">
        <v>512</v>
      </c>
      <c r="P28" s="56"/>
    </row>
    <row r="29" spans="1:16">
      <c r="A29" s="56"/>
      <c r="B29" s="56"/>
      <c r="C29" s="58" t="s">
        <v>448</v>
      </c>
      <c r="D29" s="550" t="s">
        <v>189</v>
      </c>
      <c r="E29" s="551"/>
      <c r="F29" s="166">
        <f>SUM(COUNTIF('Paños de red y cortes'!37:37,"A"),COUNTIF('Paños de red y cortes'!37:37,"B"))</f>
        <v>4</v>
      </c>
      <c r="G29" s="58" t="str">
        <f>'Paños de red y cortes'!T282</f>
        <v>PA</v>
      </c>
      <c r="H29" s="167">
        <f t="array" ref="H29">'Paños de red y cortes'!J55:J57</f>
        <v>1.37</v>
      </c>
      <c r="I29" s="58">
        <f t="array" ref="I29">'Paños de red y cortes'!B55:B57</f>
        <v>80</v>
      </c>
      <c r="J29" s="58">
        <f>'Paños de red y cortes'!H55</f>
        <v>3</v>
      </c>
      <c r="K29" s="58">
        <f>'Paños de red y cortes'!H56</f>
        <v>57</v>
      </c>
      <c r="L29" s="58">
        <f>'Paños de red y cortes'!H57</f>
        <v>36</v>
      </c>
      <c r="M29" s="58">
        <f>(I29*L29)/1000</f>
        <v>2.88</v>
      </c>
      <c r="N29" s="466">
        <f t="shared" ref="N29:N37" si="4">((M29*H29*(J29+K29))/1000)*F29</f>
        <v>0.94694400000000012</v>
      </c>
      <c r="O29" s="472" t="s">
        <v>973</v>
      </c>
      <c r="P29" s="56"/>
    </row>
    <row r="30" spans="1:16">
      <c r="A30" s="56"/>
      <c r="B30" s="56"/>
      <c r="C30" s="57" t="s">
        <v>183</v>
      </c>
      <c r="D30" s="550" t="s">
        <v>190</v>
      </c>
      <c r="E30" s="551"/>
      <c r="F30" s="57">
        <f>COUNTIF('Paños de red y cortes'!67:68,"C")</f>
        <v>2</v>
      </c>
      <c r="G30" s="57" t="str">
        <f>'Paños de red y cortes'!T272</f>
        <v>PA</v>
      </c>
      <c r="H30" s="57">
        <f t="array" ref="H30">'Paños de red y cortes'!J90:J92</f>
        <v>1.37</v>
      </c>
      <c r="I30" s="57">
        <f t="array" ref="I30">'Paños de red y cortes'!B90:B92</f>
        <v>80</v>
      </c>
      <c r="J30" s="57">
        <f>'Paños de red y cortes'!H90</f>
        <v>57</v>
      </c>
      <c r="K30" s="57">
        <f>'Paños de red y cortes'!H91</f>
        <v>117</v>
      </c>
      <c r="L30" s="57">
        <f>'Paños de red y cortes'!H92</f>
        <v>120</v>
      </c>
      <c r="M30" s="58">
        <f t="shared" ref="M30:M37" si="5">(I30*L30)/1000</f>
        <v>9.6</v>
      </c>
      <c r="N30" s="466">
        <f t="shared" si="4"/>
        <v>4.5768960000000005</v>
      </c>
      <c r="O30" s="468">
        <f>SUM($N$29/2,$N$34,$N$35,$N$32/2,$N$33/2,N39/2)</f>
        <v>19.418859999999999</v>
      </c>
      <c r="P30" s="56"/>
    </row>
    <row r="31" spans="1:16">
      <c r="A31" s="56"/>
      <c r="B31" s="56"/>
      <c r="C31" s="57" t="s">
        <v>185</v>
      </c>
      <c r="D31" s="550" t="s">
        <v>191</v>
      </c>
      <c r="E31" s="551"/>
      <c r="F31" s="57">
        <f>COUNTIF('Paños de red y cortes'!100:101,"E")</f>
        <v>1</v>
      </c>
      <c r="G31" s="57" t="str">
        <f>'Paños de red y cortes'!T275</f>
        <v>PA</v>
      </c>
      <c r="H31" s="57">
        <f t="array" ref="H31">'Paños de red y cortes'!J120:J122</f>
        <v>1.1599999999999999</v>
      </c>
      <c r="I31" s="57">
        <f t="array" ref="I31">'Paños de red y cortes'!B120:B122</f>
        <v>60</v>
      </c>
      <c r="J31" s="57">
        <f>'Paños de red y cortes'!H120</f>
        <v>412</v>
      </c>
      <c r="K31" s="57">
        <f>'Paños de red y cortes'!H121</f>
        <v>372</v>
      </c>
      <c r="L31" s="57">
        <f>'Paños de red y cortes'!H122</f>
        <v>40</v>
      </c>
      <c r="M31" s="58">
        <f t="shared" si="5"/>
        <v>2.4</v>
      </c>
      <c r="N31" s="466">
        <f t="shared" si="4"/>
        <v>2.1826560000000002</v>
      </c>
      <c r="O31" s="467" t="s">
        <v>974</v>
      </c>
      <c r="P31" s="56"/>
    </row>
    <row r="32" spans="1:16" ht="15.75" thickBot="1">
      <c r="A32" s="56"/>
      <c r="B32" s="56"/>
      <c r="C32" s="57" t="s">
        <v>187</v>
      </c>
      <c r="D32" s="557" t="s">
        <v>192</v>
      </c>
      <c r="E32" s="558"/>
      <c r="F32" s="57">
        <f>COUNTIF('Paños de red y cortes'!133:134,"G")</f>
        <v>2</v>
      </c>
      <c r="G32" s="57" t="str">
        <f>'Paños de red y cortes'!T276</f>
        <v>PA</v>
      </c>
      <c r="H32" s="57">
        <f t="array" ref="H32">'Paños de red y cortes'!J156:J158</f>
        <v>1.1599999999999999</v>
      </c>
      <c r="I32" s="57">
        <f t="array" ref="I32">'Paños de red y cortes'!B156:B158</f>
        <v>60</v>
      </c>
      <c r="J32" s="57">
        <f>'Paños de red y cortes'!H156</f>
        <v>372</v>
      </c>
      <c r="K32" s="57">
        <f>'Paños de red y cortes'!H157</f>
        <v>162</v>
      </c>
      <c r="L32" s="57">
        <f>'Paños de red y cortes'!T158</f>
        <v>210</v>
      </c>
      <c r="M32" s="58">
        <f t="shared" si="5"/>
        <v>12.6</v>
      </c>
      <c r="N32" s="466">
        <f t="shared" si="4"/>
        <v>15.609887999999998</v>
      </c>
      <c r="O32" s="469">
        <f>SUM(N29/2,N30,N31,N32/2,N39/2,N33/2)</f>
        <v>20.613099999999999</v>
      </c>
      <c r="P32" s="56"/>
    </row>
    <row r="33" spans="1:16" ht="15.75" thickBot="1">
      <c r="A33" s="56"/>
      <c r="B33" s="56"/>
      <c r="C33" s="57" t="s">
        <v>188</v>
      </c>
      <c r="D33" s="550" t="str">
        <f>'Paños de red y cortes'!N289</f>
        <v>Vientre V2</v>
      </c>
      <c r="E33" s="551"/>
      <c r="F33" s="57">
        <f>COUNTIF('Paños de red y cortes'!166:167,"H")</f>
        <v>2</v>
      </c>
      <c r="G33" s="57" t="str">
        <f>'Paños de red y cortes'!T277</f>
        <v>PA</v>
      </c>
      <c r="H33" s="57">
        <f t="array" ref="H33">'Paños de red y cortes'!J189:J191</f>
        <v>1.1599999999999999</v>
      </c>
      <c r="I33" s="57">
        <f t="array" ref="I33">'Paños de red y cortes'!B189:B191</f>
        <v>40</v>
      </c>
      <c r="J33" s="57">
        <f>'Paños de red y cortes'!H189</f>
        <v>243</v>
      </c>
      <c r="K33" s="57">
        <f>'Paños de red y cortes'!H190</f>
        <v>113</v>
      </c>
      <c r="L33" s="57">
        <f>'Paños de red y cortes'!T191</f>
        <v>130</v>
      </c>
      <c r="M33" s="58">
        <f t="shared" si="5"/>
        <v>5.2</v>
      </c>
      <c r="N33" s="466">
        <f t="shared" si="4"/>
        <v>4.2947839999999999</v>
      </c>
      <c r="O33" s="473" t="s">
        <v>975</v>
      </c>
      <c r="P33" s="56"/>
    </row>
    <row r="34" spans="1:16">
      <c r="A34" s="56"/>
      <c r="B34" s="56"/>
      <c r="C34" s="57" t="s">
        <v>184</v>
      </c>
      <c r="D34" s="550" t="s">
        <v>211</v>
      </c>
      <c r="E34" s="551"/>
      <c r="F34" s="57">
        <f>COUNTIF('Paños de red y cortes'!67:68,"D")</f>
        <v>2</v>
      </c>
      <c r="G34" s="57" t="str">
        <f>'Paños de red y cortes'!T285</f>
        <v>PA</v>
      </c>
      <c r="H34" s="57">
        <f t="array" ref="H34">'Paños de red y cortes'!V89:V91</f>
        <v>1.37</v>
      </c>
      <c r="I34" s="57">
        <f t="array" ref="I34">'Paños de red y cortes'!N89:N91</f>
        <v>80</v>
      </c>
      <c r="J34" s="57">
        <f>'Paños de red y cortes'!T89</f>
        <v>97</v>
      </c>
      <c r="K34" s="57">
        <f>'Paños de red y cortes'!T90</f>
        <v>57</v>
      </c>
      <c r="L34" s="57">
        <f>'Paños de red y cortes'!T91</f>
        <v>120</v>
      </c>
      <c r="M34" s="58">
        <f t="shared" si="5"/>
        <v>9.6</v>
      </c>
      <c r="N34" s="466">
        <f t="shared" si="4"/>
        <v>4.0508160000000002</v>
      </c>
      <c r="O34" s="472" t="str">
        <f>O29</f>
        <v>Ss Pan. Inf.</v>
      </c>
      <c r="P34" s="56"/>
    </row>
    <row r="35" spans="1:16">
      <c r="A35" s="56"/>
      <c r="B35" s="56"/>
      <c r="C35" s="57" t="s">
        <v>186</v>
      </c>
      <c r="D35" s="550" t="s">
        <v>212</v>
      </c>
      <c r="E35" s="551"/>
      <c r="F35" s="57">
        <f>COUNTIF('Paños de red y cortes'!100:101,"F")</f>
        <v>2</v>
      </c>
      <c r="G35" s="57" t="str">
        <f>'Paños de red y cortes'!T286</f>
        <v>PA</v>
      </c>
      <c r="H35" s="57">
        <f t="array" ref="H35">'Paños de red y cortes'!V114:V116</f>
        <v>1.1599999999999999</v>
      </c>
      <c r="I35" s="57">
        <f t="array" ref="I35">'Paños de red y cortes'!N114:N116</f>
        <v>60</v>
      </c>
      <c r="J35" s="57">
        <f>'Paños de red y cortes'!T114</f>
        <v>143</v>
      </c>
      <c r="K35" s="57">
        <f>'Paños de red y cortes'!T115</f>
        <v>129</v>
      </c>
      <c r="L35" s="57">
        <f>'Paños de red y cortes'!T116</f>
        <v>40</v>
      </c>
      <c r="M35" s="58">
        <f t="shared" si="5"/>
        <v>2.4</v>
      </c>
      <c r="N35" s="466">
        <f t="shared" si="4"/>
        <v>1.5144959999999998</v>
      </c>
      <c r="O35" s="468">
        <f>SUM($N$29/2,$N$34,$N$35,$N$32/2,$N$33/2,N37)</f>
        <v>20.279219999999999</v>
      </c>
      <c r="P35" s="56"/>
    </row>
    <row r="36" spans="1:16">
      <c r="A36" s="56"/>
      <c r="B36" s="56"/>
      <c r="C36" s="60" t="s">
        <v>449</v>
      </c>
      <c r="D36" s="559" t="str">
        <f>'Paños de red y cortes'!N278</f>
        <v>Bolsa Superior (Estándar)</v>
      </c>
      <c r="E36" s="560"/>
      <c r="F36" s="60">
        <f>COUNTIF('Paños de red y cortes'!199:200,"I")</f>
        <v>1</v>
      </c>
      <c r="G36" s="60" t="str">
        <f>'Paños de red y cortes'!T290</f>
        <v>PA</v>
      </c>
      <c r="H36" s="60">
        <f t="array" ref="H36">'Paños de red y cortes'!J222:J224</f>
        <v>1.37</v>
      </c>
      <c r="I36" s="60">
        <f t="array" ref="I36">'Paños de red y cortes'!B222:B224</f>
        <v>40</v>
      </c>
      <c r="J36" s="60">
        <f>'Paños de red y cortes'!H222</f>
        <v>113</v>
      </c>
      <c r="K36" s="60">
        <f>'Paños de red y cortes'!H224</f>
        <v>200</v>
      </c>
      <c r="L36" s="60">
        <f>'Paños de red y cortes'!H224</f>
        <v>200</v>
      </c>
      <c r="M36" s="61">
        <f t="shared" si="5"/>
        <v>8</v>
      </c>
      <c r="N36" s="470">
        <f t="shared" si="4"/>
        <v>3.4304800000000006</v>
      </c>
      <c r="O36" s="472" t="str">
        <f>O31</f>
        <v>Ss Pan. Sup.</v>
      </c>
      <c r="P36" s="56"/>
    </row>
    <row r="37" spans="1:16" ht="15.75" thickBot="1">
      <c r="A37" s="56"/>
      <c r="B37" s="56"/>
      <c r="C37" s="169" t="s">
        <v>452</v>
      </c>
      <c r="D37" s="544" t="s">
        <v>451</v>
      </c>
      <c r="E37" s="544"/>
      <c r="F37" s="169">
        <f>COUNTIF('Paños de red y cortes'!199:200,"J")</f>
        <v>1</v>
      </c>
      <c r="G37" s="169" t="str">
        <f>G36</f>
        <v>PA</v>
      </c>
      <c r="H37" s="169">
        <f t="array" ref="H37">'Paños de red y cortes'!V222:V224</f>
        <v>1.37</v>
      </c>
      <c r="I37" s="169">
        <f t="array" ref="I37">'Paños de red y cortes'!N222:N224</f>
        <v>40</v>
      </c>
      <c r="J37" s="169">
        <f>J36</f>
        <v>113</v>
      </c>
      <c r="K37" s="169">
        <f>K36</f>
        <v>200</v>
      </c>
      <c r="L37" s="169">
        <f>'Paños de red y cortes'!T224</f>
        <v>250</v>
      </c>
      <c r="M37" s="169">
        <f t="shared" si="5"/>
        <v>10</v>
      </c>
      <c r="N37" s="471">
        <f t="shared" si="4"/>
        <v>4.2881</v>
      </c>
      <c r="O37" s="469">
        <f>SUM($N$29/2,$N$32/2,$N$33/2,$N$30,$N$31,N36)</f>
        <v>20.615839999999999</v>
      </c>
      <c r="P37" s="56"/>
    </row>
    <row r="38" spans="1:16" ht="18.75">
      <c r="A38" s="56"/>
      <c r="B38" s="56"/>
      <c r="C38" s="59"/>
      <c r="D38" s="59"/>
      <c r="E38" s="59"/>
      <c r="F38" s="59"/>
      <c r="G38" s="59"/>
      <c r="H38" s="59"/>
      <c r="I38" s="59"/>
      <c r="J38" s="59"/>
      <c r="K38" s="59"/>
      <c r="L38" s="168"/>
      <c r="M38" s="173" t="s">
        <v>459</v>
      </c>
      <c r="N38" s="174">
        <f>SUM(N29:N37)</f>
        <v>40.895060000000001</v>
      </c>
      <c r="O38" s="56"/>
      <c r="P38" s="56"/>
    </row>
    <row r="39" spans="1:16">
      <c r="A39" s="56"/>
      <c r="B39" s="56"/>
      <c r="C39" s="169" t="s">
        <v>454</v>
      </c>
      <c r="D39" s="570" t="s">
        <v>457</v>
      </c>
      <c r="E39" s="570"/>
      <c r="F39" s="169">
        <f>COUNTIF('Paños de red y cortes'!232:233,"I'")</f>
        <v>2</v>
      </c>
      <c r="G39" s="169" t="str">
        <f>G37</f>
        <v>PA</v>
      </c>
      <c r="H39" s="169">
        <f t="array" ref="H39">'Paños de red y cortes'!V255:V257</f>
        <v>1.37</v>
      </c>
      <c r="I39" s="169">
        <f t="array" ref="I39">'Paños de red y cortes'!B255:B257</f>
        <v>30</v>
      </c>
      <c r="J39" s="169">
        <f>'Paños de red y cortes'!H255</f>
        <v>139</v>
      </c>
      <c r="K39" s="169">
        <f>'Paños de red y cortes'!H256</f>
        <v>139</v>
      </c>
      <c r="L39" s="169">
        <f>'Paños de red y cortes'!H257</f>
        <v>300</v>
      </c>
      <c r="M39" s="156">
        <f>(I39*L39)/1000</f>
        <v>9</v>
      </c>
      <c r="N39" s="171">
        <f>((M39*H39*(J39+K39))/1000)*F39</f>
        <v>6.8554800000000018</v>
      </c>
      <c r="O39" s="56"/>
      <c r="P39" s="56"/>
    </row>
    <row r="40" spans="1:16" ht="15.75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175" t="s">
        <v>460</v>
      </c>
      <c r="N40" s="176">
        <f>SUM(N29:N35,N39)</f>
        <v>40.031959999999998</v>
      </c>
      <c r="O40" s="56"/>
      <c r="P40" s="56"/>
    </row>
    <row r="41" spans="1:16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202"/>
      <c r="N41" s="203"/>
      <c r="O41" s="56"/>
      <c r="P41" s="56"/>
    </row>
    <row r="42" spans="1:16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202"/>
      <c r="N42" s="203"/>
      <c r="O42" s="56"/>
      <c r="P42" s="56"/>
    </row>
    <row r="43" spans="1:16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202"/>
      <c r="N43" s="203"/>
      <c r="O43" s="56"/>
      <c r="P43" s="56"/>
    </row>
    <row r="44" spans="1:16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202"/>
      <c r="N44" s="203"/>
      <c r="O44" s="56"/>
      <c r="P44" s="56"/>
    </row>
    <row r="45" spans="1:16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202"/>
      <c r="N45" s="203"/>
      <c r="O45" s="56"/>
      <c r="P45" s="56"/>
    </row>
    <row r="46" spans="1:1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202"/>
      <c r="N46" s="203"/>
      <c r="O46" s="56"/>
      <c r="P46" s="56"/>
    </row>
    <row r="47" spans="1:16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202"/>
      <c r="N47" s="203"/>
      <c r="O47" s="56"/>
      <c r="P47" s="56"/>
    </row>
    <row r="48" spans="1:16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</row>
    <row r="49" spans="1:16" ht="26.25">
      <c r="A49" s="569" t="s">
        <v>214</v>
      </c>
      <c r="B49" s="569"/>
      <c r="C49" s="569"/>
      <c r="D49" s="569"/>
      <c r="E49" s="569"/>
      <c r="F49" s="569"/>
      <c r="G49" s="569"/>
      <c r="H49" s="569"/>
      <c r="I49" s="569"/>
      <c r="J49" s="569"/>
      <c r="K49" s="569"/>
      <c r="L49" s="569"/>
      <c r="M49" s="569"/>
      <c r="N49" s="569"/>
      <c r="O49" s="569"/>
      <c r="P49" s="56"/>
    </row>
    <row r="50" spans="1:16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</row>
    <row r="51" spans="1:16">
      <c r="A51" s="154"/>
      <c r="B51" s="154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</row>
    <row r="52" spans="1:16">
      <c r="A52" s="56"/>
      <c r="B52" s="56"/>
      <c r="C52" s="56"/>
      <c r="D52" s="56"/>
      <c r="E52" s="56"/>
      <c r="F52" s="56"/>
      <c r="G52" s="56"/>
      <c r="H52" s="65"/>
      <c r="I52" s="65"/>
      <c r="J52" s="65"/>
      <c r="K52" s="65"/>
      <c r="L52" s="65"/>
      <c r="M52" s="56"/>
      <c r="N52" s="56"/>
      <c r="O52" s="56"/>
      <c r="P52" s="56"/>
    </row>
    <row r="53" spans="1:16" ht="18">
      <c r="A53" s="56"/>
      <c r="B53" s="56"/>
      <c r="C53" s="56"/>
      <c r="D53" s="56"/>
      <c r="E53" s="56"/>
      <c r="F53" s="56"/>
      <c r="G53" s="155"/>
      <c r="H53" s="57" t="s">
        <v>221</v>
      </c>
      <c r="I53" s="156" t="s">
        <v>222</v>
      </c>
      <c r="J53" s="156" t="s">
        <v>224</v>
      </c>
      <c r="K53" s="156" t="s">
        <v>226</v>
      </c>
      <c r="L53" s="156" t="s">
        <v>229</v>
      </c>
      <c r="M53" s="56"/>
      <c r="N53" s="56"/>
      <c r="O53" s="56"/>
      <c r="P53" s="56"/>
    </row>
    <row r="54" spans="1:16" ht="18">
      <c r="A54" s="62"/>
      <c r="B54" s="544" t="s">
        <v>217</v>
      </c>
      <c r="C54" s="544"/>
      <c r="D54" s="157" t="s">
        <v>218</v>
      </c>
      <c r="E54" s="60"/>
      <c r="F54" s="158" t="s">
        <v>219</v>
      </c>
      <c r="G54" s="60" t="s">
        <v>177</v>
      </c>
      <c r="H54" s="159" t="s">
        <v>201</v>
      </c>
      <c r="I54" s="157" t="s">
        <v>201</v>
      </c>
      <c r="J54" s="157" t="s">
        <v>225</v>
      </c>
      <c r="K54" s="157" t="s">
        <v>227</v>
      </c>
      <c r="L54" s="157" t="s">
        <v>230</v>
      </c>
      <c r="M54" s="156" t="s">
        <v>215</v>
      </c>
      <c r="N54" s="56"/>
      <c r="O54" s="56"/>
      <c r="P54" s="56"/>
    </row>
    <row r="55" spans="1:16" ht="18.75">
      <c r="A55" s="64" t="s">
        <v>172</v>
      </c>
      <c r="B55" s="544"/>
      <c r="C55" s="544"/>
      <c r="D55" s="160" t="s">
        <v>208</v>
      </c>
      <c r="E55" s="58" t="s">
        <v>0</v>
      </c>
      <c r="F55" s="58" t="s">
        <v>176</v>
      </c>
      <c r="G55" s="58" t="s">
        <v>220</v>
      </c>
      <c r="H55" s="161" t="s">
        <v>200</v>
      </c>
      <c r="I55" s="160" t="s">
        <v>203</v>
      </c>
      <c r="J55" s="160" t="s">
        <v>194</v>
      </c>
      <c r="K55" s="160" t="s">
        <v>228</v>
      </c>
      <c r="L55" s="160" t="s">
        <v>231</v>
      </c>
      <c r="M55" s="155" t="s">
        <v>232</v>
      </c>
      <c r="N55" s="56"/>
      <c r="O55" s="56"/>
      <c r="P55" s="56"/>
    </row>
    <row r="56" spans="1:16">
      <c r="A56" s="64" t="str">
        <f>C29</f>
        <v>A+B</v>
      </c>
      <c r="B56" s="544" t="str">
        <f>D29</f>
        <v>Punta de Alas</v>
      </c>
      <c r="C56" s="544"/>
      <c r="D56" s="68">
        <f>F29</f>
        <v>4</v>
      </c>
      <c r="E56" s="57" t="str">
        <f>G29</f>
        <v>PA</v>
      </c>
      <c r="F56" s="162">
        <f>H29</f>
        <v>1.37</v>
      </c>
      <c r="G56" s="57">
        <f>I29/1000</f>
        <v>0.08</v>
      </c>
      <c r="H56" s="57">
        <f t="shared" ref="H56:H66" si="6">J29</f>
        <v>3</v>
      </c>
      <c r="I56" s="57">
        <f t="shared" ref="I56:I66" si="7">K29</f>
        <v>57</v>
      </c>
      <c r="J56" s="57">
        <f t="shared" ref="J56:J66" si="8">L29</f>
        <v>36</v>
      </c>
      <c r="K56" s="57">
        <f>'Paños de red y cortes'!W271</f>
        <v>0.38</v>
      </c>
      <c r="L56" s="162">
        <f t="shared" ref="L56:L64" si="9">SQRT(1-(K56^2))</f>
        <v>0.92498648638777425</v>
      </c>
      <c r="M56" s="162">
        <f>(0.5*K56*L56*((G56)^2)*(H56+I56)*J56)*D56</f>
        <v>9.7181300227466885</v>
      </c>
      <c r="N56" s="56"/>
      <c r="O56" s="56"/>
      <c r="P56" s="56"/>
    </row>
    <row r="57" spans="1:16">
      <c r="A57" s="64" t="str">
        <f t="shared" ref="A57:A66" si="10">C30</f>
        <v>C</v>
      </c>
      <c r="B57" s="544" t="str">
        <f t="shared" ref="B57:B63" si="11">D30</f>
        <v>A. Superiores</v>
      </c>
      <c r="C57" s="544"/>
      <c r="D57" s="68">
        <f t="shared" ref="D57:D66" si="12">F30</f>
        <v>2</v>
      </c>
      <c r="E57" s="57" t="str">
        <f t="shared" ref="E57:E66" si="13">G30</f>
        <v>PA</v>
      </c>
      <c r="F57" s="162">
        <f t="shared" ref="F57:F66" si="14">H30</f>
        <v>1.37</v>
      </c>
      <c r="G57" s="57">
        <f t="shared" ref="G57:G63" si="15">I30/1000</f>
        <v>0.08</v>
      </c>
      <c r="H57" s="57">
        <f t="shared" si="6"/>
        <v>57</v>
      </c>
      <c r="I57" s="57">
        <f t="shared" si="7"/>
        <v>117</v>
      </c>
      <c r="J57" s="57">
        <f t="shared" si="8"/>
        <v>120</v>
      </c>
      <c r="K57" s="57">
        <f>'Paños de red y cortes'!W272</f>
        <v>0.38</v>
      </c>
      <c r="L57" s="162">
        <f t="shared" si="9"/>
        <v>0.92498648638777425</v>
      </c>
      <c r="M57" s="162">
        <f t="shared" ref="M57:M66" si="16">(0.5*K57*L57*((G57)^2)*(H57+I57)*J57)*D57</f>
        <v>46.970961776608995</v>
      </c>
      <c r="N57" s="56"/>
      <c r="O57" s="56"/>
      <c r="P57" s="56"/>
    </row>
    <row r="58" spans="1:16">
      <c r="A58" s="64" t="str">
        <f t="shared" si="10"/>
        <v>E</v>
      </c>
      <c r="B58" s="544" t="str">
        <f t="shared" si="11"/>
        <v>Square</v>
      </c>
      <c r="C58" s="544"/>
      <c r="D58" s="68">
        <f t="shared" si="12"/>
        <v>1</v>
      </c>
      <c r="E58" s="57" t="str">
        <f t="shared" si="13"/>
        <v>PA</v>
      </c>
      <c r="F58" s="162">
        <f t="shared" si="14"/>
        <v>1.1599999999999999</v>
      </c>
      <c r="G58" s="57">
        <f t="shared" si="15"/>
        <v>0.06</v>
      </c>
      <c r="H58" s="57">
        <f t="shared" si="6"/>
        <v>412</v>
      </c>
      <c r="I58" s="57">
        <f t="shared" si="7"/>
        <v>372</v>
      </c>
      <c r="J58" s="57">
        <f t="shared" si="8"/>
        <v>40</v>
      </c>
      <c r="K58" s="57">
        <f>'Paños de red y cortes'!W275</f>
        <v>0.38</v>
      </c>
      <c r="L58" s="162">
        <f t="shared" si="9"/>
        <v>0.92498648638777425</v>
      </c>
      <c r="M58" s="162">
        <f t="shared" si="16"/>
        <v>19.841182129774488</v>
      </c>
      <c r="N58" s="56"/>
      <c r="O58" s="56"/>
      <c r="P58" s="56"/>
    </row>
    <row r="59" spans="1:16">
      <c r="A59" s="64" t="str">
        <f t="shared" si="10"/>
        <v>G</v>
      </c>
      <c r="B59" s="544" t="str">
        <f t="shared" si="11"/>
        <v>Dorso/Vientre</v>
      </c>
      <c r="C59" s="544"/>
      <c r="D59" s="68">
        <f t="shared" si="12"/>
        <v>2</v>
      </c>
      <c r="E59" s="57" t="str">
        <f t="shared" si="13"/>
        <v>PA</v>
      </c>
      <c r="F59" s="162">
        <f t="shared" si="14"/>
        <v>1.1599999999999999</v>
      </c>
      <c r="G59" s="57">
        <f t="shared" si="15"/>
        <v>0.06</v>
      </c>
      <c r="H59" s="57">
        <f t="shared" si="6"/>
        <v>372</v>
      </c>
      <c r="I59" s="57">
        <f t="shared" si="7"/>
        <v>162</v>
      </c>
      <c r="J59" s="57">
        <f t="shared" si="8"/>
        <v>210</v>
      </c>
      <c r="K59" s="57">
        <f>'Paños de red y cortes'!W276</f>
        <v>0.38</v>
      </c>
      <c r="L59" s="162">
        <f t="shared" si="9"/>
        <v>0.92498648638777425</v>
      </c>
      <c r="M59" s="162">
        <f t="shared" si="16"/>
        <v>141.89988291026219</v>
      </c>
      <c r="N59" s="56"/>
      <c r="O59" s="56"/>
      <c r="P59" s="56"/>
    </row>
    <row r="60" spans="1:16">
      <c r="A60" s="64" t="str">
        <f t="shared" si="10"/>
        <v>H</v>
      </c>
      <c r="B60" s="544" t="str">
        <f t="shared" si="11"/>
        <v>Vientre V2</v>
      </c>
      <c r="C60" s="544"/>
      <c r="D60" s="68">
        <f t="shared" si="12"/>
        <v>2</v>
      </c>
      <c r="E60" s="57" t="str">
        <f t="shared" si="13"/>
        <v>PA</v>
      </c>
      <c r="F60" s="162">
        <f t="shared" si="14"/>
        <v>1.1599999999999999</v>
      </c>
      <c r="G60" s="57">
        <f t="shared" si="15"/>
        <v>0.04</v>
      </c>
      <c r="H60" s="57">
        <f t="shared" si="6"/>
        <v>243</v>
      </c>
      <c r="I60" s="57">
        <f t="shared" si="7"/>
        <v>113</v>
      </c>
      <c r="J60" s="57">
        <f t="shared" si="8"/>
        <v>130</v>
      </c>
      <c r="K60" s="57">
        <f>'Paños de red y cortes'!W277</f>
        <v>0.23</v>
      </c>
      <c r="L60" s="162">
        <f t="shared" si="9"/>
        <v>0.97319062880814877</v>
      </c>
      <c r="M60" s="162">
        <f t="shared" si="16"/>
        <v>16.574448526856735</v>
      </c>
      <c r="N60" s="56"/>
      <c r="O60" s="56"/>
      <c r="P60" s="56"/>
    </row>
    <row r="61" spans="1:16">
      <c r="A61" s="64" t="str">
        <f t="shared" si="10"/>
        <v>D</v>
      </c>
      <c r="B61" s="544" t="str">
        <f t="shared" si="11"/>
        <v>Ala Inferior 1º</v>
      </c>
      <c r="C61" s="544"/>
      <c r="D61" s="68">
        <f t="shared" si="12"/>
        <v>2</v>
      </c>
      <c r="E61" s="57" t="str">
        <f t="shared" si="13"/>
        <v>PA</v>
      </c>
      <c r="F61" s="162">
        <f t="shared" si="14"/>
        <v>1.37</v>
      </c>
      <c r="G61" s="57">
        <f t="shared" si="15"/>
        <v>0.08</v>
      </c>
      <c r="H61" s="57">
        <f t="shared" si="6"/>
        <v>97</v>
      </c>
      <c r="I61" s="57">
        <f t="shared" si="7"/>
        <v>57</v>
      </c>
      <c r="J61" s="57">
        <f t="shared" si="8"/>
        <v>120</v>
      </c>
      <c r="K61" s="57">
        <f>'Paños de red y cortes'!W283</f>
        <v>0.38</v>
      </c>
      <c r="L61" s="162">
        <f t="shared" si="9"/>
        <v>0.92498648638777425</v>
      </c>
      <c r="M61" s="162">
        <f t="shared" si="16"/>
        <v>41.572000652860837</v>
      </c>
      <c r="N61" s="56"/>
      <c r="O61" s="56"/>
      <c r="P61" s="56"/>
    </row>
    <row r="62" spans="1:16">
      <c r="A62" s="64" t="str">
        <f t="shared" si="10"/>
        <v>F</v>
      </c>
      <c r="B62" s="544" t="str">
        <f t="shared" si="11"/>
        <v>Ala Inferior 2º</v>
      </c>
      <c r="C62" s="544"/>
      <c r="D62" s="68">
        <f t="shared" si="12"/>
        <v>2</v>
      </c>
      <c r="E62" s="57" t="str">
        <f t="shared" si="13"/>
        <v>PA</v>
      </c>
      <c r="F62" s="162">
        <f t="shared" si="14"/>
        <v>1.1599999999999999</v>
      </c>
      <c r="G62" s="57">
        <f t="shared" si="15"/>
        <v>0.06</v>
      </c>
      <c r="H62" s="57">
        <f t="shared" si="6"/>
        <v>143</v>
      </c>
      <c r="I62" s="57">
        <f t="shared" si="7"/>
        <v>129</v>
      </c>
      <c r="J62" s="57">
        <f t="shared" si="8"/>
        <v>40</v>
      </c>
      <c r="K62" s="57">
        <f>'Paños de red y cortes'!W286</f>
        <v>0.38</v>
      </c>
      <c r="L62" s="162">
        <f t="shared" si="9"/>
        <v>0.92498648638777425</v>
      </c>
      <c r="M62" s="162">
        <f t="shared" si="16"/>
        <v>13.767350865557809</v>
      </c>
      <c r="N62" s="56"/>
      <c r="O62" s="56"/>
      <c r="P62" s="56"/>
    </row>
    <row r="63" spans="1:16">
      <c r="A63" s="64" t="str">
        <f t="shared" si="10"/>
        <v>I</v>
      </c>
      <c r="B63" s="544" t="str">
        <f t="shared" si="11"/>
        <v>Bolsa Superior (Estándar)</v>
      </c>
      <c r="C63" s="544"/>
      <c r="D63" s="68">
        <f t="shared" si="12"/>
        <v>1</v>
      </c>
      <c r="E63" s="57" t="str">
        <f t="shared" si="13"/>
        <v>PA</v>
      </c>
      <c r="F63" s="162">
        <f t="shared" si="14"/>
        <v>1.37</v>
      </c>
      <c r="G63" s="57">
        <f t="shared" si="15"/>
        <v>0.04</v>
      </c>
      <c r="H63" s="57">
        <f t="shared" si="6"/>
        <v>113</v>
      </c>
      <c r="I63" s="57">
        <f t="shared" si="7"/>
        <v>200</v>
      </c>
      <c r="J63" s="57">
        <f t="shared" si="8"/>
        <v>200</v>
      </c>
      <c r="K63" s="57">
        <f>'Paños de red y cortes'!W290</f>
        <v>0.23</v>
      </c>
      <c r="L63" s="163">
        <f t="shared" si="9"/>
        <v>0.97319062880814877</v>
      </c>
      <c r="M63" s="162">
        <f t="shared" si="16"/>
        <v>11.209598938863781</v>
      </c>
      <c r="N63" s="56"/>
      <c r="O63" s="56"/>
      <c r="P63" s="56"/>
    </row>
    <row r="64" spans="1:16">
      <c r="A64" s="64" t="str">
        <f t="shared" si="10"/>
        <v>J</v>
      </c>
      <c r="B64" s="544" t="str">
        <f>D37</f>
        <v>Bolsa Inferior</v>
      </c>
      <c r="C64" s="544"/>
      <c r="D64" s="68">
        <f t="shared" si="12"/>
        <v>1</v>
      </c>
      <c r="E64" s="57" t="str">
        <f t="shared" si="13"/>
        <v>PA</v>
      </c>
      <c r="F64" s="162">
        <f t="shared" si="14"/>
        <v>1.37</v>
      </c>
      <c r="G64" s="57">
        <f>I37/1000</f>
        <v>0.04</v>
      </c>
      <c r="H64" s="57">
        <f t="shared" si="6"/>
        <v>113</v>
      </c>
      <c r="I64" s="57">
        <f t="shared" si="7"/>
        <v>200</v>
      </c>
      <c r="J64" s="57">
        <f t="shared" si="8"/>
        <v>250</v>
      </c>
      <c r="K64" s="57">
        <f>'Paños de red y cortes'!W291</f>
        <v>0.23</v>
      </c>
      <c r="L64" s="163">
        <f t="shared" si="9"/>
        <v>0.97319062880814877</v>
      </c>
      <c r="M64" s="162">
        <f t="shared" si="16"/>
        <v>14.011998673579726</v>
      </c>
      <c r="N64" s="56"/>
      <c r="O64" s="56"/>
      <c r="P64" s="56"/>
    </row>
    <row r="65" spans="1:16" ht="18.75">
      <c r="A65" s="64"/>
      <c r="B65" s="544"/>
      <c r="C65" s="544"/>
      <c r="D65" s="68"/>
      <c r="E65" s="57"/>
      <c r="F65" s="162"/>
      <c r="G65" s="57"/>
      <c r="H65" s="57"/>
      <c r="I65" s="57"/>
      <c r="J65" s="57"/>
      <c r="K65" s="57"/>
      <c r="L65" s="62" t="s">
        <v>216</v>
      </c>
      <c r="M65" s="172">
        <f>SUM(M56:M64)</f>
        <v>315.56555449711129</v>
      </c>
      <c r="N65" s="68" t="s">
        <v>234</v>
      </c>
      <c r="O65" s="56"/>
      <c r="P65" s="56"/>
    </row>
    <row r="66" spans="1:16">
      <c r="A66" s="64" t="str">
        <f t="shared" si="10"/>
        <v>I'</v>
      </c>
      <c r="B66" s="544" t="str">
        <f>D39</f>
        <v>Bolsa Sup e Inf Crustáceos</v>
      </c>
      <c r="C66" s="544"/>
      <c r="D66" s="68">
        <f t="shared" si="12"/>
        <v>2</v>
      </c>
      <c r="E66" s="57" t="str">
        <f t="shared" si="13"/>
        <v>PA</v>
      </c>
      <c r="F66" s="162">
        <f t="shared" si="14"/>
        <v>1.37</v>
      </c>
      <c r="G66" s="57">
        <f>I39/1000</f>
        <v>0.03</v>
      </c>
      <c r="H66" s="57">
        <f t="shared" si="6"/>
        <v>139</v>
      </c>
      <c r="I66" s="57">
        <f t="shared" si="7"/>
        <v>139</v>
      </c>
      <c r="J66" s="57">
        <f t="shared" si="8"/>
        <v>300</v>
      </c>
      <c r="K66" s="67">
        <f>'Paños de red y cortes'!W291</f>
        <v>0.23</v>
      </c>
      <c r="L66" s="171">
        <f>SQRT(1-(K66^2))</f>
        <v>0.97319062880814877</v>
      </c>
      <c r="M66" s="162">
        <f t="shared" si="16"/>
        <v>16.800968377618116</v>
      </c>
      <c r="N66" s="56"/>
      <c r="O66" s="56"/>
      <c r="P66" s="56"/>
    </row>
    <row r="67" spans="1:16" ht="18.7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177" t="s">
        <v>458</v>
      </c>
      <c r="M67" s="178">
        <f>SUM(M56:M62,M66)</f>
        <v>307.14492526228588</v>
      </c>
      <c r="N67" s="68" t="s">
        <v>234</v>
      </c>
      <c r="O67" s="56"/>
      <c r="P67" s="56"/>
    </row>
    <row r="68" spans="1:16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6"/>
      <c r="O68" s="56"/>
      <c r="P68" s="56"/>
    </row>
    <row r="69" spans="1:16">
      <c r="A69" s="555" t="s">
        <v>464</v>
      </c>
      <c r="B69" s="555"/>
      <c r="C69" s="555"/>
      <c r="D69" s="555"/>
      <c r="E69" s="555"/>
      <c r="F69" s="555"/>
      <c r="G69" s="555"/>
      <c r="H69" s="184"/>
      <c r="I69" s="556" t="s">
        <v>463</v>
      </c>
      <c r="J69" s="556"/>
      <c r="K69" s="556"/>
      <c r="L69" s="556"/>
      <c r="M69" s="556"/>
      <c r="N69" s="556"/>
      <c r="O69" s="556"/>
      <c r="P69" s="56"/>
    </row>
    <row r="70" spans="1:16">
      <c r="A70" s="555"/>
      <c r="B70" s="555"/>
      <c r="C70" s="555"/>
      <c r="D70" s="555"/>
      <c r="E70" s="555"/>
      <c r="F70" s="555"/>
      <c r="G70" s="555"/>
      <c r="H70" s="184"/>
      <c r="I70" s="556"/>
      <c r="J70" s="556"/>
      <c r="K70" s="556"/>
      <c r="L70" s="556"/>
      <c r="M70" s="556"/>
      <c r="N70" s="556"/>
      <c r="O70" s="556"/>
      <c r="P70" s="56"/>
    </row>
    <row r="71" spans="1:16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</row>
    <row r="72" spans="1:16">
      <c r="A72" s="56"/>
      <c r="B72" s="56"/>
      <c r="C72" s="56"/>
      <c r="D72" s="56"/>
      <c r="E72" s="56"/>
      <c r="F72" s="185"/>
      <c r="G72" s="56"/>
      <c r="H72" s="56"/>
      <c r="I72" s="56"/>
      <c r="J72" s="56"/>
      <c r="K72" s="56"/>
      <c r="L72" s="56"/>
      <c r="M72" s="56"/>
      <c r="N72" s="56"/>
      <c r="O72" s="56"/>
      <c r="P72" s="56"/>
    </row>
    <row r="73" spans="1:16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</row>
    <row r="74" spans="1:16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</row>
    <row r="75" spans="1:16" ht="18.75">
      <c r="A75" s="154"/>
      <c r="B75" s="553" t="s">
        <v>465</v>
      </c>
      <c r="C75" s="553"/>
      <c r="D75" s="553"/>
      <c r="E75" s="187">
        <f>N38/M65</f>
        <v>0.12959291474372359</v>
      </c>
      <c r="F75" s="154"/>
      <c r="G75" s="154"/>
      <c r="H75" s="154"/>
      <c r="I75" s="56"/>
      <c r="J75" s="554" t="s">
        <v>469</v>
      </c>
      <c r="K75" s="554"/>
      <c r="L75" s="554"/>
      <c r="M75" s="554"/>
      <c r="N75" s="188">
        <v>1</v>
      </c>
      <c r="O75" s="56"/>
      <c r="P75" s="56"/>
    </row>
    <row r="76" spans="1:16" ht="18.75">
      <c r="A76" s="56"/>
      <c r="B76" s="553" t="s">
        <v>466</v>
      </c>
      <c r="C76" s="553"/>
      <c r="D76" s="553"/>
      <c r="E76" s="186">
        <f>N40/M67</f>
        <v>0.13033573634926501</v>
      </c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</row>
    <row r="77" spans="1:16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</row>
    <row r="78" spans="1:16" ht="18.75">
      <c r="A78" s="56"/>
      <c r="B78" s="56"/>
      <c r="C78" s="56"/>
      <c r="D78" s="56"/>
      <c r="E78" s="56"/>
      <c r="F78" s="56"/>
      <c r="G78" s="56"/>
      <c r="H78" s="56"/>
      <c r="I78" s="56"/>
      <c r="J78" s="553" t="s">
        <v>467</v>
      </c>
      <c r="K78" s="553"/>
      <c r="L78" s="553"/>
      <c r="M78" s="186">
        <f>N$75-E75</f>
        <v>0.87040708525627641</v>
      </c>
      <c r="N78" s="56"/>
      <c r="O78" s="56"/>
      <c r="P78" s="56"/>
    </row>
    <row r="79" spans="1:16" ht="18.75">
      <c r="A79" s="56"/>
      <c r="B79" s="56"/>
      <c r="C79" s="56"/>
      <c r="D79" s="56"/>
      <c r="E79" s="56"/>
      <c r="F79" s="56"/>
      <c r="G79" s="56"/>
      <c r="H79" s="56"/>
      <c r="I79" s="56"/>
      <c r="J79" s="553" t="s">
        <v>468</v>
      </c>
      <c r="K79" s="553"/>
      <c r="L79" s="553"/>
      <c r="M79" s="186">
        <f>N$75-E76</f>
        <v>0.86966426365073501</v>
      </c>
      <c r="N79" s="56"/>
      <c r="O79" s="56"/>
      <c r="P79" s="56"/>
    </row>
    <row r="80" spans="1:16" ht="18.75">
      <c r="A80" s="56"/>
      <c r="B80" s="56"/>
      <c r="C80" s="56"/>
      <c r="D80" s="56"/>
      <c r="E80" s="56"/>
      <c r="F80" s="56"/>
      <c r="G80" s="56"/>
      <c r="H80" s="56"/>
      <c r="I80" s="56"/>
      <c r="J80" s="211"/>
      <c r="K80" s="211"/>
      <c r="L80" s="211"/>
      <c r="M80" s="212"/>
      <c r="N80" s="56"/>
      <c r="O80" s="56"/>
      <c r="P80" s="56"/>
    </row>
    <row r="81" spans="1:16" ht="18.75">
      <c r="A81" s="56"/>
      <c r="B81" s="56"/>
      <c r="C81" s="56"/>
      <c r="D81" s="56"/>
      <c r="E81" s="56"/>
      <c r="F81" s="56"/>
      <c r="G81" s="56"/>
      <c r="H81" s="56"/>
      <c r="I81" s="56"/>
      <c r="J81" s="211"/>
      <c r="K81" s="211"/>
      <c r="L81" s="211"/>
      <c r="M81" s="212"/>
      <c r="N81" s="56"/>
      <c r="O81" s="56"/>
      <c r="P81" s="56"/>
    </row>
    <row r="82" spans="1:16" ht="18.75">
      <c r="A82" s="56"/>
      <c r="B82" s="56"/>
      <c r="C82" s="56"/>
      <c r="D82" s="56"/>
      <c r="E82" s="56"/>
      <c r="F82" s="56"/>
      <c r="G82" s="56"/>
      <c r="H82" s="56"/>
      <c r="I82" s="56"/>
      <c r="J82" s="211"/>
      <c r="K82" s="211"/>
      <c r="L82" s="211"/>
      <c r="M82" s="212"/>
      <c r="N82" s="56"/>
      <c r="O82" s="56"/>
      <c r="P82" s="56"/>
    </row>
    <row r="83" spans="1:16" ht="18.75">
      <c r="A83" s="56"/>
      <c r="B83" s="56"/>
      <c r="C83" s="56"/>
      <c r="D83" s="56"/>
      <c r="E83" s="56"/>
      <c r="F83" s="56"/>
      <c r="G83" s="56"/>
      <c r="H83" s="56"/>
      <c r="I83" s="56"/>
      <c r="J83" s="211"/>
      <c r="K83" s="211"/>
      <c r="L83" s="211"/>
      <c r="M83" s="212"/>
      <c r="N83" s="56"/>
      <c r="O83" s="56"/>
      <c r="P83" s="56"/>
    </row>
    <row r="84" spans="1:16" ht="18.75">
      <c r="A84" s="56"/>
      <c r="B84" s="56"/>
      <c r="C84" s="56"/>
      <c r="D84" s="56"/>
      <c r="E84" s="56"/>
      <c r="F84" s="56"/>
      <c r="G84" s="56"/>
      <c r="H84" s="56"/>
      <c r="I84" s="56"/>
      <c r="J84" s="211"/>
      <c r="K84" s="211"/>
      <c r="L84" s="211"/>
      <c r="M84" s="212"/>
      <c r="N84" s="56"/>
      <c r="O84" s="56"/>
      <c r="P84" s="56"/>
    </row>
    <row r="85" spans="1:16" ht="18.75">
      <c r="A85" s="56"/>
      <c r="B85" s="56"/>
      <c r="C85" s="56"/>
      <c r="D85" s="56"/>
      <c r="E85" s="56"/>
      <c r="F85" s="56"/>
      <c r="G85" s="56"/>
      <c r="H85" s="56"/>
      <c r="I85" s="56"/>
      <c r="J85" s="211"/>
      <c r="K85" s="211"/>
      <c r="L85" s="211"/>
      <c r="M85" s="212"/>
      <c r="N85" s="56"/>
      <c r="O85" s="56"/>
      <c r="P85" s="56"/>
    </row>
    <row r="86" spans="1:16" ht="18.75">
      <c r="A86" s="56"/>
      <c r="B86" s="56"/>
      <c r="C86" s="56"/>
      <c r="D86" s="56"/>
      <c r="E86" s="56"/>
      <c r="F86" s="56"/>
      <c r="G86" s="56"/>
      <c r="H86" s="56"/>
      <c r="I86" s="56"/>
      <c r="J86" s="211"/>
      <c r="K86" s="211"/>
      <c r="L86" s="211"/>
      <c r="M86" s="212"/>
      <c r="N86" s="56"/>
      <c r="O86" s="56"/>
      <c r="P86" s="56"/>
    </row>
    <row r="87" spans="1:16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56"/>
      <c r="L87" s="56"/>
      <c r="M87" s="56"/>
      <c r="N87" s="56"/>
      <c r="O87" s="56"/>
      <c r="P87" s="56"/>
    </row>
    <row r="88" spans="1:16">
      <c r="A88" s="546" t="s">
        <v>502</v>
      </c>
      <c r="B88" s="546"/>
      <c r="C88" s="546"/>
      <c r="D88" s="546"/>
      <c r="E88" s="546"/>
      <c r="F88" s="546"/>
      <c r="G88" s="546"/>
      <c r="H88" s="546"/>
      <c r="I88" s="546"/>
      <c r="J88" s="546"/>
      <c r="K88" s="546"/>
      <c r="L88" s="546"/>
      <c r="M88" s="546"/>
      <c r="N88" s="546"/>
      <c r="O88" s="546"/>
      <c r="P88" s="546"/>
    </row>
    <row r="89" spans="1:16">
      <c r="A89" s="546"/>
      <c r="B89" s="546"/>
      <c r="C89" s="546"/>
      <c r="D89" s="546"/>
      <c r="E89" s="546"/>
      <c r="F89" s="546"/>
      <c r="G89" s="546"/>
      <c r="H89" s="546"/>
      <c r="I89" s="546"/>
      <c r="J89" s="546"/>
      <c r="K89" s="546"/>
      <c r="L89" s="546"/>
      <c r="M89" s="546"/>
      <c r="N89" s="546"/>
      <c r="O89" s="546"/>
      <c r="P89" s="546"/>
    </row>
    <row r="90" spans="1:16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</row>
    <row r="91" spans="1:16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</row>
    <row r="92" spans="1:16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</row>
    <row r="93" spans="1:16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</row>
    <row r="94" spans="1:16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</row>
    <row r="95" spans="1:16" ht="18">
      <c r="A95" s="56"/>
      <c r="B95" s="56"/>
      <c r="C95" s="56"/>
      <c r="D95" s="60"/>
      <c r="E95" s="60"/>
      <c r="F95" s="60"/>
      <c r="G95" s="60"/>
      <c r="H95" s="60"/>
      <c r="I95" s="60" t="str">
        <f t="shared" ref="I95:K105" si="17">H53</f>
        <v>T1</v>
      </c>
      <c r="J95" s="60" t="str">
        <f t="shared" si="17"/>
        <v>T2</v>
      </c>
      <c r="K95" s="60" t="str">
        <f t="shared" si="17"/>
        <v>N2</v>
      </c>
      <c r="L95" s="60" t="s">
        <v>246</v>
      </c>
      <c r="M95" s="60" t="s">
        <v>223</v>
      </c>
      <c r="N95" s="206" t="s">
        <v>248</v>
      </c>
      <c r="O95" s="209" t="s">
        <v>251</v>
      </c>
      <c r="P95" s="209" t="s">
        <v>254</v>
      </c>
    </row>
    <row r="96" spans="1:16" ht="18.75">
      <c r="A96" s="56"/>
      <c r="B96" s="56"/>
      <c r="C96" s="56"/>
      <c r="D96" s="61" t="str">
        <f t="shared" ref="D96:D106" si="18">D54</f>
        <v xml:space="preserve">Cantidad </v>
      </c>
      <c r="E96" s="61"/>
      <c r="F96" s="201" t="s">
        <v>493</v>
      </c>
      <c r="G96" s="61" t="str">
        <f t="shared" ref="G96:G108" si="19">F54</f>
        <v>Ø Hilo</v>
      </c>
      <c r="H96" s="61" t="str">
        <f t="shared" ref="H96:H108" si="20">I27</f>
        <v>Mallero</v>
      </c>
      <c r="I96" s="61" t="str">
        <f t="shared" si="17"/>
        <v>Nº mallas</v>
      </c>
      <c r="J96" s="61" t="str">
        <f t="shared" si="17"/>
        <v>Nº mallas</v>
      </c>
      <c r="K96" s="61" t="str">
        <f t="shared" si="17"/>
        <v xml:space="preserve">Nº mallas </v>
      </c>
      <c r="L96" s="61" t="s">
        <v>201</v>
      </c>
      <c r="M96" s="61" t="s">
        <v>225</v>
      </c>
      <c r="N96" s="207" t="s">
        <v>249</v>
      </c>
      <c r="O96" s="207" t="s">
        <v>252</v>
      </c>
      <c r="P96" s="207" t="s">
        <v>255</v>
      </c>
    </row>
    <row r="97" spans="1:16" ht="17.25">
      <c r="A97" s="57" t="s">
        <v>172</v>
      </c>
      <c r="B97" s="547" t="str">
        <f>B54</f>
        <v>Descripcion</v>
      </c>
      <c r="C97" s="547"/>
      <c r="D97" s="58" t="str">
        <f t="shared" si="18"/>
        <v>de paneles</v>
      </c>
      <c r="E97" s="58" t="str">
        <f t="shared" ref="E97:E105" si="21">E55</f>
        <v>Material</v>
      </c>
      <c r="F97" s="58" t="s">
        <v>240</v>
      </c>
      <c r="G97" s="58" t="str">
        <f t="shared" si="19"/>
        <v>(mm)</v>
      </c>
      <c r="H97" s="58" t="str">
        <f t="shared" si="20"/>
        <v>mL (mm)</v>
      </c>
      <c r="I97" s="58" t="str">
        <f t="shared" si="17"/>
        <v>lado mayor</v>
      </c>
      <c r="J97" s="58" t="str">
        <f t="shared" si="17"/>
        <v>lado menor</v>
      </c>
      <c r="K97" s="58" t="str">
        <f t="shared" si="17"/>
        <v>Profundidad</v>
      </c>
      <c r="L97" s="58" t="s">
        <v>247</v>
      </c>
      <c r="M97" s="58" t="s">
        <v>238</v>
      </c>
      <c r="N97" s="208" t="s">
        <v>250</v>
      </c>
      <c r="O97" s="208" t="s">
        <v>253</v>
      </c>
      <c r="P97" s="208" t="s">
        <v>253</v>
      </c>
    </row>
    <row r="98" spans="1:16">
      <c r="A98" s="57" t="str">
        <f>A56</f>
        <v>A+B</v>
      </c>
      <c r="B98" s="547" t="str">
        <f>B56</f>
        <v>Punta de Alas</v>
      </c>
      <c r="C98" s="547"/>
      <c r="D98" s="57">
        <f t="shared" si="18"/>
        <v>4</v>
      </c>
      <c r="E98" s="57" t="str">
        <f t="shared" si="21"/>
        <v>PA</v>
      </c>
      <c r="F98" s="204">
        <f t="array" ref="F98">'Paños de red y cortes'!L55:L57</f>
        <v>1151.6541093750002</v>
      </c>
      <c r="G98" s="57">
        <f t="shared" si="19"/>
        <v>1.37</v>
      </c>
      <c r="H98" s="57">
        <f t="shared" si="20"/>
        <v>80</v>
      </c>
      <c r="I98" s="57">
        <f t="shared" si="17"/>
        <v>3</v>
      </c>
      <c r="J98" s="57">
        <f t="shared" si="17"/>
        <v>57</v>
      </c>
      <c r="K98" s="57">
        <f t="shared" si="17"/>
        <v>36</v>
      </c>
      <c r="L98" s="57">
        <f>'Paños de red y cortes'!C3</f>
        <v>500</v>
      </c>
      <c r="M98" s="57">
        <f>'Paños de red y cortes'!C4</f>
        <v>100</v>
      </c>
      <c r="N98" s="204">
        <f>(((L98*(H98/1000))*(2*M98))*3.1416*(((G98/2)/1000)^2))*F98</f>
        <v>13.581385601436928</v>
      </c>
      <c r="O98" s="162">
        <f>(((I98+J98)/2)/L98)*(K98/M98)*N98</f>
        <v>0.29335792899103763</v>
      </c>
      <c r="P98" s="162">
        <f>O98*(1-(1025/F98))</f>
        <v>3.2262279899837591E-2</v>
      </c>
    </row>
    <row r="99" spans="1:16">
      <c r="A99" s="57" t="str">
        <f t="shared" ref="A99:B106" si="22">A57</f>
        <v>C</v>
      </c>
      <c r="B99" s="547" t="str">
        <f t="shared" si="22"/>
        <v>A. Superiores</v>
      </c>
      <c r="C99" s="547"/>
      <c r="D99" s="57">
        <f t="shared" si="18"/>
        <v>2</v>
      </c>
      <c r="E99" s="57" t="str">
        <f t="shared" si="21"/>
        <v>PA</v>
      </c>
      <c r="F99" s="204">
        <f t="array" ref="F99">'Paños de red y cortes'!L90:L92</f>
        <v>1151.6541093750002</v>
      </c>
      <c r="G99" s="57">
        <f t="shared" si="19"/>
        <v>1.37</v>
      </c>
      <c r="H99" s="57">
        <f t="shared" si="20"/>
        <v>80</v>
      </c>
      <c r="I99" s="57">
        <f t="shared" si="17"/>
        <v>57</v>
      </c>
      <c r="J99" s="57">
        <f t="shared" si="17"/>
        <v>117</v>
      </c>
      <c r="K99" s="57">
        <f t="shared" si="17"/>
        <v>120</v>
      </c>
      <c r="L99" s="57">
        <f>'Paños de red y cortes'!C3</f>
        <v>500</v>
      </c>
      <c r="M99" s="57">
        <f>'Paños de red y cortes'!C4</f>
        <v>100</v>
      </c>
      <c r="N99" s="204">
        <f t="shared" ref="N99:N108" si="23">(((L99*(H99/1000))*(2*M99))*3.1416*(((G99/2)/1000)^2))*F99</f>
        <v>13.581385601436928</v>
      </c>
      <c r="O99" s="162">
        <f t="shared" ref="O99:O108" si="24">(((I99+J99)/2)/L99)*(K99/M99)*N99</f>
        <v>2.8357933135800302</v>
      </c>
      <c r="P99" s="162">
        <f t="shared" ref="P99:P108" si="25">O99*(1-(1025/F99))</f>
        <v>0.31186870569843006</v>
      </c>
    </row>
    <row r="100" spans="1:16">
      <c r="A100" s="57" t="str">
        <f t="shared" si="22"/>
        <v>E</v>
      </c>
      <c r="B100" s="547" t="str">
        <f t="shared" si="22"/>
        <v>Square</v>
      </c>
      <c r="C100" s="547"/>
      <c r="D100" s="57">
        <f t="shared" si="18"/>
        <v>1</v>
      </c>
      <c r="E100" s="57" t="str">
        <f t="shared" si="21"/>
        <v>PA</v>
      </c>
      <c r="F100" s="204">
        <f t="array" ref="F100">'Paños de red y cortes'!L120:L122</f>
        <v>1112.457094736842</v>
      </c>
      <c r="G100" s="57">
        <f t="shared" si="19"/>
        <v>1.1599999999999999</v>
      </c>
      <c r="H100" s="57">
        <f t="shared" si="20"/>
        <v>60</v>
      </c>
      <c r="I100" s="57">
        <f t="shared" si="17"/>
        <v>412</v>
      </c>
      <c r="J100" s="57">
        <f t="shared" si="17"/>
        <v>372</v>
      </c>
      <c r="K100" s="57">
        <f t="shared" si="17"/>
        <v>40</v>
      </c>
      <c r="L100" s="57">
        <f>'Paños de red y cortes'!C13</f>
        <v>500</v>
      </c>
      <c r="M100" s="57">
        <f>'Paños de red y cortes'!C14</f>
        <v>100</v>
      </c>
      <c r="N100" s="204">
        <f t="shared" si="23"/>
        <v>7.0540964894929106</v>
      </c>
      <c r="O100" s="162">
        <f t="shared" si="24"/>
        <v>2.2121646591049773</v>
      </c>
      <c r="P100" s="162">
        <f t="shared" si="25"/>
        <v>0.17391187047137668</v>
      </c>
    </row>
    <row r="101" spans="1:16">
      <c r="A101" s="57" t="str">
        <f t="shared" si="22"/>
        <v>G</v>
      </c>
      <c r="B101" s="547" t="str">
        <f t="shared" si="22"/>
        <v>Dorso/Vientre</v>
      </c>
      <c r="C101" s="547"/>
      <c r="D101" s="57">
        <f t="shared" si="18"/>
        <v>2</v>
      </c>
      <c r="E101" s="57" t="str">
        <f t="shared" si="21"/>
        <v>PA</v>
      </c>
      <c r="F101" s="204">
        <f t="array" ref="F101">'Paños de red y cortes'!L156:L158</f>
        <v>1112.457094736842</v>
      </c>
      <c r="G101" s="57">
        <f t="shared" si="19"/>
        <v>1.1599999999999999</v>
      </c>
      <c r="H101" s="57">
        <f t="shared" si="20"/>
        <v>60</v>
      </c>
      <c r="I101" s="57">
        <f t="shared" si="17"/>
        <v>372</v>
      </c>
      <c r="J101" s="57">
        <f t="shared" si="17"/>
        <v>162</v>
      </c>
      <c r="K101" s="57">
        <f t="shared" si="17"/>
        <v>210</v>
      </c>
      <c r="L101" s="57">
        <f>'Paños de red y cortes'!C13</f>
        <v>500</v>
      </c>
      <c r="M101" s="57">
        <f>'Paños de red y cortes'!C14</f>
        <v>100</v>
      </c>
      <c r="N101" s="204">
        <f t="shared" si="23"/>
        <v>7.0540964894929106</v>
      </c>
      <c r="O101" s="162">
        <f t="shared" si="24"/>
        <v>7.9104638033173513</v>
      </c>
      <c r="P101" s="162">
        <f t="shared" si="25"/>
        <v>0.62189021539094969</v>
      </c>
    </row>
    <row r="102" spans="1:16">
      <c r="A102" s="57" t="str">
        <f t="shared" si="22"/>
        <v>H</v>
      </c>
      <c r="B102" s="547" t="str">
        <f t="shared" si="22"/>
        <v>Vientre V2</v>
      </c>
      <c r="C102" s="547"/>
      <c r="D102" s="57">
        <f t="shared" si="18"/>
        <v>2</v>
      </c>
      <c r="E102" s="57" t="str">
        <f t="shared" si="21"/>
        <v>PA</v>
      </c>
      <c r="F102" s="204">
        <f t="array" ref="F102">'Paños de red y cortes'!L189:L191</f>
        <v>1112.4570947368418</v>
      </c>
      <c r="G102" s="57">
        <f t="shared" si="19"/>
        <v>1.1599999999999999</v>
      </c>
      <c r="H102" s="57">
        <f t="shared" si="20"/>
        <v>40</v>
      </c>
      <c r="I102" s="57">
        <f t="shared" si="17"/>
        <v>243</v>
      </c>
      <c r="J102" s="57">
        <f t="shared" si="17"/>
        <v>113</v>
      </c>
      <c r="K102" s="57">
        <f t="shared" si="17"/>
        <v>130</v>
      </c>
      <c r="L102" s="57">
        <f>'Paños de red y cortes'!O3</f>
        <v>500</v>
      </c>
      <c r="M102" s="57">
        <f>'Paños de red y cortes'!O4</f>
        <v>100</v>
      </c>
      <c r="N102" s="204">
        <f t="shared" si="23"/>
        <v>4.7027309929952734</v>
      </c>
      <c r="O102" s="162">
        <f t="shared" si="24"/>
        <v>2.1764239035582125</v>
      </c>
      <c r="P102" s="162">
        <f t="shared" si="25"/>
        <v>0.17110206984301232</v>
      </c>
    </row>
    <row r="103" spans="1:16">
      <c r="A103" s="57" t="str">
        <f t="shared" si="22"/>
        <v>D</v>
      </c>
      <c r="B103" s="547" t="str">
        <f t="shared" si="22"/>
        <v>Ala Inferior 1º</v>
      </c>
      <c r="C103" s="547"/>
      <c r="D103" s="57">
        <f t="shared" si="18"/>
        <v>2</v>
      </c>
      <c r="E103" s="57" t="str">
        <f t="shared" si="21"/>
        <v>PA</v>
      </c>
      <c r="F103" s="204">
        <f t="array" ref="F103">'Paños de red y cortes'!X89:X91</f>
        <v>1151.6541093750002</v>
      </c>
      <c r="G103" s="57">
        <f t="shared" si="19"/>
        <v>1.37</v>
      </c>
      <c r="H103" s="57">
        <f t="shared" si="20"/>
        <v>80</v>
      </c>
      <c r="I103" s="57">
        <f t="shared" si="17"/>
        <v>97</v>
      </c>
      <c r="J103" s="57">
        <f t="shared" si="17"/>
        <v>57</v>
      </c>
      <c r="K103" s="57">
        <f t="shared" si="17"/>
        <v>120</v>
      </c>
      <c r="L103" s="57">
        <f>'Paños de red y cortes'!C3</f>
        <v>500</v>
      </c>
      <c r="M103" s="57">
        <f>'Paños de red y cortes'!C4</f>
        <v>100</v>
      </c>
      <c r="N103" s="204">
        <f t="shared" si="23"/>
        <v>13.581385601436928</v>
      </c>
      <c r="O103" s="162">
        <f t="shared" si="24"/>
        <v>2.5098400591455441</v>
      </c>
      <c r="P103" s="162">
        <f t="shared" si="25"/>
        <v>0.27602172803194386</v>
      </c>
    </row>
    <row r="104" spans="1:16">
      <c r="A104" s="57" t="str">
        <f t="shared" si="22"/>
        <v>F</v>
      </c>
      <c r="B104" s="547" t="str">
        <f t="shared" si="22"/>
        <v>Ala Inferior 2º</v>
      </c>
      <c r="C104" s="547"/>
      <c r="D104" s="57">
        <f t="shared" si="18"/>
        <v>2</v>
      </c>
      <c r="E104" s="57" t="str">
        <f t="shared" si="21"/>
        <v>PA</v>
      </c>
      <c r="F104" s="204">
        <f t="array" ref="F104">'Paños de red y cortes'!X114:X116</f>
        <v>1112.457094736842</v>
      </c>
      <c r="G104" s="57">
        <f t="shared" si="19"/>
        <v>1.1599999999999999</v>
      </c>
      <c r="H104" s="57">
        <f t="shared" si="20"/>
        <v>60</v>
      </c>
      <c r="I104" s="57">
        <f t="shared" si="17"/>
        <v>143</v>
      </c>
      <c r="J104" s="57">
        <f t="shared" si="17"/>
        <v>129</v>
      </c>
      <c r="K104" s="57">
        <f t="shared" si="17"/>
        <v>40</v>
      </c>
      <c r="L104" s="57">
        <f>'Paños de red y cortes'!C13</f>
        <v>500</v>
      </c>
      <c r="M104" s="57">
        <f>'Paños de red y cortes'!C14</f>
        <v>100</v>
      </c>
      <c r="N104" s="204">
        <f t="shared" si="23"/>
        <v>7.0540964894929106</v>
      </c>
      <c r="O104" s="162">
        <f t="shared" si="24"/>
        <v>0.76748569805682876</v>
      </c>
      <c r="P104" s="162">
        <f t="shared" si="25"/>
        <v>6.0336771388028641E-2</v>
      </c>
    </row>
    <row r="105" spans="1:16">
      <c r="A105" s="57" t="str">
        <f t="shared" si="22"/>
        <v>I</v>
      </c>
      <c r="B105" s="547" t="str">
        <f t="shared" si="22"/>
        <v>Bolsa Superior (Estándar)</v>
      </c>
      <c r="C105" s="547"/>
      <c r="D105" s="57">
        <f t="shared" si="18"/>
        <v>1</v>
      </c>
      <c r="E105" s="57" t="str">
        <f t="shared" si="21"/>
        <v>PA</v>
      </c>
      <c r="F105" s="204">
        <f t="array" ref="F105">'Paños de red y cortes'!L222:L224</f>
        <v>1151.6541093750002</v>
      </c>
      <c r="G105" s="57">
        <f t="shared" si="19"/>
        <v>1.37</v>
      </c>
      <c r="H105" s="57">
        <f t="shared" si="20"/>
        <v>40</v>
      </c>
      <c r="I105" s="57">
        <f t="shared" si="17"/>
        <v>113</v>
      </c>
      <c r="J105" s="57">
        <f t="shared" si="17"/>
        <v>200</v>
      </c>
      <c r="K105" s="57">
        <f t="shared" si="17"/>
        <v>200</v>
      </c>
      <c r="L105" s="57">
        <f>'Paños de red y cortes'!O19</f>
        <v>500</v>
      </c>
      <c r="M105" s="57">
        <f>'Paños de red y cortes'!O20</f>
        <v>100</v>
      </c>
      <c r="N105" s="204">
        <f t="shared" si="23"/>
        <v>6.7906928007184639</v>
      </c>
      <c r="O105" s="162">
        <f t="shared" si="24"/>
        <v>4.2509736932497582</v>
      </c>
      <c r="P105" s="162">
        <f t="shared" si="25"/>
        <v>0.46750433373375772</v>
      </c>
    </row>
    <row r="106" spans="1:16">
      <c r="A106" s="57" t="str">
        <f t="shared" si="22"/>
        <v>J</v>
      </c>
      <c r="B106" s="547" t="str">
        <f t="shared" si="22"/>
        <v>Bolsa Inferior</v>
      </c>
      <c r="C106" s="547"/>
      <c r="D106" s="57">
        <f t="shared" si="18"/>
        <v>1</v>
      </c>
      <c r="E106" s="57" t="str">
        <f>E64</f>
        <v>PA</v>
      </c>
      <c r="F106" s="204">
        <f t="array" ref="F106">'Paños de red y cortes'!X222:X224</f>
        <v>1151.6541093750002</v>
      </c>
      <c r="G106" s="57">
        <f t="shared" si="19"/>
        <v>1.37</v>
      </c>
      <c r="H106" s="57">
        <f t="shared" si="20"/>
        <v>40</v>
      </c>
      <c r="I106" s="57">
        <f>H64</f>
        <v>113</v>
      </c>
      <c r="J106" s="57">
        <f>I64</f>
        <v>200</v>
      </c>
      <c r="K106" s="57">
        <f>J64</f>
        <v>250</v>
      </c>
      <c r="L106" s="57">
        <f>'Paños de red y cortes'!O19</f>
        <v>500</v>
      </c>
      <c r="M106" s="57">
        <f>'Paños de red y cortes'!O20</f>
        <v>100</v>
      </c>
      <c r="N106" s="204">
        <f t="shared" si="23"/>
        <v>6.7906928007184639</v>
      </c>
      <c r="O106" s="162">
        <f t="shared" si="24"/>
        <v>5.3137171165621977</v>
      </c>
      <c r="P106" s="162">
        <f t="shared" si="25"/>
        <v>0.58438041716719713</v>
      </c>
    </row>
    <row r="107" spans="1:16">
      <c r="A107" s="57"/>
      <c r="B107" s="547"/>
      <c r="C107" s="547"/>
      <c r="D107" s="57"/>
      <c r="E107" s="57"/>
      <c r="F107" s="56"/>
      <c r="G107" s="57"/>
      <c r="H107" s="57"/>
      <c r="I107" s="57"/>
      <c r="J107" s="57"/>
      <c r="K107" s="57"/>
      <c r="L107" s="57"/>
      <c r="M107" s="508" t="s">
        <v>494</v>
      </c>
      <c r="N107" s="510"/>
      <c r="O107" s="210">
        <f>SUM(O98:O106)</f>
        <v>28.270220175565935</v>
      </c>
      <c r="P107" s="210">
        <f>SUM(P98:P106)</f>
        <v>2.6992783916245338</v>
      </c>
    </row>
    <row r="108" spans="1:16">
      <c r="A108" s="57" t="str">
        <f>A66</f>
        <v>I'</v>
      </c>
      <c r="B108" s="545" t="str">
        <f>B66</f>
        <v>Bolsa Sup e Inf Crustáceos</v>
      </c>
      <c r="C108" s="545"/>
      <c r="D108" s="57">
        <f>D66</f>
        <v>2</v>
      </c>
      <c r="E108" s="57" t="str">
        <f>E66</f>
        <v>PA</v>
      </c>
      <c r="F108" s="204">
        <f t="array" ref="F108">'Paños de red y cortes'!L255:L257</f>
        <v>1151.654109375</v>
      </c>
      <c r="G108" s="57">
        <f t="shared" si="19"/>
        <v>1.37</v>
      </c>
      <c r="H108" s="57">
        <f t="shared" si="20"/>
        <v>30</v>
      </c>
      <c r="I108" s="57">
        <f>H66</f>
        <v>139</v>
      </c>
      <c r="J108" s="57">
        <f>I66</f>
        <v>139</v>
      </c>
      <c r="K108" s="57">
        <f>J66</f>
        <v>300</v>
      </c>
      <c r="L108" s="57">
        <f>'Paños de red y cortes'!C24</f>
        <v>500</v>
      </c>
      <c r="M108" s="57">
        <f>'Paños de red y cortes'!C25</f>
        <v>100</v>
      </c>
      <c r="N108" s="204">
        <f t="shared" si="23"/>
        <v>5.0930196005388471</v>
      </c>
      <c r="O108" s="162">
        <f t="shared" si="24"/>
        <v>4.2475783468493988</v>
      </c>
      <c r="P108" s="162">
        <f t="shared" si="25"/>
        <v>0.46713092771639753</v>
      </c>
    </row>
    <row r="109" spans="1:16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48" t="s">
        <v>494</v>
      </c>
      <c r="N109" s="548"/>
      <c r="O109" s="210">
        <f>SUM(O98:O104,O108)</f>
        <v>22.953107712603376</v>
      </c>
      <c r="P109" s="210">
        <f>SUM(P98:P104,P108)</f>
        <v>2.1145245684399763</v>
      </c>
    </row>
    <row r="110" spans="1:16">
      <c r="A110" s="56"/>
      <c r="B110" s="56"/>
      <c r="C110" s="56"/>
      <c r="D110" s="56"/>
      <c r="E110" s="56"/>
      <c r="F110" s="542" t="s">
        <v>975</v>
      </c>
      <c r="G110" s="541" t="s">
        <v>976</v>
      </c>
      <c r="H110" s="541"/>
      <c r="I110" s="162">
        <f>SUM(O98/2,O101/2,O102/2,O103,O104,O106)</f>
        <v>13.781165691697872</v>
      </c>
      <c r="J110" s="56"/>
      <c r="K110" s="56"/>
      <c r="L110" s="56"/>
      <c r="M110" s="56"/>
      <c r="N110" s="56"/>
      <c r="O110" s="56"/>
      <c r="P110" s="56"/>
    </row>
    <row r="111" spans="1:16" s="255" customFormat="1">
      <c r="A111" s="56"/>
      <c r="B111" s="56"/>
      <c r="C111" s="56"/>
      <c r="D111" s="56"/>
      <c r="E111" s="56"/>
      <c r="F111" s="542"/>
      <c r="G111" s="541" t="s">
        <v>977</v>
      </c>
      <c r="H111" s="541"/>
      <c r="I111" s="162">
        <f>SUM(O98/2,O99,O100,O101/2,O102/2,O105)</f>
        <v>14.489054483868067</v>
      </c>
      <c r="J111" s="56"/>
      <c r="K111" s="56"/>
      <c r="L111" s="56"/>
      <c r="M111" s="56"/>
      <c r="N111" s="56"/>
      <c r="O111" s="56"/>
      <c r="P111" s="56"/>
    </row>
    <row r="112" spans="1:16" s="255" customFormat="1">
      <c r="A112" s="56"/>
      <c r="B112" s="56"/>
      <c r="C112" s="56"/>
      <c r="D112" s="56"/>
      <c r="E112" s="56"/>
      <c r="F112" s="542" t="s">
        <v>978</v>
      </c>
      <c r="G112" s="541" t="s">
        <v>976</v>
      </c>
      <c r="H112" s="541"/>
      <c r="I112" s="162">
        <f>SUM(O108/2,O104,O103,O102/2,O101/2,O98/2)</f>
        <v>10.591237748560374</v>
      </c>
      <c r="J112" s="56"/>
      <c r="K112" s="56"/>
      <c r="L112" s="56"/>
      <c r="M112" s="56"/>
      <c r="N112" s="56"/>
      <c r="O112" s="56"/>
      <c r="P112" s="56"/>
    </row>
    <row r="113" spans="1:17" s="255" customFormat="1">
      <c r="A113" s="56"/>
      <c r="B113" s="56"/>
      <c r="C113" s="56"/>
      <c r="D113" s="56"/>
      <c r="E113" s="56"/>
      <c r="F113" s="542"/>
      <c r="G113" s="541" t="s">
        <v>977</v>
      </c>
      <c r="H113" s="541"/>
      <c r="I113" s="162">
        <f>SUM(O108/2,O102/2,O101/2,O100,O99,O98/2)</f>
        <v>12.361869964043008</v>
      </c>
      <c r="J113" s="56"/>
      <c r="K113" s="56"/>
      <c r="L113" s="56"/>
      <c r="M113" s="56"/>
      <c r="N113" s="56"/>
      <c r="O113" s="56"/>
      <c r="P113" s="56"/>
    </row>
    <row r="114" spans="1:17" ht="15" customHeight="1"/>
    <row r="115" spans="1:17" ht="15" customHeight="1">
      <c r="A115" s="577" t="s">
        <v>570</v>
      </c>
      <c r="B115" s="578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9"/>
    </row>
    <row r="116" spans="1:17">
      <c r="A116" s="580"/>
      <c r="B116" s="581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2"/>
    </row>
    <row r="117" spans="1:17">
      <c r="A117" s="302"/>
      <c r="B117" s="304"/>
      <c r="C117" s="304"/>
      <c r="D117" s="304"/>
      <c r="E117" s="304"/>
      <c r="F117" s="304"/>
      <c r="G117" s="304"/>
      <c r="H117" s="304"/>
      <c r="I117" s="304"/>
      <c r="J117" s="304"/>
      <c r="K117" s="304"/>
      <c r="L117" s="304"/>
      <c r="M117" s="304"/>
      <c r="N117" s="304"/>
      <c r="O117" s="304"/>
      <c r="P117" s="304"/>
      <c r="Q117" s="303"/>
    </row>
    <row r="118" spans="1:17">
      <c r="A118" s="302"/>
      <c r="B118" s="304"/>
      <c r="C118" s="304"/>
      <c r="D118" s="304"/>
      <c r="E118" s="304"/>
      <c r="F118" s="304"/>
      <c r="G118" s="304"/>
      <c r="H118" s="304"/>
      <c r="I118" s="304"/>
      <c r="J118" s="304"/>
      <c r="K118" s="304"/>
      <c r="L118" s="304"/>
      <c r="M118" s="304"/>
      <c r="N118" s="304"/>
      <c r="O118" s="304"/>
      <c r="P118" s="304"/>
      <c r="Q118" s="303"/>
    </row>
    <row r="119" spans="1:17">
      <c r="A119" s="302"/>
      <c r="B119" s="304"/>
      <c r="C119" s="304"/>
      <c r="D119" s="304"/>
      <c r="E119" s="304"/>
      <c r="F119" s="304"/>
      <c r="G119" s="304"/>
      <c r="H119" s="304"/>
      <c r="I119" s="304"/>
      <c r="J119" s="304"/>
      <c r="K119" s="304"/>
      <c r="L119" s="304"/>
      <c r="M119" s="304"/>
      <c r="N119" s="304"/>
      <c r="O119" s="304"/>
      <c r="P119" s="304"/>
      <c r="Q119" s="303"/>
    </row>
    <row r="120" spans="1:17">
      <c r="A120" s="302"/>
      <c r="B120" s="304"/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3"/>
    </row>
    <row r="121" spans="1:17">
      <c r="A121" s="302"/>
      <c r="B121" s="304"/>
      <c r="C121" s="304"/>
      <c r="D121" s="304"/>
      <c r="E121" s="304"/>
      <c r="F121" s="304"/>
      <c r="G121" s="304"/>
      <c r="H121" s="304"/>
      <c r="I121" s="304"/>
      <c r="J121" s="304"/>
      <c r="K121" s="304"/>
      <c r="L121" s="304"/>
      <c r="M121" s="304"/>
      <c r="N121" s="304"/>
      <c r="O121" s="304"/>
      <c r="P121" s="304"/>
      <c r="Q121" s="303"/>
    </row>
    <row r="122" spans="1:17">
      <c r="A122" s="302"/>
      <c r="B122" s="304"/>
      <c r="C122" s="304"/>
      <c r="D122" s="304"/>
      <c r="E122" s="304"/>
      <c r="F122" s="304"/>
      <c r="G122" s="304"/>
      <c r="H122" s="304"/>
      <c r="I122" s="304"/>
      <c r="J122" s="304"/>
      <c r="K122" s="304"/>
      <c r="L122" s="304"/>
      <c r="M122" s="304"/>
      <c r="N122" s="304"/>
      <c r="O122" s="304"/>
      <c r="P122" s="304"/>
      <c r="Q122" s="303"/>
    </row>
    <row r="123" spans="1:17">
      <c r="A123" s="302"/>
      <c r="B123" s="304"/>
      <c r="C123" s="304"/>
      <c r="D123" s="304"/>
      <c r="E123" s="304"/>
      <c r="F123" s="304"/>
      <c r="G123" s="304"/>
      <c r="H123" s="304"/>
      <c r="I123" s="304"/>
      <c r="J123" s="304"/>
      <c r="K123" s="304"/>
      <c r="L123" s="304"/>
      <c r="M123" s="304"/>
      <c r="N123" s="304"/>
      <c r="O123" s="304"/>
      <c r="P123" s="304"/>
      <c r="Q123" s="303"/>
    </row>
    <row r="124" spans="1:17">
      <c r="A124" s="302"/>
      <c r="B124" s="304"/>
      <c r="C124" s="304"/>
      <c r="D124" s="304"/>
      <c r="E124" s="304"/>
      <c r="F124" s="304"/>
      <c r="G124" s="304"/>
      <c r="H124" s="304"/>
      <c r="I124" s="304"/>
      <c r="J124" s="304"/>
      <c r="K124" s="304"/>
      <c r="L124" s="304"/>
      <c r="M124" s="304"/>
      <c r="N124" s="304"/>
      <c r="O124" s="304"/>
      <c r="P124" s="304"/>
      <c r="Q124" s="303"/>
    </row>
    <row r="125" spans="1:17">
      <c r="A125" s="302"/>
      <c r="B125" s="304"/>
      <c r="C125" s="304"/>
      <c r="D125" s="304"/>
      <c r="E125" s="304"/>
      <c r="F125" s="304"/>
      <c r="G125" s="304"/>
      <c r="H125" s="304"/>
      <c r="I125" s="304"/>
      <c r="J125" s="304"/>
      <c r="K125" s="304"/>
      <c r="L125" s="304" t="s">
        <v>535</v>
      </c>
      <c r="M125" s="304"/>
      <c r="N125" s="304"/>
      <c r="O125" s="304"/>
      <c r="P125" s="304"/>
      <c r="Q125" s="303"/>
    </row>
    <row r="126" spans="1:17">
      <c r="A126" s="302"/>
      <c r="B126" s="304"/>
      <c r="C126" s="304"/>
      <c r="D126" s="304"/>
      <c r="E126" s="304"/>
      <c r="F126" s="304"/>
      <c r="G126" s="304"/>
      <c r="H126" s="304"/>
      <c r="I126" s="304"/>
      <c r="J126" s="304"/>
      <c r="K126" s="304"/>
      <c r="L126" s="304"/>
      <c r="M126" s="304"/>
      <c r="N126" s="304"/>
      <c r="O126" s="304"/>
      <c r="P126" s="304"/>
      <c r="Q126" s="303"/>
    </row>
    <row r="127" spans="1:17" ht="18.75">
      <c r="A127" s="302"/>
      <c r="B127" s="304"/>
      <c r="C127" s="304"/>
      <c r="D127" s="304"/>
      <c r="E127" s="304"/>
      <c r="F127" s="304"/>
      <c r="G127" s="304"/>
      <c r="H127" s="304"/>
      <c r="I127" s="304"/>
      <c r="J127" s="304"/>
      <c r="K127" s="304"/>
      <c r="L127" s="583" t="s">
        <v>536</v>
      </c>
      <c r="M127" s="583"/>
      <c r="N127" s="583"/>
      <c r="O127" s="304">
        <v>1024</v>
      </c>
      <c r="P127" s="304" t="s">
        <v>537</v>
      </c>
      <c r="Q127" s="303"/>
    </row>
    <row r="128" spans="1:17" ht="18.75">
      <c r="A128" s="302"/>
      <c r="B128" s="304"/>
      <c r="C128" s="304"/>
      <c r="D128" s="304"/>
      <c r="E128" s="304"/>
      <c r="F128" s="304"/>
      <c r="G128" s="304"/>
      <c r="H128" s="304"/>
      <c r="I128" s="304"/>
      <c r="J128" s="304"/>
      <c r="K128" s="304"/>
      <c r="L128" s="583" t="s">
        <v>884</v>
      </c>
      <c r="M128" s="583"/>
      <c r="N128" s="583"/>
      <c r="O128" s="304">
        <v>1000</v>
      </c>
      <c r="P128" s="304" t="s">
        <v>537</v>
      </c>
      <c r="Q128" s="303"/>
    </row>
    <row r="129" spans="1:17" ht="17.25">
      <c r="A129" s="302"/>
      <c r="B129" s="304"/>
      <c r="C129" s="304"/>
      <c r="D129" s="304"/>
      <c r="E129" s="304"/>
      <c r="F129" s="304"/>
      <c r="G129" s="304"/>
      <c r="H129" s="304"/>
      <c r="I129" s="304"/>
      <c r="J129" s="304"/>
      <c r="K129" s="304"/>
      <c r="L129" s="583" t="s">
        <v>538</v>
      </c>
      <c r="M129" s="583"/>
      <c r="N129" s="583"/>
      <c r="O129" s="304">
        <v>9.81</v>
      </c>
      <c r="P129" s="304" t="s">
        <v>539</v>
      </c>
      <c r="Q129" s="303"/>
    </row>
    <row r="130" spans="1:17">
      <c r="A130" s="302"/>
      <c r="B130" s="304"/>
      <c r="C130" s="304"/>
      <c r="D130" s="304"/>
      <c r="E130" s="304"/>
      <c r="F130" s="304"/>
      <c r="G130" s="304"/>
      <c r="H130" s="304"/>
      <c r="I130" s="304"/>
      <c r="J130" s="304"/>
      <c r="K130" s="304"/>
      <c r="L130" s="584"/>
      <c r="M130" s="584"/>
      <c r="N130" s="584"/>
      <c r="O130" s="304"/>
      <c r="P130" s="304"/>
      <c r="Q130" s="303"/>
    </row>
    <row r="131" spans="1:17">
      <c r="A131" s="302"/>
      <c r="B131" s="304"/>
      <c r="C131" s="304"/>
      <c r="D131" s="304"/>
      <c r="E131" s="304"/>
      <c r="F131" s="304"/>
      <c r="G131" s="304"/>
      <c r="H131" s="304"/>
      <c r="I131" s="304"/>
      <c r="J131" s="304"/>
      <c r="K131" s="304"/>
      <c r="L131" s="304"/>
      <c r="M131" s="304"/>
      <c r="N131" s="304"/>
      <c r="O131" s="304"/>
      <c r="P131" s="304"/>
      <c r="Q131" s="303"/>
    </row>
    <row r="132" spans="1:17">
      <c r="A132" s="302"/>
      <c r="B132" s="304"/>
      <c r="C132" s="304"/>
      <c r="D132" s="304"/>
      <c r="E132" s="304"/>
      <c r="F132" s="304"/>
      <c r="G132" s="304"/>
      <c r="H132" s="304"/>
      <c r="I132" s="304"/>
      <c r="J132" s="304"/>
      <c r="K132" s="304"/>
      <c r="L132" s="304"/>
      <c r="M132" s="304"/>
      <c r="N132" s="304"/>
      <c r="O132" s="304"/>
      <c r="P132" s="304"/>
      <c r="Q132" s="303"/>
    </row>
    <row r="133" spans="1:17">
      <c r="A133" s="302"/>
      <c r="B133" s="304"/>
      <c r="C133" s="304"/>
      <c r="D133" s="304"/>
      <c r="E133" s="304"/>
      <c r="F133" s="304"/>
      <c r="G133" s="304"/>
      <c r="H133" s="304"/>
      <c r="I133" s="304"/>
      <c r="J133" s="304"/>
      <c r="K133" s="304"/>
      <c r="L133" s="304"/>
      <c r="M133" s="304"/>
      <c r="N133" s="304"/>
      <c r="O133" s="304"/>
      <c r="P133" s="304"/>
      <c r="Q133" s="303"/>
    </row>
    <row r="134" spans="1:17">
      <c r="A134" s="302"/>
      <c r="B134" s="304"/>
      <c r="C134" s="304"/>
      <c r="D134" s="304"/>
      <c r="E134" s="304"/>
      <c r="F134" s="304"/>
      <c r="G134" s="304"/>
      <c r="H134" s="304"/>
      <c r="I134" s="304"/>
      <c r="J134" s="304"/>
      <c r="K134" s="304"/>
      <c r="L134" s="304"/>
      <c r="M134" s="304"/>
      <c r="N134" s="304"/>
      <c r="O134" s="304"/>
      <c r="P134" s="304"/>
      <c r="Q134" s="303"/>
    </row>
    <row r="135" spans="1:17">
      <c r="A135" s="302"/>
      <c r="B135" s="304"/>
      <c r="C135" s="304"/>
      <c r="D135" s="304"/>
      <c r="E135" s="304"/>
      <c r="F135" s="304"/>
      <c r="G135" s="304"/>
      <c r="H135" s="304"/>
      <c r="I135" s="304"/>
      <c r="J135" s="304"/>
      <c r="K135" s="304"/>
      <c r="L135" s="304"/>
      <c r="M135" s="304"/>
      <c r="N135" s="304"/>
      <c r="O135" s="304"/>
      <c r="P135" s="304"/>
      <c r="Q135" s="303"/>
    </row>
    <row r="136" spans="1:17" s="255" customFormat="1">
      <c r="A136" s="302"/>
      <c r="B136" s="304"/>
      <c r="C136" s="304"/>
      <c r="D136" s="304"/>
      <c r="E136" s="304"/>
      <c r="F136" s="304"/>
      <c r="G136" s="304"/>
      <c r="H136" s="304"/>
      <c r="I136" s="304"/>
      <c r="J136" s="304"/>
      <c r="K136" s="304"/>
      <c r="L136" s="304"/>
      <c r="M136" s="304"/>
      <c r="N136" s="304"/>
      <c r="O136" s="304"/>
      <c r="P136" s="304"/>
      <c r="Q136" s="303"/>
    </row>
    <row r="137" spans="1:17" s="255" customFormat="1">
      <c r="A137" s="302"/>
      <c r="B137" s="304"/>
      <c r="C137" s="304"/>
      <c r="D137" s="304"/>
      <c r="E137" s="304"/>
      <c r="F137" s="304"/>
      <c r="G137" s="304"/>
      <c r="H137" s="304"/>
      <c r="I137" s="304"/>
      <c r="J137" s="304"/>
      <c r="K137" s="304"/>
      <c r="L137" s="304"/>
      <c r="M137" s="304"/>
      <c r="N137" s="304"/>
      <c r="O137" s="304"/>
      <c r="P137" s="304"/>
      <c r="Q137" s="303"/>
    </row>
    <row r="138" spans="1:17" s="255" customFormat="1">
      <c r="A138" s="302"/>
      <c r="B138" s="304"/>
      <c r="C138" s="304"/>
      <c r="D138" s="304"/>
      <c r="E138" s="304"/>
      <c r="F138" s="304"/>
      <c r="G138" s="304"/>
      <c r="H138" s="304"/>
      <c r="I138" s="304"/>
      <c r="J138" s="304"/>
      <c r="K138" s="304"/>
      <c r="L138" s="304"/>
      <c r="M138" s="304"/>
      <c r="N138" s="304"/>
      <c r="O138" s="304"/>
      <c r="P138" s="304"/>
      <c r="Q138" s="303"/>
    </row>
    <row r="139" spans="1:17" s="255" customFormat="1">
      <c r="A139" s="302"/>
      <c r="B139" s="304"/>
      <c r="C139" s="304"/>
      <c r="D139" s="304"/>
      <c r="E139" s="304"/>
      <c r="F139" s="304"/>
      <c r="G139" s="304"/>
      <c r="H139" s="304"/>
      <c r="I139" s="304"/>
      <c r="J139" s="304"/>
      <c r="K139" s="304"/>
      <c r="L139" s="304"/>
      <c r="M139" s="304"/>
      <c r="N139" s="304"/>
      <c r="O139" s="304"/>
      <c r="P139" s="304"/>
      <c r="Q139" s="303"/>
    </row>
    <row r="140" spans="1:17" s="255" customFormat="1">
      <c r="A140" s="302"/>
      <c r="B140" s="304"/>
      <c r="C140" s="304"/>
      <c r="D140" s="304"/>
      <c r="E140" s="304"/>
      <c r="F140" s="304"/>
      <c r="G140" s="304"/>
      <c r="H140" s="304"/>
      <c r="I140" s="304"/>
      <c r="J140" s="304"/>
      <c r="K140" s="304"/>
      <c r="L140" s="304"/>
      <c r="M140" s="304"/>
      <c r="N140" s="304"/>
      <c r="O140" s="304"/>
      <c r="P140" s="304"/>
      <c r="Q140" s="303"/>
    </row>
    <row r="141" spans="1:17" s="255" customFormat="1">
      <c r="A141" s="302"/>
      <c r="B141" s="304"/>
      <c r="C141" s="304"/>
      <c r="D141" s="304"/>
      <c r="E141" s="304"/>
      <c r="F141" s="304"/>
      <c r="G141" s="304"/>
      <c r="H141" s="304"/>
      <c r="I141" s="304"/>
      <c r="J141" s="304"/>
      <c r="K141" s="304"/>
      <c r="L141" s="304"/>
      <c r="M141" s="304"/>
      <c r="N141" s="304"/>
      <c r="O141" s="304"/>
      <c r="P141" s="304"/>
      <c r="Q141" s="303"/>
    </row>
    <row r="142" spans="1:17" s="255" customFormat="1">
      <c r="A142" s="302"/>
      <c r="B142" s="304"/>
      <c r="C142" s="304"/>
      <c r="D142" s="304"/>
      <c r="E142" s="304"/>
      <c r="F142" s="304"/>
      <c r="G142" s="304"/>
      <c r="H142" s="304"/>
      <c r="I142" s="304"/>
      <c r="J142" s="304"/>
      <c r="K142" s="304"/>
      <c r="L142" s="304"/>
      <c r="M142" s="304"/>
      <c r="N142" s="304"/>
      <c r="O142" s="304"/>
      <c r="P142" s="304"/>
      <c r="Q142" s="303"/>
    </row>
    <row r="143" spans="1:17" s="255" customFormat="1">
      <c r="A143" s="302"/>
      <c r="B143" s="304"/>
      <c r="C143" s="304"/>
      <c r="D143" s="304"/>
      <c r="E143" s="304"/>
      <c r="F143" s="304"/>
      <c r="G143" s="304"/>
      <c r="H143" s="304"/>
      <c r="I143" s="304"/>
      <c r="J143" s="304"/>
      <c r="K143" s="304"/>
      <c r="L143" s="304"/>
      <c r="M143" s="304"/>
      <c r="N143" s="304"/>
      <c r="O143" s="304"/>
      <c r="P143" s="304"/>
      <c r="Q143" s="303"/>
    </row>
    <row r="144" spans="1:17" s="255" customFormat="1">
      <c r="A144" s="302"/>
      <c r="B144" s="304"/>
      <c r="C144" s="304"/>
      <c r="D144" s="304"/>
      <c r="E144" s="304"/>
      <c r="F144" s="304"/>
      <c r="G144" s="304"/>
      <c r="H144" s="304"/>
      <c r="I144" s="304"/>
      <c r="J144" s="304"/>
      <c r="K144" s="304"/>
      <c r="L144" s="304"/>
      <c r="M144" s="304"/>
      <c r="N144" s="304"/>
      <c r="O144" s="304"/>
      <c r="P144" s="304"/>
      <c r="Q144" s="303"/>
    </row>
    <row r="145" spans="1:17" s="255" customFormat="1">
      <c r="A145" s="302"/>
      <c r="B145" s="304"/>
      <c r="C145" s="304"/>
      <c r="D145" s="304"/>
      <c r="E145" s="304"/>
      <c r="F145" s="304"/>
      <c r="G145" s="304"/>
      <c r="H145" s="304"/>
      <c r="I145" s="304"/>
      <c r="J145" s="304"/>
      <c r="K145" s="304"/>
      <c r="L145" s="304"/>
      <c r="M145" s="304"/>
      <c r="N145" s="304"/>
      <c r="O145" s="304"/>
      <c r="P145" s="304"/>
      <c r="Q145" s="303"/>
    </row>
    <row r="146" spans="1:17" s="255" customFormat="1">
      <c r="A146" s="302"/>
      <c r="B146" s="304"/>
      <c r="C146" s="304"/>
      <c r="D146" s="304"/>
      <c r="E146" s="304"/>
      <c r="F146" s="304"/>
      <c r="G146" s="304"/>
      <c r="H146" s="304"/>
      <c r="I146" s="304"/>
      <c r="J146" s="304"/>
      <c r="K146" s="304"/>
      <c r="L146" s="304"/>
      <c r="M146" s="304"/>
      <c r="N146" s="304"/>
      <c r="O146" s="304"/>
      <c r="P146" s="304"/>
      <c r="Q146" s="303"/>
    </row>
    <row r="147" spans="1:17" s="255" customFormat="1">
      <c r="A147" s="302"/>
      <c r="B147" s="304"/>
      <c r="C147" s="304"/>
      <c r="D147" s="304"/>
      <c r="E147" s="304"/>
      <c r="F147" s="304"/>
      <c r="G147" s="304"/>
      <c r="H147" s="304"/>
      <c r="I147" s="304"/>
      <c r="J147" s="304"/>
      <c r="K147" s="304"/>
      <c r="L147" s="304"/>
      <c r="M147" s="304"/>
      <c r="N147" s="304"/>
      <c r="O147" s="304"/>
      <c r="P147" s="304"/>
      <c r="Q147" s="303"/>
    </row>
    <row r="148" spans="1:17" s="255" customFormat="1">
      <c r="A148" s="302"/>
      <c r="B148" s="304"/>
      <c r="C148" s="304"/>
      <c r="D148" s="304"/>
      <c r="E148" s="304"/>
      <c r="F148" s="304"/>
      <c r="G148" s="304"/>
      <c r="H148" s="304"/>
      <c r="I148" s="304"/>
      <c r="J148" s="304"/>
      <c r="K148" s="304"/>
      <c r="L148" s="304"/>
      <c r="M148" s="304"/>
      <c r="N148" s="304"/>
      <c r="O148" s="304"/>
      <c r="P148" s="304"/>
      <c r="Q148" s="303"/>
    </row>
    <row r="149" spans="1:17" s="255" customFormat="1">
      <c r="A149" s="302"/>
      <c r="B149" s="304"/>
      <c r="C149" s="304"/>
      <c r="D149" s="304"/>
      <c r="E149" s="304"/>
      <c r="F149" s="304"/>
      <c r="G149" s="304"/>
      <c r="H149" s="304"/>
      <c r="I149" s="304"/>
      <c r="J149" s="304"/>
      <c r="K149" s="304"/>
      <c r="L149" s="304"/>
      <c r="M149" s="304"/>
      <c r="N149" s="304"/>
      <c r="O149" s="304"/>
      <c r="P149" s="304"/>
      <c r="Q149" s="303"/>
    </row>
    <row r="150" spans="1:17" s="255" customFormat="1">
      <c r="A150" s="302"/>
      <c r="B150" s="304"/>
      <c r="C150" s="304"/>
      <c r="D150" s="304"/>
      <c r="E150" s="304"/>
      <c r="F150" s="304"/>
      <c r="G150" s="304"/>
      <c r="H150" s="304"/>
      <c r="I150" s="304"/>
      <c r="J150" s="304"/>
      <c r="K150" s="304"/>
      <c r="L150" s="304"/>
      <c r="M150" s="304"/>
      <c r="N150" s="304"/>
      <c r="O150" s="304"/>
      <c r="P150" s="304"/>
      <c r="Q150" s="303"/>
    </row>
    <row r="151" spans="1:17" s="255" customFormat="1">
      <c r="A151" s="302"/>
      <c r="B151" s="304"/>
      <c r="C151" s="304"/>
      <c r="D151" s="304"/>
      <c r="E151" s="304"/>
      <c r="F151" s="304"/>
      <c r="G151" s="304"/>
      <c r="H151" s="304"/>
      <c r="I151" s="304"/>
      <c r="J151" s="304"/>
      <c r="K151" s="304"/>
      <c r="L151" s="304"/>
      <c r="M151" s="304"/>
      <c r="N151" s="304"/>
      <c r="O151" s="304"/>
      <c r="P151" s="304"/>
      <c r="Q151" s="303"/>
    </row>
    <row r="152" spans="1:17" s="255" customFormat="1">
      <c r="A152" s="302"/>
      <c r="B152" s="304"/>
      <c r="C152" s="304"/>
      <c r="D152" s="304"/>
      <c r="E152" s="304"/>
      <c r="F152" s="304"/>
      <c r="G152" s="304"/>
      <c r="H152" s="304"/>
      <c r="I152" s="304"/>
      <c r="J152" s="304"/>
      <c r="K152" s="304"/>
      <c r="L152" s="304"/>
      <c r="M152" s="304"/>
      <c r="N152" s="304"/>
      <c r="O152" s="304"/>
      <c r="P152" s="304"/>
      <c r="Q152" s="303"/>
    </row>
    <row r="153" spans="1:17" s="255" customFormat="1">
      <c r="A153" s="302"/>
      <c r="B153" s="304"/>
      <c r="C153" s="304"/>
      <c r="D153" s="304"/>
      <c r="E153" s="304"/>
      <c r="F153" s="304"/>
      <c r="G153" s="304"/>
      <c r="H153" s="304"/>
      <c r="I153" s="304"/>
      <c r="J153" s="304"/>
      <c r="K153" s="304"/>
      <c r="L153" s="304"/>
      <c r="M153" s="304"/>
      <c r="N153" s="304"/>
      <c r="O153" s="304"/>
      <c r="P153" s="304"/>
      <c r="Q153" s="303"/>
    </row>
    <row r="154" spans="1:17" s="255" customFormat="1">
      <c r="A154" s="302"/>
      <c r="B154" s="304"/>
      <c r="C154" s="304"/>
      <c r="D154" s="304"/>
      <c r="E154" s="304"/>
      <c r="F154" s="304"/>
      <c r="G154" s="304"/>
      <c r="H154" s="304"/>
      <c r="I154" s="304"/>
      <c r="J154" s="304"/>
      <c r="K154" s="304"/>
      <c r="L154" s="304"/>
      <c r="M154" s="304"/>
      <c r="N154" s="304"/>
      <c r="O154" s="304"/>
      <c r="P154" s="304"/>
      <c r="Q154" s="303"/>
    </row>
    <row r="155" spans="1:17" s="255" customFormat="1">
      <c r="A155" s="302"/>
      <c r="B155" s="304"/>
      <c r="C155" s="304"/>
      <c r="D155" s="304"/>
      <c r="E155" s="304"/>
      <c r="F155" s="304"/>
      <c r="G155" s="304"/>
      <c r="H155" s="304"/>
      <c r="I155" s="304"/>
      <c r="J155" s="304"/>
      <c r="K155" s="304"/>
      <c r="L155" s="304"/>
      <c r="M155" s="304"/>
      <c r="N155" s="304"/>
      <c r="O155" s="304"/>
      <c r="P155" s="304"/>
      <c r="Q155" s="303"/>
    </row>
    <row r="156" spans="1:17" s="255" customFormat="1">
      <c r="A156" s="302"/>
      <c r="B156" s="304"/>
      <c r="C156" s="304"/>
      <c r="D156" s="304"/>
      <c r="E156" s="304"/>
      <c r="F156" s="304"/>
      <c r="G156" s="304"/>
      <c r="H156" s="304"/>
      <c r="I156" s="304"/>
      <c r="J156" s="304"/>
      <c r="K156" s="304"/>
      <c r="L156" s="304"/>
      <c r="M156" s="304"/>
      <c r="N156" s="304"/>
      <c r="O156" s="304"/>
      <c r="P156" s="304"/>
      <c r="Q156" s="303"/>
    </row>
    <row r="157" spans="1:17" s="255" customFormat="1">
      <c r="A157" s="302"/>
      <c r="B157" s="304"/>
      <c r="C157" s="304"/>
      <c r="D157" s="304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4"/>
      <c r="P157" s="304"/>
      <c r="Q157" s="303"/>
    </row>
    <row r="158" spans="1:17" s="255" customFormat="1">
      <c r="A158" s="302"/>
      <c r="B158" s="304"/>
      <c r="C158" s="304"/>
      <c r="D158" s="304"/>
      <c r="E158" s="304"/>
      <c r="F158" s="304"/>
      <c r="G158" s="304"/>
      <c r="H158" s="304"/>
      <c r="I158" s="304"/>
      <c r="J158" s="304"/>
      <c r="K158" s="304"/>
      <c r="L158" s="304"/>
      <c r="M158" s="304"/>
      <c r="N158" s="304"/>
      <c r="O158" s="304"/>
      <c r="P158" s="304"/>
      <c r="Q158" s="303"/>
    </row>
    <row r="159" spans="1:17">
      <c r="A159" s="302"/>
      <c r="B159" s="304"/>
      <c r="C159" s="304"/>
      <c r="D159" s="304"/>
      <c r="E159" s="304"/>
      <c r="F159" s="304"/>
      <c r="G159" s="304"/>
      <c r="H159" s="304"/>
      <c r="I159" s="304"/>
      <c r="J159" s="304"/>
      <c r="K159" s="304"/>
      <c r="L159" s="304"/>
      <c r="M159" s="304"/>
      <c r="N159" s="304"/>
      <c r="O159" s="304"/>
      <c r="P159" s="304"/>
      <c r="Q159" s="303"/>
    </row>
    <row r="160" spans="1:17">
      <c r="A160" s="302"/>
      <c r="B160" s="309"/>
      <c r="C160" s="309"/>
      <c r="D160" s="309"/>
      <c r="E160" s="284" t="s">
        <v>545</v>
      </c>
      <c r="F160" s="309"/>
      <c r="G160" s="309"/>
      <c r="H160" s="309"/>
      <c r="I160" s="309"/>
      <c r="J160" s="309"/>
      <c r="K160" s="309"/>
      <c r="L160" s="309"/>
      <c r="M160" s="304"/>
      <c r="N160" s="304"/>
      <c r="O160" s="304"/>
      <c r="P160" s="304"/>
      <c r="Q160" s="303"/>
    </row>
    <row r="161" spans="1:28">
      <c r="A161" s="302"/>
      <c r="B161" s="309"/>
      <c r="C161" s="309"/>
      <c r="D161" s="285" t="s">
        <v>540</v>
      </c>
      <c r="E161" s="286" t="s">
        <v>544</v>
      </c>
      <c r="F161" s="309"/>
      <c r="G161" s="309"/>
      <c r="H161" s="284" t="s">
        <v>549</v>
      </c>
      <c r="I161" s="284" t="s">
        <v>552</v>
      </c>
      <c r="J161" s="309"/>
      <c r="K161" s="309"/>
      <c r="L161" s="309"/>
      <c r="M161" s="304"/>
      <c r="N161" s="304"/>
      <c r="O161" s="304"/>
      <c r="P161" s="304"/>
      <c r="Q161" s="303"/>
    </row>
    <row r="162" spans="1:28" ht="18">
      <c r="A162" s="302"/>
      <c r="B162" s="573" t="str">
        <f>'Resistencia de la RED'!B256</f>
        <v>Velocidad</v>
      </c>
      <c r="C162" s="585"/>
      <c r="D162" s="287" t="s">
        <v>541</v>
      </c>
      <c r="E162" s="286" t="s">
        <v>543</v>
      </c>
      <c r="F162" s="284" t="s">
        <v>546</v>
      </c>
      <c r="G162" s="285" t="s">
        <v>548</v>
      </c>
      <c r="H162" s="286" t="s">
        <v>550</v>
      </c>
      <c r="I162" s="286" t="s">
        <v>553</v>
      </c>
      <c r="J162" s="284" t="s">
        <v>661</v>
      </c>
      <c r="K162" s="284" t="s">
        <v>508</v>
      </c>
      <c r="L162" s="284" t="s">
        <v>554</v>
      </c>
      <c r="M162" s="284" t="s">
        <v>554</v>
      </c>
      <c r="N162" s="284" t="s">
        <v>555</v>
      </c>
      <c r="O162" s="284" t="s">
        <v>555</v>
      </c>
      <c r="P162" s="292" t="s">
        <v>665</v>
      </c>
      <c r="Q162" s="292" t="s">
        <v>665</v>
      </c>
    </row>
    <row r="163" spans="1:28" ht="17.25">
      <c r="A163" s="302"/>
      <c r="B163" s="288" t="str">
        <f>'Resistencia de la RED'!B257</f>
        <v>Nudos</v>
      </c>
      <c r="C163" s="289" t="str">
        <f>'Resistencia de la RED'!C257</f>
        <v>[m/s]</v>
      </c>
      <c r="D163" s="290" t="s">
        <v>542</v>
      </c>
      <c r="E163" s="291" t="s">
        <v>534</v>
      </c>
      <c r="F163" s="291" t="s">
        <v>547</v>
      </c>
      <c r="G163" s="290" t="s">
        <v>547</v>
      </c>
      <c r="H163" s="291" t="s">
        <v>551</v>
      </c>
      <c r="I163" s="291" t="s">
        <v>551</v>
      </c>
      <c r="J163" s="291" t="s">
        <v>551</v>
      </c>
      <c r="K163" s="291" t="s">
        <v>551</v>
      </c>
      <c r="L163" s="291" t="s">
        <v>609</v>
      </c>
      <c r="M163" s="291" t="s">
        <v>512</v>
      </c>
      <c r="N163" s="291" t="s">
        <v>609</v>
      </c>
      <c r="O163" s="291" t="s">
        <v>512</v>
      </c>
      <c r="P163" s="292" t="s">
        <v>609</v>
      </c>
      <c r="Q163" s="292" t="s">
        <v>512</v>
      </c>
    </row>
    <row r="164" spans="1:28">
      <c r="A164" s="302"/>
      <c r="B164" s="292">
        <f>'Resistencia de la RED'!B258</f>
        <v>1</v>
      </c>
      <c r="C164" s="292">
        <f>'Resistencia de la RED'!C258</f>
        <v>0.51439999999999997</v>
      </c>
      <c r="D164" s="292">
        <f>'Portones y aparejamiento'!$C$134</f>
        <v>32</v>
      </c>
      <c r="E164" s="408">
        <f>'Portones y aparejamiento'!$D$122</f>
        <v>1.8049999999999999</v>
      </c>
      <c r="F164" s="292">
        <f>'Portones y aparejamiento'!$E$134</f>
        <v>0.71</v>
      </c>
      <c r="G164" s="292">
        <f>'Portones y aparejamiento'!$D$134</f>
        <v>0.93</v>
      </c>
      <c r="H164" s="408">
        <f>0.5*($O$127/$O$129)*($C164^2)*E164*F164</f>
        <v>17.698580209020992</v>
      </c>
      <c r="I164" s="408">
        <f>0.5*($O$127/$O$129)*(C164^2)*E164*G164</f>
        <v>23.182647316041585</v>
      </c>
      <c r="J164" s="301">
        <f>'Resistencia de la RED'!N302*1000</f>
        <v>422.36322657644956</v>
      </c>
      <c r="K164" s="301">
        <f>'Resistencia de la RED'!N317*1000</f>
        <v>413.44914989192739</v>
      </c>
      <c r="L164" s="301">
        <f>H164/(0.5*J164)</f>
        <v>8.3807391815241161E-2</v>
      </c>
      <c r="M164" s="301">
        <f>H164/(0.5*K164)</f>
        <v>8.5614302090824337E-2</v>
      </c>
      <c r="N164" s="301">
        <f>I164/(0.5*J164)</f>
        <v>0.10977587941996378</v>
      </c>
      <c r="O164" s="301">
        <f>I164/(0.5*K164)</f>
        <v>0.11214267738657274</v>
      </c>
      <c r="P164" s="316">
        <f>2*($F$179*$E$185*$O164)/($F$179+$E$186*(1+$L164))</f>
        <v>5.7830121092076698</v>
      </c>
      <c r="Q164" s="316">
        <f>2*(($F$179*$E$185*O164)/($F$179+$E$186*(1+M164)))</f>
        <v>5.7821144860193021</v>
      </c>
    </row>
    <row r="165" spans="1:28">
      <c r="A165" s="302"/>
      <c r="B165" s="292">
        <f>'Resistencia de la RED'!B259</f>
        <v>1.5</v>
      </c>
      <c r="C165" s="292">
        <f>'Resistencia de la RED'!C259</f>
        <v>0.77159999999999995</v>
      </c>
      <c r="D165" s="351">
        <f>'Portones y aparejamiento'!$C$134</f>
        <v>32</v>
      </c>
      <c r="E165" s="408">
        <f>'Portones y aparejamiento'!$D$122</f>
        <v>1.8049999999999999</v>
      </c>
      <c r="F165" s="351">
        <f>'Portones y aparejamiento'!$E$134</f>
        <v>0.71</v>
      </c>
      <c r="G165" s="351">
        <f>'Portones y aparejamiento'!$D$134</f>
        <v>0.93</v>
      </c>
      <c r="H165" s="408">
        <f t="shared" ref="H165:H172" si="26">0.5*($O$127/$O$129)*($C165^2)*E165*F165</f>
        <v>39.821805470297235</v>
      </c>
      <c r="I165" s="408">
        <f t="shared" ref="I165:I172" si="27">0.5*($O$127/$O$129)*(C165^2)*E165*G165</f>
        <v>52.160956461093569</v>
      </c>
      <c r="J165" s="301">
        <f>'Resistencia de la RED'!N303*1000</f>
        <v>631.52956087214341</v>
      </c>
      <c r="K165" s="301">
        <f>'Resistencia de la RED'!N318*1000</f>
        <v>618.20097878939919</v>
      </c>
      <c r="L165" s="301">
        <f t="shared" ref="L165:L172" si="28">H165/(0.5*J165)</f>
        <v>0.12611224537234095</v>
      </c>
      <c r="M165" s="301">
        <f t="shared" ref="M165:M172" si="29">H165/(0.5*K165)</f>
        <v>0.12883125985429156</v>
      </c>
      <c r="N165" s="301">
        <f t="shared" ref="N165:N172" si="30">I165/(0.5*J165)</f>
        <v>0.16518927914968604</v>
      </c>
      <c r="O165" s="301">
        <f t="shared" ref="O165:O172" si="31">I165/(0.5*K165)</f>
        <v>0.16875080516125515</v>
      </c>
      <c r="P165" s="316">
        <f t="shared" ref="P165:P172" si="32">2*($F$179*$E$185*$O165)/($F$179+$E$186*(1+$L165))</f>
        <v>8.6706847003464844</v>
      </c>
      <c r="Q165" s="316">
        <f t="shared" ref="Q165:Q172" si="33">2*(($F$179*$E$185*O165)/($F$179+$E$186*(1+M165)))</f>
        <v>8.6686669892212773</v>
      </c>
    </row>
    <row r="166" spans="1:28">
      <c r="A166" s="302"/>
      <c r="B166" s="292">
        <f>'Resistencia de la RED'!B260</f>
        <v>2</v>
      </c>
      <c r="C166" s="292">
        <f>'Resistencia de la RED'!C260</f>
        <v>1.0287999999999999</v>
      </c>
      <c r="D166" s="351">
        <f>'Portones y aparejamiento'!$C$134</f>
        <v>32</v>
      </c>
      <c r="E166" s="408">
        <f>'Portones y aparejamiento'!$D$122</f>
        <v>1.8049999999999999</v>
      </c>
      <c r="F166" s="351">
        <f>'Portones y aparejamiento'!$E$134</f>
        <v>0.71</v>
      </c>
      <c r="G166" s="351">
        <f>'Portones y aparejamiento'!$D$134</f>
        <v>0.93</v>
      </c>
      <c r="H166" s="408">
        <f t="shared" si="26"/>
        <v>70.794320836083969</v>
      </c>
      <c r="I166" s="408">
        <f t="shared" si="27"/>
        <v>92.730589264166341</v>
      </c>
      <c r="J166" s="301">
        <f>'Resistencia de la RED'!N304*1000</f>
        <v>914.90100549547947</v>
      </c>
      <c r="K166" s="301">
        <f>'Resistencia de la RED'!N319*1000</f>
        <v>895.5918014536428</v>
      </c>
      <c r="L166" s="301">
        <f t="shared" si="28"/>
        <v>0.15475842831267664</v>
      </c>
      <c r="M166" s="301">
        <f t="shared" si="29"/>
        <v>0.15809506232901438</v>
      </c>
      <c r="N166" s="301">
        <f t="shared" si="30"/>
        <v>0.20271174412787227</v>
      </c>
      <c r="O166" s="301">
        <f t="shared" si="31"/>
        <v>0.2070822647408217</v>
      </c>
      <c r="P166" s="316">
        <f t="shared" si="32"/>
        <v>10.614187572880988</v>
      </c>
      <c r="Q166" s="316">
        <f t="shared" si="33"/>
        <v>10.611164120972889</v>
      </c>
      <c r="U166" s="255"/>
      <c r="V166" s="255"/>
      <c r="W166" s="255"/>
      <c r="X166" s="255"/>
      <c r="Y166" s="255"/>
      <c r="Z166" s="255"/>
      <c r="AA166" s="255"/>
      <c r="AB166" s="255"/>
    </row>
    <row r="167" spans="1:28">
      <c r="A167" s="302"/>
      <c r="B167" s="292">
        <f>'Resistencia de la RED'!B261</f>
        <v>2.5</v>
      </c>
      <c r="C167" s="292">
        <f>'Resistencia de la RED'!C261</f>
        <v>1.286</v>
      </c>
      <c r="D167" s="351">
        <f>'Portones y aparejamiento'!$C$134</f>
        <v>32</v>
      </c>
      <c r="E167" s="408">
        <f>'Portones y aparejamiento'!$D$122</f>
        <v>1.8049999999999999</v>
      </c>
      <c r="F167" s="351">
        <f>'Portones y aparejamiento'!$E$134</f>
        <v>0.71</v>
      </c>
      <c r="G167" s="351">
        <f>'Portones y aparejamiento'!$D$134</f>
        <v>0.93</v>
      </c>
      <c r="H167" s="408">
        <f t="shared" si="26"/>
        <v>110.61612630638123</v>
      </c>
      <c r="I167" s="408">
        <f t="shared" si="27"/>
        <v>144.89154572525993</v>
      </c>
      <c r="J167" s="301">
        <f>'Resistencia de la RED'!N305*1000</f>
        <v>1266.3281776772249</v>
      </c>
      <c r="K167" s="301">
        <f>'Resistencia de la RED'!N320*1000</f>
        <v>1239.6020193061838</v>
      </c>
      <c r="L167" s="301">
        <f t="shared" si="28"/>
        <v>0.17470372729015629</v>
      </c>
      <c r="M167" s="301">
        <f t="shared" si="29"/>
        <v>0.17847038740432844</v>
      </c>
      <c r="N167" s="301">
        <f t="shared" si="30"/>
        <v>0.22883727659133149</v>
      </c>
      <c r="O167" s="301">
        <f t="shared" si="31"/>
        <v>0.23377107082538798</v>
      </c>
      <c r="P167" s="316">
        <f t="shared" si="32"/>
        <v>11.961772722750663</v>
      </c>
      <c r="Q167" s="316">
        <f t="shared" si="33"/>
        <v>11.957932955186775</v>
      </c>
      <c r="U167" s="822"/>
      <c r="V167" s="813"/>
      <c r="W167" s="813"/>
      <c r="X167" s="813"/>
      <c r="Y167" s="813"/>
      <c r="Z167" s="813"/>
      <c r="AA167" s="813"/>
      <c r="AB167" s="796"/>
    </row>
    <row r="168" spans="1:28">
      <c r="A168" s="302"/>
      <c r="B168" s="292">
        <f>'Resistencia de la RED'!B262</f>
        <v>3</v>
      </c>
      <c r="C168" s="292">
        <f>'Resistencia de la RED'!C262</f>
        <v>1.5432000000000001</v>
      </c>
      <c r="D168" s="351">
        <f>'Portones y aparejamiento'!$C$134</f>
        <v>32</v>
      </c>
      <c r="E168" s="408">
        <f>'Portones y aparejamiento'!$D$122</f>
        <v>1.8049999999999999</v>
      </c>
      <c r="F168" s="351">
        <f>'Portones y aparejamiento'!$E$134</f>
        <v>0.71</v>
      </c>
      <c r="G168" s="351">
        <f>'Portones y aparejamiento'!$D$134</f>
        <v>0.93</v>
      </c>
      <c r="H168" s="408">
        <f t="shared" si="26"/>
        <v>159.287221881189</v>
      </c>
      <c r="I168" s="408">
        <f t="shared" si="27"/>
        <v>208.64382584437436</v>
      </c>
      <c r="J168" s="301">
        <f>'Resistencia de la RED'!N306*1000</f>
        <v>1680.3228964186867</v>
      </c>
      <c r="K168" s="301">
        <f>'Resistencia de la RED'!N321*1000</f>
        <v>1644.8592807179402</v>
      </c>
      <c r="L168" s="301">
        <f t="shared" si="28"/>
        <v>0.18959120561968387</v>
      </c>
      <c r="M168" s="301">
        <f t="shared" si="29"/>
        <v>0.19367884383600775</v>
      </c>
      <c r="N168" s="301">
        <f t="shared" si="30"/>
        <v>0.24833777637507892</v>
      </c>
      <c r="O168" s="301">
        <f t="shared" si="31"/>
        <v>0.25369200671477077</v>
      </c>
      <c r="P168" s="316">
        <f t="shared" si="32"/>
        <v>12.964647941710439</v>
      </c>
      <c r="Q168" s="316">
        <f t="shared" si="33"/>
        <v>12.960137452891656</v>
      </c>
      <c r="U168" s="822" t="str">
        <f>B162</f>
        <v>Velocidad</v>
      </c>
      <c r="V168" s="829" t="s">
        <v>996</v>
      </c>
      <c r="W168" s="776"/>
      <c r="X168" s="776"/>
      <c r="Y168" s="776"/>
      <c r="Z168" s="776"/>
      <c r="AA168" s="776"/>
      <c r="AB168" s="779"/>
    </row>
    <row r="169" spans="1:28">
      <c r="A169" s="302"/>
      <c r="B169" s="292">
        <f>'Resistencia de la RED'!B263</f>
        <v>3.5</v>
      </c>
      <c r="C169" s="292">
        <f>'Resistencia de la RED'!C263</f>
        <v>1.8004</v>
      </c>
      <c r="D169" s="351">
        <f>'Portones y aparejamiento'!$C$134</f>
        <v>32</v>
      </c>
      <c r="E169" s="408">
        <f>'Portones y aparejamiento'!$D$122</f>
        <v>1.8049999999999999</v>
      </c>
      <c r="F169" s="351">
        <f>'Portones y aparejamiento'!$E$134</f>
        <v>0.71</v>
      </c>
      <c r="G169" s="351">
        <f>'Portones y aparejamiento'!$D$134</f>
        <v>0.93</v>
      </c>
      <c r="H169" s="408">
        <f t="shared" si="26"/>
        <v>216.80760756050719</v>
      </c>
      <c r="I169" s="408">
        <f t="shared" si="27"/>
        <v>283.98742962150942</v>
      </c>
      <c r="J169" s="301">
        <f>'Resistencia de la RED'!N307*1000</f>
        <v>2151.9716405847998</v>
      </c>
      <c r="K169" s="301">
        <f>'Resistencia de la RED'!N322*1000</f>
        <v>2106.5537655899047</v>
      </c>
      <c r="L169" s="301">
        <f t="shared" si="28"/>
        <v>0.20149671442843881</v>
      </c>
      <c r="M169" s="301">
        <f t="shared" si="29"/>
        <v>0.20584103866895026</v>
      </c>
      <c r="N169" s="301">
        <f t="shared" si="30"/>
        <v>0.26393231608232126</v>
      </c>
      <c r="O169" s="301">
        <f t="shared" si="31"/>
        <v>0.26962276896073767</v>
      </c>
      <c r="P169" s="316">
        <f t="shared" si="32"/>
        <v>13.764819077382977</v>
      </c>
      <c r="Q169" s="316">
        <f t="shared" si="33"/>
        <v>13.759734746053356</v>
      </c>
      <c r="U169" s="778" t="str">
        <f>B163</f>
        <v>Nudos</v>
      </c>
      <c r="V169" s="810" t="s">
        <v>560</v>
      </c>
      <c r="W169" s="776"/>
      <c r="X169" s="822"/>
      <c r="Y169" s="813"/>
      <c r="Z169" s="813"/>
      <c r="AA169" s="813"/>
      <c r="AB169" s="796"/>
    </row>
    <row r="170" spans="1:28">
      <c r="A170" s="302"/>
      <c r="B170" s="292">
        <f>'Resistencia de la RED'!B264</f>
        <v>4</v>
      </c>
      <c r="C170" s="292">
        <f>'Resistencia de la RED'!C264</f>
        <v>2.0575999999999999</v>
      </c>
      <c r="D170" s="351">
        <f>'Portones y aparejamiento'!$C$134</f>
        <v>32</v>
      </c>
      <c r="E170" s="408">
        <f>'Portones y aparejamiento'!$D$122</f>
        <v>1.8049999999999999</v>
      </c>
      <c r="F170" s="351">
        <f>'Portones y aparejamiento'!$E$134</f>
        <v>0.71</v>
      </c>
      <c r="G170" s="351">
        <f>'Portones y aparejamiento'!$D$134</f>
        <v>0.93</v>
      </c>
      <c r="H170" s="408">
        <f t="shared" si="26"/>
        <v>283.17728334433588</v>
      </c>
      <c r="I170" s="408">
        <f t="shared" si="27"/>
        <v>370.92235705666536</v>
      </c>
      <c r="J170" s="301">
        <f>'Resistencia de la RED'!N308*1000</f>
        <v>2676.8622527857369</v>
      </c>
      <c r="K170" s="301">
        <f>'Resistencia de la RED'!N323*1000</f>
        <v>2620.3664361668261</v>
      </c>
      <c r="L170" s="301">
        <f t="shared" si="28"/>
        <v>0.21157404199610277</v>
      </c>
      <c r="M170" s="301">
        <f t="shared" si="29"/>
        <v>0.21613563617352588</v>
      </c>
      <c r="N170" s="301">
        <f t="shared" si="30"/>
        <v>0.27713219585405013</v>
      </c>
      <c r="O170" s="301">
        <f t="shared" si="31"/>
        <v>0.28310724174842128</v>
      </c>
      <c r="P170" s="316">
        <f t="shared" si="32"/>
        <v>14.440852561888859</v>
      </c>
      <c r="Q170" s="316">
        <f t="shared" si="33"/>
        <v>14.435256653205013</v>
      </c>
      <c r="U170" s="780">
        <f>B164</f>
        <v>1</v>
      </c>
      <c r="V170" s="823">
        <f>P164</f>
        <v>5.7830121092076698</v>
      </c>
      <c r="W170" s="776"/>
      <c r="X170" s="778"/>
      <c r="Y170" s="776"/>
      <c r="Z170" s="776"/>
      <c r="AA170" s="824">
        <f>L211</f>
        <v>13</v>
      </c>
      <c r="AB170" s="825" t="str">
        <f>M211</f>
        <v>[m]</v>
      </c>
    </row>
    <row r="171" spans="1:28">
      <c r="A171" s="302"/>
      <c r="B171" s="292">
        <f>'Resistencia de la RED'!B265</f>
        <v>4.5</v>
      </c>
      <c r="C171" s="292">
        <f>'Resistencia de la RED'!C265</f>
        <v>2.3148</v>
      </c>
      <c r="D171" s="351">
        <f>'Portones y aparejamiento'!$C$134</f>
        <v>32</v>
      </c>
      <c r="E171" s="408">
        <f>'Portones y aparejamiento'!$D$122</f>
        <v>1.8049999999999999</v>
      </c>
      <c r="F171" s="351">
        <f>'Portones y aparejamiento'!$E$134</f>
        <v>0.71</v>
      </c>
      <c r="G171" s="351">
        <f>'Portones y aparejamiento'!$D$134</f>
        <v>0.93</v>
      </c>
      <c r="H171" s="408">
        <f t="shared" si="26"/>
        <v>358.39624923267513</v>
      </c>
      <c r="I171" s="408">
        <f t="shared" si="27"/>
        <v>469.44860814984207</v>
      </c>
      <c r="J171" s="301">
        <f>'Resistencia de la RED'!N309*1000</f>
        <v>3251.0215826380531</v>
      </c>
      <c r="K171" s="301">
        <f>'Resistencia de la RED'!N324*1000</f>
        <v>3182.4079963522054</v>
      </c>
      <c r="L171" s="301">
        <f t="shared" si="28"/>
        <v>0.22048223312122905</v>
      </c>
      <c r="M171" s="301">
        <f t="shared" si="29"/>
        <v>0.22523589033428917</v>
      </c>
      <c r="N171" s="301">
        <f t="shared" si="30"/>
        <v>0.28880067155315919</v>
      </c>
      <c r="O171" s="301">
        <f t="shared" si="31"/>
        <v>0.295027292973083</v>
      </c>
      <c r="P171" s="316">
        <f t="shared" si="32"/>
        <v>15.037491532001072</v>
      </c>
      <c r="Q171" s="316">
        <f t="shared" si="33"/>
        <v>15.031423766485</v>
      </c>
      <c r="U171" s="780">
        <f>B165</f>
        <v>1.5</v>
      </c>
      <c r="V171" s="800">
        <f>P165</f>
        <v>8.6706847003464844</v>
      </c>
      <c r="W171" s="776"/>
      <c r="X171" s="787"/>
      <c r="Y171" s="788"/>
      <c r="Z171" s="788"/>
      <c r="AA171" s="788"/>
      <c r="AB171" s="790"/>
    </row>
    <row r="172" spans="1:28">
      <c r="A172" s="302"/>
      <c r="B172" s="292">
        <f>'Resistencia de la RED'!B266</f>
        <v>5</v>
      </c>
      <c r="C172" s="292">
        <f>'Resistencia de la RED'!C266</f>
        <v>2.5720000000000001</v>
      </c>
      <c r="D172" s="351">
        <f>'Portones y aparejamiento'!$C$134</f>
        <v>32</v>
      </c>
      <c r="E172" s="408">
        <f>'Portones y aparejamiento'!$D$122</f>
        <v>1.8049999999999999</v>
      </c>
      <c r="F172" s="351">
        <f>'Portones y aparejamiento'!$E$134</f>
        <v>0.71</v>
      </c>
      <c r="G172" s="351">
        <f>'Portones y aparejamiento'!$D$134</f>
        <v>0.93</v>
      </c>
      <c r="H172" s="408">
        <f t="shared" si="26"/>
        <v>442.46450522552493</v>
      </c>
      <c r="I172" s="408">
        <f t="shared" si="27"/>
        <v>579.56618290103972</v>
      </c>
      <c r="J172" s="301">
        <f>'Resistencia de la RED'!N310*1000</f>
        <v>3870.8622108292311</v>
      </c>
      <c r="K172" s="301">
        <f>'Resistencia de la RED'!N325*1000</f>
        <v>3789.1667401741761</v>
      </c>
      <c r="L172" s="301">
        <f t="shared" si="28"/>
        <v>0.22861289352417349</v>
      </c>
      <c r="M172" s="301">
        <f t="shared" si="29"/>
        <v>0.23354184999796881</v>
      </c>
      <c r="N172" s="301">
        <f t="shared" si="30"/>
        <v>0.29945069151757941</v>
      </c>
      <c r="O172" s="301">
        <f t="shared" si="31"/>
        <v>0.3059069302790296</v>
      </c>
      <c r="P172" s="316">
        <f t="shared" si="32"/>
        <v>15.581266869808893</v>
      </c>
      <c r="Q172" s="316">
        <f t="shared" si="33"/>
        <v>15.574752428239201</v>
      </c>
      <c r="U172" s="780">
        <f>B166</f>
        <v>2</v>
      </c>
      <c r="V172" s="800">
        <f>P166</f>
        <v>10.614187572880988</v>
      </c>
      <c r="W172" s="776"/>
      <c r="X172" s="776"/>
      <c r="Y172" s="776"/>
      <c r="Z172" s="776"/>
      <c r="AA172" s="776"/>
      <c r="AB172" s="779"/>
    </row>
    <row r="173" spans="1:28">
      <c r="A173" s="302"/>
      <c r="B173" s="304"/>
      <c r="C173" s="304"/>
      <c r="D173" s="304"/>
      <c r="E173" s="304"/>
      <c r="F173" s="304"/>
      <c r="G173" s="304"/>
      <c r="H173" s="304"/>
      <c r="I173" s="304"/>
      <c r="J173" s="304"/>
      <c r="K173" s="304"/>
      <c r="L173" s="304"/>
      <c r="M173" s="304"/>
      <c r="N173" s="304"/>
      <c r="O173" s="304"/>
      <c r="P173" s="304"/>
      <c r="Q173" s="303"/>
      <c r="U173" s="780">
        <f>B167</f>
        <v>2.5</v>
      </c>
      <c r="V173" s="800">
        <f>P167</f>
        <v>11.961772722750663</v>
      </c>
      <c r="W173" s="776"/>
      <c r="X173" s="822"/>
      <c r="Y173" s="813"/>
      <c r="Z173" s="813"/>
      <c r="AA173" s="813"/>
      <c r="AB173" s="796"/>
    </row>
    <row r="174" spans="1:28" ht="24" thickBot="1">
      <c r="A174" s="302"/>
      <c r="B174" s="304"/>
      <c r="C174" s="304"/>
      <c r="D174" s="304"/>
      <c r="E174" s="304"/>
      <c r="F174" s="304"/>
      <c r="G174" s="304"/>
      <c r="H174" s="581" t="s">
        <v>711</v>
      </c>
      <c r="I174" s="581"/>
      <c r="J174" s="581"/>
      <c r="K174" s="581"/>
      <c r="L174" s="581"/>
      <c r="M174" s="581"/>
      <c r="N174" s="581"/>
      <c r="O174" s="581"/>
      <c r="P174" s="581"/>
      <c r="Q174" s="582"/>
      <c r="U174" s="780">
        <f>B168</f>
        <v>3</v>
      </c>
      <c r="V174" s="800">
        <f>P168</f>
        <v>12.964647941710439</v>
      </c>
      <c r="W174" s="776"/>
      <c r="X174" s="778"/>
      <c r="Y174" s="776"/>
      <c r="Z174" s="776"/>
      <c r="AA174" s="824">
        <f>L225</f>
        <v>13</v>
      </c>
      <c r="AB174" s="825" t="str">
        <f>M225</f>
        <v>[m]</v>
      </c>
    </row>
    <row r="175" spans="1:28" ht="15.75" thickBot="1">
      <c r="A175" s="302"/>
      <c r="B175" s="604" t="s">
        <v>556</v>
      </c>
      <c r="C175" s="605"/>
      <c r="D175" s="605"/>
      <c r="E175" s="605"/>
      <c r="F175" s="605"/>
      <c r="G175" s="606"/>
      <c r="H175" s="304"/>
      <c r="I175" s="304"/>
      <c r="J175" s="304"/>
      <c r="K175" s="304"/>
      <c r="L175" s="304"/>
      <c r="M175" s="304"/>
      <c r="N175" s="304"/>
      <c r="O175" s="304"/>
      <c r="P175" s="304"/>
      <c r="Q175" s="303"/>
      <c r="U175" s="780">
        <f>B169</f>
        <v>3.5</v>
      </c>
      <c r="V175" s="800">
        <f>P169</f>
        <v>13.764819077382977</v>
      </c>
      <c r="W175" s="776"/>
      <c r="X175" s="787"/>
      <c r="Y175" s="788"/>
      <c r="Z175" s="788"/>
      <c r="AA175" s="788"/>
      <c r="AB175" s="790"/>
    </row>
    <row r="176" spans="1:28">
      <c r="A176" s="302"/>
      <c r="B176" s="572" t="s">
        <v>557</v>
      </c>
      <c r="C176" s="573"/>
      <c r="D176" s="573"/>
      <c r="E176" s="292">
        <f>D193</f>
        <v>40</v>
      </c>
      <c r="F176" s="292" t="s">
        <v>560</v>
      </c>
      <c r="G176" s="325"/>
      <c r="H176" s="304"/>
      <c r="I176" s="588" t="s">
        <v>870</v>
      </c>
      <c r="J176" s="589"/>
      <c r="K176" s="589"/>
      <c r="L176" s="590"/>
      <c r="M176" s="304"/>
      <c r="N176" s="304"/>
      <c r="O176" s="304"/>
      <c r="P176" s="304"/>
      <c r="Q176" s="303"/>
      <c r="U176" s="780">
        <f>B170</f>
        <v>4</v>
      </c>
      <c r="V176" s="800">
        <f>P170</f>
        <v>14.440852561888859</v>
      </c>
      <c r="W176" s="776"/>
      <c r="X176" s="776"/>
      <c r="Y176" s="776"/>
      <c r="Z176" s="776"/>
      <c r="AA176" s="776"/>
      <c r="AB176" s="779"/>
    </row>
    <row r="177" spans="1:28" ht="15" customHeight="1">
      <c r="A177" s="302"/>
      <c r="B177" s="586" t="s">
        <v>558</v>
      </c>
      <c r="C177" s="587"/>
      <c r="D177" s="587"/>
      <c r="E177" s="293">
        <f>E176*J178</f>
        <v>200</v>
      </c>
      <c r="F177" s="293" t="s">
        <v>560</v>
      </c>
      <c r="G177" s="325"/>
      <c r="H177" s="304"/>
      <c r="I177" s="434"/>
      <c r="J177" s="310"/>
      <c r="K177" s="310"/>
      <c r="L177" s="435"/>
      <c r="M177" s="304"/>
      <c r="N177" s="304"/>
      <c r="O177" s="304"/>
      <c r="P177" s="304"/>
      <c r="Q177" s="303"/>
      <c r="U177" s="780">
        <f>B171</f>
        <v>4.5</v>
      </c>
      <c r="V177" s="800">
        <f>P171</f>
        <v>15.037491532001072</v>
      </c>
      <c r="W177" s="776"/>
      <c r="X177" s="822"/>
      <c r="Y177" s="813"/>
      <c r="Z177" s="813"/>
      <c r="AA177" s="813"/>
      <c r="AB177" s="796"/>
    </row>
    <row r="178" spans="1:28" ht="18">
      <c r="A178" s="302"/>
      <c r="B178" s="572" t="s">
        <v>559</v>
      </c>
      <c r="C178" s="573"/>
      <c r="D178" s="573"/>
      <c r="E178" s="573"/>
      <c r="F178" s="573"/>
      <c r="G178" s="574"/>
      <c r="H178" s="310"/>
      <c r="I178" s="439" t="s">
        <v>651</v>
      </c>
      <c r="J178" s="348">
        <f>LOOKUP(E176,'Tablas de Referencias'!A354:A383,'Tablas de Referencias'!C354:C383)</f>
        <v>5</v>
      </c>
      <c r="K178" s="348" t="s">
        <v>872</v>
      </c>
      <c r="L178" s="348">
        <v>1</v>
      </c>
      <c r="M178" s="304"/>
      <c r="N178" s="304"/>
      <c r="O178" s="304"/>
      <c r="P178" s="304"/>
      <c r="Q178" s="303"/>
      <c r="U178" s="780">
        <f>B172</f>
        <v>5</v>
      </c>
      <c r="V178" s="800">
        <f>P172</f>
        <v>15.581266869808893</v>
      </c>
      <c r="W178" s="776"/>
      <c r="X178" s="778"/>
      <c r="Y178" s="776"/>
      <c r="Z178" s="826" t="s">
        <v>193</v>
      </c>
      <c r="AA178" s="827">
        <f>L233</f>
        <v>13.943489526472986</v>
      </c>
      <c r="AB178" s="828" t="str">
        <f>M233</f>
        <v>[m]</v>
      </c>
    </row>
    <row r="179" spans="1:28" ht="18.75" thickBot="1">
      <c r="A179" s="302"/>
      <c r="B179" s="599" t="s">
        <v>561</v>
      </c>
      <c r="C179" s="597"/>
      <c r="D179" s="597" t="s">
        <v>562</v>
      </c>
      <c r="E179" s="598"/>
      <c r="F179" s="294">
        <f>0.95*E177</f>
        <v>190</v>
      </c>
      <c r="G179" s="326" t="s">
        <v>560</v>
      </c>
      <c r="H179" s="304"/>
      <c r="I179" s="436"/>
      <c r="J179" s="437"/>
      <c r="K179" s="437"/>
      <c r="L179" s="438"/>
      <c r="M179" s="304"/>
      <c r="N179" s="304"/>
      <c r="O179" s="304"/>
      <c r="P179" s="304"/>
      <c r="Q179" s="303"/>
      <c r="U179" s="778"/>
      <c r="V179" s="776"/>
      <c r="W179" s="776"/>
      <c r="X179" s="787"/>
      <c r="Y179" s="788"/>
      <c r="Z179" s="788"/>
      <c r="AA179" s="788"/>
      <c r="AB179" s="790"/>
    </row>
    <row r="180" spans="1:28" ht="18">
      <c r="A180" s="302"/>
      <c r="B180" s="599" t="s">
        <v>563</v>
      </c>
      <c r="C180" s="597"/>
      <c r="D180" s="597" t="s">
        <v>564</v>
      </c>
      <c r="E180" s="598"/>
      <c r="F180" s="296">
        <f>E177*0.85</f>
        <v>170</v>
      </c>
      <c r="G180" s="327" t="s">
        <v>560</v>
      </c>
      <c r="H180" s="304"/>
      <c r="I180" s="304"/>
      <c r="J180" s="304"/>
      <c r="K180" s="304"/>
      <c r="L180" s="304"/>
      <c r="M180" s="304"/>
      <c r="N180" s="304"/>
      <c r="O180" s="304"/>
      <c r="P180" s="304"/>
      <c r="Q180" s="303"/>
      <c r="U180" s="787"/>
      <c r="V180" s="788"/>
      <c r="W180" s="788"/>
      <c r="X180" s="788"/>
      <c r="Y180" s="788"/>
      <c r="Z180" s="788"/>
      <c r="AA180" s="788"/>
      <c r="AB180" s="790"/>
    </row>
    <row r="181" spans="1:28">
      <c r="A181" s="302"/>
      <c r="B181" s="328"/>
      <c r="C181" s="304"/>
      <c r="D181" s="304"/>
      <c r="E181" s="304"/>
      <c r="F181" s="304"/>
      <c r="G181" s="325"/>
      <c r="H181" s="304"/>
      <c r="I181" s="304"/>
      <c r="J181" s="304"/>
      <c r="K181" s="304"/>
      <c r="L181" s="304"/>
      <c r="M181" s="304"/>
      <c r="N181" s="304"/>
      <c r="O181" s="304"/>
      <c r="P181" s="304"/>
      <c r="Q181" s="303"/>
    </row>
    <row r="182" spans="1:28" ht="18">
      <c r="A182" s="302"/>
      <c r="B182" s="575" t="s">
        <v>565</v>
      </c>
      <c r="C182" s="576"/>
      <c r="D182" s="576"/>
      <c r="E182" s="294">
        <f>'Resistencia de la RED'!D86</f>
        <v>32.68</v>
      </c>
      <c r="F182" s="295" t="s">
        <v>560</v>
      </c>
      <c r="G182" s="325"/>
      <c r="H182" s="304"/>
      <c r="I182" s="304"/>
      <c r="J182" s="304"/>
      <c r="K182" s="304"/>
      <c r="L182" s="304"/>
      <c r="M182" s="304"/>
      <c r="N182" s="304"/>
      <c r="O182" s="304"/>
      <c r="P182" s="304"/>
      <c r="Q182" s="303"/>
    </row>
    <row r="183" spans="1:28">
      <c r="A183" s="302"/>
      <c r="B183" s="575" t="s">
        <v>233</v>
      </c>
      <c r="C183" s="576"/>
      <c r="D183" s="576"/>
      <c r="E183" s="294">
        <v>0.5</v>
      </c>
      <c r="F183" s="295"/>
      <c r="G183" s="325"/>
      <c r="H183" s="304"/>
      <c r="I183" s="304"/>
      <c r="J183" s="304"/>
      <c r="K183" s="304"/>
      <c r="L183" s="304"/>
      <c r="M183" s="304"/>
      <c r="N183" s="304"/>
      <c r="O183" s="304"/>
      <c r="P183" s="304"/>
      <c r="Q183" s="303"/>
    </row>
    <row r="184" spans="1:28">
      <c r="A184" s="302"/>
      <c r="B184" s="575" t="s">
        <v>566</v>
      </c>
      <c r="C184" s="576"/>
      <c r="D184" s="576"/>
      <c r="E184" s="294">
        <v>0.87</v>
      </c>
      <c r="F184" s="295"/>
      <c r="G184" s="325"/>
      <c r="H184" s="304"/>
      <c r="I184" s="304"/>
      <c r="J184" s="304"/>
      <c r="K184" s="304"/>
      <c r="L184" s="304"/>
      <c r="M184" s="304"/>
      <c r="N184" s="304"/>
      <c r="O184" s="304"/>
      <c r="P184" s="304"/>
      <c r="Q184" s="303"/>
    </row>
    <row r="185" spans="1:28" ht="18">
      <c r="A185" s="302"/>
      <c r="B185" s="575" t="s">
        <v>567</v>
      </c>
      <c r="C185" s="576"/>
      <c r="D185" s="576"/>
      <c r="E185" s="294">
        <f>E182*E184</f>
        <v>28.4316</v>
      </c>
      <c r="F185" s="295" t="s">
        <v>560</v>
      </c>
      <c r="G185" s="325"/>
      <c r="H185" s="304"/>
      <c r="I185" s="304"/>
      <c r="J185" s="304"/>
      <c r="K185" s="304"/>
      <c r="L185" s="304"/>
      <c r="M185" s="304"/>
      <c r="N185" s="304"/>
      <c r="O185" s="304"/>
      <c r="P185" s="304"/>
      <c r="Q185" s="303"/>
    </row>
    <row r="186" spans="1:28" ht="18.75" thickBot="1">
      <c r="A186" s="302"/>
      <c r="B186" s="600" t="s">
        <v>568</v>
      </c>
      <c r="C186" s="601"/>
      <c r="D186" s="601"/>
      <c r="E186" s="329">
        <f>'Dimensiones de la Red'!F68</f>
        <v>18</v>
      </c>
      <c r="F186" s="330" t="s">
        <v>560</v>
      </c>
      <c r="G186" s="331"/>
      <c r="H186" s="304"/>
      <c r="I186" s="304"/>
      <c r="J186" s="304"/>
      <c r="K186" s="304"/>
      <c r="L186" s="304"/>
      <c r="M186" s="304"/>
      <c r="N186" s="304"/>
      <c r="O186" s="304"/>
      <c r="P186" s="304"/>
      <c r="Q186" s="303"/>
    </row>
    <row r="187" spans="1:28" s="255" customFormat="1">
      <c r="A187" s="302"/>
      <c r="B187" s="324"/>
      <c r="C187" s="324"/>
      <c r="D187" s="324"/>
      <c r="E187" s="317"/>
      <c r="F187" s="304"/>
      <c r="G187" s="304"/>
      <c r="H187" s="304"/>
      <c r="I187" s="304"/>
      <c r="J187" s="304"/>
      <c r="K187" s="304"/>
      <c r="L187" s="304"/>
      <c r="M187" s="304"/>
      <c r="N187" s="304"/>
      <c r="O187" s="304"/>
      <c r="P187" s="304"/>
      <c r="Q187" s="303"/>
    </row>
    <row r="188" spans="1:28">
      <c r="A188" s="302"/>
      <c r="B188" s="304"/>
      <c r="C188" s="304"/>
      <c r="D188" s="304"/>
      <c r="E188" s="304"/>
      <c r="F188" s="304"/>
      <c r="G188" s="304"/>
      <c r="H188" s="304"/>
      <c r="I188" s="304"/>
      <c r="J188" s="304"/>
      <c r="K188" s="304"/>
      <c r="L188" s="304"/>
      <c r="M188" s="310"/>
      <c r="N188" s="310"/>
      <c r="O188" s="310"/>
      <c r="P188" s="310"/>
      <c r="Q188" s="769"/>
    </row>
    <row r="189" spans="1:28">
      <c r="A189" s="302"/>
      <c r="B189" s="304"/>
      <c r="C189" s="304"/>
      <c r="D189" s="304"/>
      <c r="E189" s="304"/>
      <c r="F189" s="304"/>
      <c r="G189" s="304"/>
      <c r="H189" s="304"/>
      <c r="I189" s="304"/>
      <c r="J189" s="304"/>
      <c r="K189" s="293" t="s">
        <v>609</v>
      </c>
      <c r="L189" s="293" t="s">
        <v>512</v>
      </c>
      <c r="M189" s="304"/>
      <c r="N189" s="304"/>
      <c r="O189" s="304"/>
      <c r="P189" s="304"/>
      <c r="Q189" s="303"/>
    </row>
    <row r="190" spans="1:28">
      <c r="A190" s="302"/>
      <c r="B190" s="304"/>
      <c r="C190" s="304"/>
      <c r="D190" s="304"/>
      <c r="E190" s="304"/>
      <c r="F190" s="304"/>
      <c r="G190" s="304"/>
      <c r="H190" s="304"/>
      <c r="I190" s="304"/>
      <c r="J190" s="304"/>
      <c r="K190" s="298" t="s">
        <v>608</v>
      </c>
      <c r="L190" s="293" t="s">
        <v>572</v>
      </c>
      <c r="M190" s="304"/>
      <c r="N190" s="304"/>
      <c r="O190" s="304"/>
      <c r="P190" s="304"/>
      <c r="Q190" s="303"/>
      <c r="V190" s="368" t="str">
        <f>B191</f>
        <v>Velocidad</v>
      </c>
      <c r="W190" s="536" t="str">
        <f t="array" ref="W190">M191</f>
        <v>Distancia entre portones</v>
      </c>
      <c r="X190" s="536"/>
    </row>
    <row r="191" spans="1:28">
      <c r="A191" s="302"/>
      <c r="B191" s="573" t="str">
        <f>B162</f>
        <v>Velocidad</v>
      </c>
      <c r="C191" s="573"/>
      <c r="D191" s="293" t="s">
        <v>194</v>
      </c>
      <c r="E191" s="293" t="s">
        <v>571</v>
      </c>
      <c r="F191" s="293" t="str">
        <f>MID(B178,41,3)</f>
        <v>Lsh</v>
      </c>
      <c r="G191" s="293" t="str">
        <f>B185</f>
        <v>LRTrabajando</v>
      </c>
      <c r="H191" s="293" t="str">
        <f>MID(B186,26,3)</f>
        <v>Lnc</v>
      </c>
      <c r="I191" s="297" t="s">
        <v>666</v>
      </c>
      <c r="J191" s="297" t="s">
        <v>667</v>
      </c>
      <c r="K191" s="298" t="s">
        <v>573</v>
      </c>
      <c r="L191" s="298" t="s">
        <v>573</v>
      </c>
      <c r="M191" s="820" t="s">
        <v>980</v>
      </c>
      <c r="N191" s="821"/>
      <c r="O191" s="304"/>
      <c r="P191" s="304"/>
      <c r="Q191" s="303"/>
      <c r="V191" s="368" t="str">
        <f t="shared" ref="V191:V201" si="34">B192</f>
        <v>Nudos</v>
      </c>
      <c r="W191" s="474" t="str">
        <f t="array" ref="W191">M192</f>
        <v>[m]</v>
      </c>
      <c r="X191" s="474"/>
    </row>
    <row r="192" spans="1:28">
      <c r="A192" s="302"/>
      <c r="B192" s="292" t="str">
        <f t="shared" ref="B192:C201" si="35">B163</f>
        <v>Nudos</v>
      </c>
      <c r="C192" s="292" t="str">
        <f t="shared" si="35"/>
        <v>[m/s]</v>
      </c>
      <c r="D192" s="299" t="s">
        <v>560</v>
      </c>
      <c r="E192" s="299" t="s">
        <v>560</v>
      </c>
      <c r="F192" s="299" t="s">
        <v>560</v>
      </c>
      <c r="G192" s="299" t="s">
        <v>560</v>
      </c>
      <c r="H192" s="299" t="s">
        <v>560</v>
      </c>
      <c r="I192" s="296" t="s">
        <v>560</v>
      </c>
      <c r="J192" s="296"/>
      <c r="K192" s="299" t="s">
        <v>560</v>
      </c>
      <c r="L192" s="299" t="s">
        <v>560</v>
      </c>
      <c r="M192" s="771" t="s">
        <v>560</v>
      </c>
      <c r="N192" s="772"/>
      <c r="O192" s="304"/>
      <c r="P192" s="304"/>
      <c r="Q192" s="303"/>
      <c r="V192" s="368">
        <f t="shared" si="34"/>
        <v>1</v>
      </c>
      <c r="W192" s="678">
        <f t="array" ref="W192">M193</f>
        <v>13.647873831865379</v>
      </c>
      <c r="X192" s="678"/>
    </row>
    <row r="193" spans="1:24">
      <c r="A193" s="302"/>
      <c r="B193" s="292">
        <f t="shared" si="35"/>
        <v>1</v>
      </c>
      <c r="C193" s="301">
        <f t="shared" si="35"/>
        <v>0.51439999999999997</v>
      </c>
      <c r="D193" s="292">
        <f>'Especie Blanco'!$E$5</f>
        <v>40</v>
      </c>
      <c r="E193" s="292">
        <f>$E$177</f>
        <v>200</v>
      </c>
      <c r="F193" s="292">
        <f>0.95*E193</f>
        <v>190</v>
      </c>
      <c r="G193" s="408">
        <f>$E$185</f>
        <v>28.4316</v>
      </c>
      <c r="H193" s="316">
        <f>$E$186</f>
        <v>18</v>
      </c>
      <c r="I193" s="408">
        <f>P164/2</f>
        <v>2.8915060546038349</v>
      </c>
      <c r="J193" s="408">
        <f>Q164/2</f>
        <v>2.8910572430096511</v>
      </c>
      <c r="K193" s="316">
        <f>2*I193</f>
        <v>5.7830121092076698</v>
      </c>
      <c r="L193" s="316">
        <f>2*J193</f>
        <v>5.7821144860193021</v>
      </c>
      <c r="M193" s="770">
        <f>(L193*($E$211+$E$212+$E$213+$E$214+$E$209))/$E$209</f>
        <v>13.647873831865379</v>
      </c>
      <c r="N193" s="770"/>
      <c r="O193" s="304"/>
      <c r="P193" s="304"/>
      <c r="Q193" s="303"/>
      <c r="V193" s="368">
        <f t="shared" si="34"/>
        <v>1.5</v>
      </c>
      <c r="W193" s="678">
        <f t="array" ref="W193">M194</f>
        <v>20.461177938522297</v>
      </c>
      <c r="X193" s="678"/>
    </row>
    <row r="194" spans="1:24">
      <c r="A194" s="302"/>
      <c r="B194" s="292">
        <f t="shared" si="35"/>
        <v>1.5</v>
      </c>
      <c r="C194" s="301">
        <f t="shared" si="35"/>
        <v>0.77159999999999995</v>
      </c>
      <c r="D194" s="292">
        <f>'Especie Blanco'!$E$5</f>
        <v>40</v>
      </c>
      <c r="E194" s="292">
        <f t="shared" ref="E194:E201" si="36">$E$177</f>
        <v>200</v>
      </c>
      <c r="F194" s="292">
        <f t="shared" ref="F194:F201" si="37">0.95*E194</f>
        <v>190</v>
      </c>
      <c r="G194" s="408">
        <f t="shared" ref="G194:G201" si="38">$E$185</f>
        <v>28.4316</v>
      </c>
      <c r="H194" s="316">
        <f t="shared" ref="H194:H201" si="39">$E$186</f>
        <v>18</v>
      </c>
      <c r="I194" s="408">
        <f t="shared" ref="I194:I201" si="40">P165/2</f>
        <v>4.3353423501732422</v>
      </c>
      <c r="J194" s="408">
        <f t="shared" ref="J194:J201" si="41">Q165/2</f>
        <v>4.3343334946106387</v>
      </c>
      <c r="K194" s="316">
        <f t="shared" ref="K194:L201" si="42">2*I194</f>
        <v>8.6706847003464844</v>
      </c>
      <c r="L194" s="316">
        <f t="shared" si="42"/>
        <v>8.6686669892212773</v>
      </c>
      <c r="M194" s="770">
        <f>(L194*($E$211+$E$212+$E$213+$E$214+$E$209))/$E$209</f>
        <v>20.461177938522297</v>
      </c>
      <c r="N194" s="770"/>
      <c r="O194" s="369"/>
      <c r="P194" s="304"/>
      <c r="Q194" s="303"/>
      <c r="V194" s="368">
        <f t="shared" si="34"/>
        <v>2</v>
      </c>
      <c r="W194" s="678">
        <f t="array" ref="W194">M195</f>
        <v>25.046171168422497</v>
      </c>
      <c r="X194" s="678"/>
    </row>
    <row r="195" spans="1:24">
      <c r="A195" s="302"/>
      <c r="B195" s="292">
        <f t="shared" si="35"/>
        <v>2</v>
      </c>
      <c r="C195" s="301">
        <f t="shared" si="35"/>
        <v>1.0287999999999999</v>
      </c>
      <c r="D195" s="292">
        <f>'Especie Blanco'!$E$5</f>
        <v>40</v>
      </c>
      <c r="E195" s="292">
        <f t="shared" si="36"/>
        <v>200</v>
      </c>
      <c r="F195" s="292">
        <f t="shared" si="37"/>
        <v>190</v>
      </c>
      <c r="G195" s="408">
        <f t="shared" si="38"/>
        <v>28.4316</v>
      </c>
      <c r="H195" s="316">
        <f t="shared" si="39"/>
        <v>18</v>
      </c>
      <c r="I195" s="408">
        <f t="shared" si="40"/>
        <v>5.3070937864404941</v>
      </c>
      <c r="J195" s="408">
        <f t="shared" si="41"/>
        <v>5.3055820604864445</v>
      </c>
      <c r="K195" s="316">
        <f t="shared" si="42"/>
        <v>10.614187572880988</v>
      </c>
      <c r="L195" s="316">
        <f t="shared" si="42"/>
        <v>10.611164120972889</v>
      </c>
      <c r="M195" s="770">
        <f>(L195*($E$211+$E$212+$E$213+$E$214+$E$209))/$E$209</f>
        <v>25.046171168422497</v>
      </c>
      <c r="N195" s="770"/>
      <c r="O195" s="369"/>
      <c r="P195" s="304"/>
      <c r="Q195" s="303"/>
      <c r="V195" s="368">
        <f t="shared" si="34"/>
        <v>2.5</v>
      </c>
      <c r="W195" s="678">
        <f t="array" ref="W195">M196</f>
        <v>28.225030939269686</v>
      </c>
      <c r="X195" s="678"/>
    </row>
    <row r="196" spans="1:24">
      <c r="A196" s="302"/>
      <c r="B196" s="292">
        <f t="shared" si="35"/>
        <v>2.5</v>
      </c>
      <c r="C196" s="301">
        <f t="shared" si="35"/>
        <v>1.286</v>
      </c>
      <c r="D196" s="292">
        <f>'Especie Blanco'!$E$5</f>
        <v>40</v>
      </c>
      <c r="E196" s="292">
        <f t="shared" si="36"/>
        <v>200</v>
      </c>
      <c r="F196" s="292">
        <f t="shared" si="37"/>
        <v>190</v>
      </c>
      <c r="G196" s="408">
        <f t="shared" si="38"/>
        <v>28.4316</v>
      </c>
      <c r="H196" s="316">
        <f t="shared" si="39"/>
        <v>18</v>
      </c>
      <c r="I196" s="408">
        <f t="shared" si="40"/>
        <v>5.9808863613753314</v>
      </c>
      <c r="J196" s="408">
        <f t="shared" si="41"/>
        <v>5.9789664775933877</v>
      </c>
      <c r="K196" s="316">
        <f t="shared" si="42"/>
        <v>11.961772722750663</v>
      </c>
      <c r="L196" s="316">
        <f t="shared" si="42"/>
        <v>11.957932955186775</v>
      </c>
      <c r="M196" s="770">
        <f>(L196*($E$211+$E$212+$E$213+$E$214+$E$209))/$E$209</f>
        <v>28.225030939269686</v>
      </c>
      <c r="N196" s="770"/>
      <c r="O196" s="369"/>
      <c r="P196" s="304"/>
      <c r="Q196" s="303"/>
      <c r="V196" s="368">
        <f t="shared" si="34"/>
        <v>3</v>
      </c>
      <c r="W196" s="678">
        <f t="array" ref="W196">M197</f>
        <v>30.590594708627151</v>
      </c>
      <c r="X196" s="678"/>
    </row>
    <row r="197" spans="1:24">
      <c r="A197" s="302"/>
      <c r="B197" s="292">
        <f t="shared" si="35"/>
        <v>3</v>
      </c>
      <c r="C197" s="301">
        <f t="shared" si="35"/>
        <v>1.5432000000000001</v>
      </c>
      <c r="D197" s="292">
        <f>'Especie Blanco'!$E$5</f>
        <v>40</v>
      </c>
      <c r="E197" s="292">
        <f t="shared" si="36"/>
        <v>200</v>
      </c>
      <c r="F197" s="292">
        <f t="shared" si="37"/>
        <v>190</v>
      </c>
      <c r="G197" s="408">
        <f t="shared" si="38"/>
        <v>28.4316</v>
      </c>
      <c r="H197" s="316">
        <f t="shared" si="39"/>
        <v>18</v>
      </c>
      <c r="I197" s="408">
        <f t="shared" si="40"/>
        <v>6.4823239708552194</v>
      </c>
      <c r="J197" s="408">
        <f t="shared" si="41"/>
        <v>6.4800687264458281</v>
      </c>
      <c r="K197" s="316">
        <f t="shared" si="42"/>
        <v>12.964647941710439</v>
      </c>
      <c r="L197" s="316">
        <f t="shared" si="42"/>
        <v>12.960137452891656</v>
      </c>
      <c r="M197" s="770">
        <f>(L197*($E$211+$E$212+$E$213+$E$214+$E$209))/$E$209</f>
        <v>30.590594708627151</v>
      </c>
      <c r="N197" s="770"/>
      <c r="O197" s="369"/>
      <c r="P197" s="304"/>
      <c r="Q197" s="303"/>
      <c r="V197" s="368">
        <f t="shared" si="34"/>
        <v>3.5</v>
      </c>
      <c r="W197" s="678">
        <f t="array" ref="W197">M198</f>
        <v>32.477932463657467</v>
      </c>
      <c r="X197" s="678"/>
    </row>
    <row r="198" spans="1:24">
      <c r="A198" s="302"/>
      <c r="B198" s="292">
        <f t="shared" si="35"/>
        <v>3.5</v>
      </c>
      <c r="C198" s="301">
        <f t="shared" si="35"/>
        <v>1.8004</v>
      </c>
      <c r="D198" s="292">
        <f>'Especie Blanco'!$E$5</f>
        <v>40</v>
      </c>
      <c r="E198" s="292">
        <f t="shared" si="36"/>
        <v>200</v>
      </c>
      <c r="F198" s="292">
        <f t="shared" si="37"/>
        <v>190</v>
      </c>
      <c r="G198" s="408">
        <f t="shared" si="38"/>
        <v>28.4316</v>
      </c>
      <c r="H198" s="316">
        <f t="shared" si="39"/>
        <v>18</v>
      </c>
      <c r="I198" s="408">
        <f t="shared" si="40"/>
        <v>6.8824095386914887</v>
      </c>
      <c r="J198" s="408">
        <f t="shared" si="41"/>
        <v>6.8798673730266779</v>
      </c>
      <c r="K198" s="316">
        <f t="shared" si="42"/>
        <v>13.764819077382977</v>
      </c>
      <c r="L198" s="316">
        <f t="shared" si="42"/>
        <v>13.759734746053356</v>
      </c>
      <c r="M198" s="770">
        <f>(L198*($E$211+$E$212+$E$213+$E$214+$E$209))/$E$209</f>
        <v>32.477932463657467</v>
      </c>
      <c r="N198" s="770"/>
      <c r="O198" s="369"/>
      <c r="P198" s="304"/>
      <c r="Q198" s="303"/>
      <c r="V198" s="368">
        <f t="shared" si="34"/>
        <v>4</v>
      </c>
      <c r="W198" s="678">
        <f t="array" ref="W198">M199</f>
        <v>34.072407595853278</v>
      </c>
      <c r="X198" s="678"/>
    </row>
    <row r="199" spans="1:24">
      <c r="A199" s="302"/>
      <c r="B199" s="292">
        <f t="shared" si="35"/>
        <v>4</v>
      </c>
      <c r="C199" s="301">
        <f t="shared" si="35"/>
        <v>2.0575999999999999</v>
      </c>
      <c r="D199" s="292">
        <f>'Especie Blanco'!$E$5</f>
        <v>40</v>
      </c>
      <c r="E199" s="292">
        <f t="shared" si="36"/>
        <v>200</v>
      </c>
      <c r="F199" s="292">
        <f t="shared" si="37"/>
        <v>190</v>
      </c>
      <c r="G199" s="408">
        <f t="shared" si="38"/>
        <v>28.4316</v>
      </c>
      <c r="H199" s="316">
        <f t="shared" si="39"/>
        <v>18</v>
      </c>
      <c r="I199" s="408">
        <f t="shared" si="40"/>
        <v>7.2204262809444293</v>
      </c>
      <c r="J199" s="408">
        <f t="shared" si="41"/>
        <v>7.2176283266025063</v>
      </c>
      <c r="K199" s="316">
        <f t="shared" si="42"/>
        <v>14.440852561888859</v>
      </c>
      <c r="L199" s="316">
        <f t="shared" si="42"/>
        <v>14.435256653205013</v>
      </c>
      <c r="M199" s="770">
        <f>(L199*($E$211+$E$212+$E$213+$E$214+$E$209))/$E$209</f>
        <v>34.072407595853278</v>
      </c>
      <c r="N199" s="770"/>
      <c r="O199" s="369"/>
      <c r="P199" s="304"/>
      <c r="Q199" s="303"/>
      <c r="V199" s="368">
        <f t="shared" si="34"/>
        <v>4.5</v>
      </c>
      <c r="W199" s="678">
        <f t="array" ref="W199">M200</f>
        <v>35.479576818189827</v>
      </c>
      <c r="X199" s="678"/>
    </row>
    <row r="200" spans="1:24">
      <c r="A200" s="302"/>
      <c r="B200" s="292">
        <f>B171</f>
        <v>4.5</v>
      </c>
      <c r="C200" s="301">
        <f>C171</f>
        <v>2.3148</v>
      </c>
      <c r="D200" s="292">
        <f>'Especie Blanco'!$E$5</f>
        <v>40</v>
      </c>
      <c r="E200" s="292">
        <f t="shared" si="36"/>
        <v>200</v>
      </c>
      <c r="F200" s="292">
        <f t="shared" si="37"/>
        <v>190</v>
      </c>
      <c r="G200" s="408">
        <f t="shared" si="38"/>
        <v>28.4316</v>
      </c>
      <c r="H200" s="316">
        <f t="shared" si="39"/>
        <v>18</v>
      </c>
      <c r="I200" s="408">
        <f t="shared" si="40"/>
        <v>7.5187457660005359</v>
      </c>
      <c r="J200" s="408">
        <f t="shared" si="41"/>
        <v>7.5157118832425001</v>
      </c>
      <c r="K200" s="316">
        <f t="shared" si="42"/>
        <v>15.037491532001072</v>
      </c>
      <c r="L200" s="316">
        <f t="shared" si="42"/>
        <v>15.031423766485</v>
      </c>
      <c r="M200" s="770">
        <f>(L200*($E$211+$E$212+$E$213+$E$214+$E$209))/$E$209</f>
        <v>35.479576818189827</v>
      </c>
      <c r="N200" s="770"/>
      <c r="O200" s="369"/>
      <c r="P200" s="304"/>
      <c r="Q200" s="303"/>
      <c r="V200" s="368">
        <f t="shared" si="34"/>
        <v>5</v>
      </c>
      <c r="W200" s="678">
        <f t="array" ref="W200">M201</f>
        <v>36.762028254042079</v>
      </c>
      <c r="X200" s="678"/>
    </row>
    <row r="201" spans="1:24">
      <c r="A201" s="302"/>
      <c r="B201" s="292">
        <f t="shared" si="35"/>
        <v>5</v>
      </c>
      <c r="C201" s="301">
        <f t="shared" si="35"/>
        <v>2.5720000000000001</v>
      </c>
      <c r="D201" s="292">
        <f>'Especie Blanco'!$E$5</f>
        <v>40</v>
      </c>
      <c r="E201" s="292">
        <f t="shared" si="36"/>
        <v>200</v>
      </c>
      <c r="F201" s="292">
        <f t="shared" si="37"/>
        <v>190</v>
      </c>
      <c r="G201" s="408">
        <f t="shared" si="38"/>
        <v>28.4316</v>
      </c>
      <c r="H201" s="316">
        <f t="shared" si="39"/>
        <v>18</v>
      </c>
      <c r="I201" s="408">
        <f t="shared" si="40"/>
        <v>7.7906334349044464</v>
      </c>
      <c r="J201" s="408">
        <f t="shared" si="41"/>
        <v>7.7873762141196003</v>
      </c>
      <c r="K201" s="316">
        <f t="shared" si="42"/>
        <v>15.581266869808893</v>
      </c>
      <c r="L201" s="316">
        <f t="shared" si="42"/>
        <v>15.574752428239201</v>
      </c>
      <c r="M201" s="770">
        <f>(L201*($E$211+$E$212+$E$213+$E$214+$E$209))/$E$209</f>
        <v>36.762028254042079</v>
      </c>
      <c r="N201" s="770"/>
      <c r="O201" s="369"/>
      <c r="P201" s="304"/>
      <c r="Q201" s="303"/>
      <c r="V201" s="255"/>
    </row>
    <row r="202" spans="1:24">
      <c r="A202" s="302"/>
      <c r="B202" s="304"/>
      <c r="C202" s="304"/>
      <c r="D202" s="304"/>
      <c r="E202" s="304"/>
      <c r="F202" s="304"/>
      <c r="G202" s="304"/>
      <c r="H202" s="304"/>
      <c r="I202" s="304"/>
      <c r="J202" s="304"/>
      <c r="K202" s="304"/>
      <c r="L202" s="304"/>
      <c r="M202" s="304"/>
      <c r="N202" s="304"/>
      <c r="O202" s="304"/>
      <c r="P202" s="304"/>
      <c r="Q202" s="303"/>
    </row>
    <row r="203" spans="1:24">
      <c r="A203" s="302"/>
      <c r="B203" s="304"/>
      <c r="C203" s="304"/>
      <c r="D203" s="304"/>
      <c r="E203" s="304"/>
      <c r="F203" s="304"/>
      <c r="G203" s="304"/>
      <c r="H203" s="304"/>
      <c r="I203" s="304"/>
      <c r="J203" s="304"/>
      <c r="K203" s="304"/>
      <c r="L203" s="304"/>
      <c r="M203" s="304"/>
      <c r="N203" s="304"/>
      <c r="O203" s="304"/>
      <c r="P203" s="304"/>
      <c r="Q203" s="303"/>
    </row>
    <row r="204" spans="1:24">
      <c r="A204" s="302"/>
      <c r="B204" s="304"/>
      <c r="C204" s="304"/>
      <c r="D204" s="304"/>
      <c r="E204" s="304"/>
      <c r="F204" s="304"/>
      <c r="G204" s="304"/>
      <c r="H204" s="304"/>
      <c r="I204" s="304"/>
      <c r="J204" s="304"/>
      <c r="K204" s="304"/>
      <c r="L204" s="304"/>
      <c r="M204" s="304"/>
      <c r="N204" s="304"/>
      <c r="O204" s="304"/>
      <c r="P204" s="304"/>
      <c r="Q204" s="303"/>
    </row>
    <row r="205" spans="1:24">
      <c r="A205" s="302"/>
      <c r="B205" s="304"/>
      <c r="C205" s="304"/>
      <c r="D205" s="304"/>
      <c r="E205" s="304"/>
      <c r="F205" s="304"/>
      <c r="G205" s="304"/>
      <c r="H205" s="304"/>
      <c r="I205" s="304"/>
      <c r="J205" s="304"/>
      <c r="K205" s="304"/>
      <c r="L205" s="304"/>
      <c r="M205" s="304"/>
      <c r="N205" s="304"/>
      <c r="O205" s="304"/>
      <c r="P205" s="304"/>
      <c r="Q205" s="303"/>
    </row>
    <row r="206" spans="1:24">
      <c r="A206" s="302"/>
      <c r="B206" s="304"/>
      <c r="C206" s="304"/>
      <c r="D206" s="304"/>
      <c r="E206" s="304"/>
      <c r="F206" s="304"/>
      <c r="G206" s="304"/>
      <c r="H206" s="304"/>
      <c r="I206" s="304"/>
      <c r="J206" s="304"/>
      <c r="K206" s="304"/>
      <c r="L206" s="304"/>
      <c r="M206" s="304"/>
      <c r="N206" s="304"/>
      <c r="O206" s="304"/>
      <c r="P206" s="304"/>
      <c r="Q206" s="303"/>
    </row>
    <row r="207" spans="1:24" ht="24">
      <c r="A207" s="594" t="s">
        <v>569</v>
      </c>
      <c r="B207" s="595"/>
      <c r="C207" s="595"/>
      <c r="D207" s="595"/>
      <c r="E207" s="595"/>
      <c r="F207" s="595"/>
      <c r="G207" s="595"/>
      <c r="H207" s="595"/>
      <c r="I207" s="595"/>
      <c r="J207" s="595"/>
      <c r="K207" s="595"/>
      <c r="L207" s="595"/>
      <c r="M207" s="595"/>
      <c r="N207" s="595"/>
      <c r="O207" s="595"/>
      <c r="P207" s="595"/>
      <c r="Q207" s="596"/>
    </row>
    <row r="208" spans="1:24">
      <c r="A208" s="302"/>
      <c r="B208" s="304"/>
      <c r="C208" s="304"/>
      <c r="D208" s="304"/>
      <c r="E208" s="304"/>
      <c r="F208" s="304"/>
      <c r="G208" s="304"/>
      <c r="H208" s="304"/>
      <c r="I208" s="304"/>
      <c r="J208" s="304"/>
      <c r="K208" s="304"/>
      <c r="L208" s="304"/>
      <c r="M208" s="304"/>
      <c r="N208" s="304"/>
      <c r="O208" s="304"/>
      <c r="P208" s="304"/>
      <c r="Q208" s="303"/>
    </row>
    <row r="209" spans="1:17">
      <c r="A209" s="302"/>
      <c r="B209" s="611" t="str">
        <f>'Dimensiones de la Red'!B46:E46</f>
        <v>Burlon, Relinga Inferior (m)</v>
      </c>
      <c r="C209" s="611"/>
      <c r="D209" s="611"/>
      <c r="E209" s="292">
        <f>Burlon</f>
        <v>33.299999999999997</v>
      </c>
      <c r="F209" s="304"/>
      <c r="G209" s="304"/>
      <c r="H209" s="583" t="s">
        <v>643</v>
      </c>
      <c r="I209" s="583"/>
      <c r="J209" s="583"/>
      <c r="K209" s="583"/>
      <c r="L209" s="583"/>
      <c r="M209" s="583"/>
      <c r="N209" s="304"/>
      <c r="O209" s="304"/>
      <c r="P209" s="304"/>
      <c r="Q209" s="303"/>
    </row>
    <row r="210" spans="1:17">
      <c r="A210" s="302"/>
      <c r="B210" s="611" t="s">
        <v>574</v>
      </c>
      <c r="C210" s="611"/>
      <c r="D210" s="611"/>
      <c r="E210" s="292">
        <f>'Portones y aparejamiento'!E13</f>
        <v>32.499999999999986</v>
      </c>
      <c r="F210" s="304"/>
      <c r="G210" s="304"/>
      <c r="H210" s="304"/>
      <c r="I210" s="304"/>
      <c r="J210" s="304"/>
      <c r="K210" s="304"/>
      <c r="L210" s="304"/>
      <c r="M210" s="304"/>
      <c r="N210" s="304"/>
      <c r="O210" s="304"/>
      <c r="P210" s="304"/>
      <c r="Q210" s="303"/>
    </row>
    <row r="211" spans="1:17">
      <c r="A211" s="302"/>
      <c r="B211" s="611" t="str">
        <f>'Dimensiones de la Red'!B66:E66</f>
        <v>Pies de Gallo (PG) [m]</v>
      </c>
      <c r="C211" s="611"/>
      <c r="D211" s="611"/>
      <c r="E211" s="292">
        <f>'Dimensiones de la Red'!F66</f>
        <v>2.2999999999999998</v>
      </c>
      <c r="F211" s="304"/>
      <c r="G211" s="304"/>
      <c r="H211" s="304"/>
      <c r="I211" s="304"/>
      <c r="J211" s="304"/>
      <c r="K211" s="304"/>
      <c r="L211" s="411">
        <f>ROUNDDOWN((E209*E210)/(E211+E212+E213+E214+E209),0)</f>
        <v>13</v>
      </c>
      <c r="M211" s="410" t="s">
        <v>560</v>
      </c>
      <c r="N211" s="304"/>
      <c r="O211" s="304"/>
      <c r="P211" s="304"/>
      <c r="Q211" s="303"/>
    </row>
    <row r="212" spans="1:17">
      <c r="A212" s="302"/>
      <c r="B212" s="611" t="str">
        <f>'Dimensiones de la Red'!B67:E67</f>
        <v>Alargue de pie de gallo (APG)  [m]</v>
      </c>
      <c r="C212" s="611"/>
      <c r="D212" s="611"/>
      <c r="E212" s="292">
        <f>'Dimensiones de la Red'!F67</f>
        <v>0</v>
      </c>
      <c r="F212" s="304"/>
      <c r="G212" s="304"/>
      <c r="H212" s="304"/>
      <c r="I212" s="304"/>
      <c r="J212" s="304"/>
      <c r="K212" s="304"/>
      <c r="L212" s="304"/>
      <c r="M212" s="304"/>
      <c r="N212" s="304"/>
      <c r="O212" s="304"/>
      <c r="P212" s="304"/>
      <c r="Q212" s="303"/>
    </row>
    <row r="213" spans="1:17">
      <c r="A213" s="302"/>
      <c r="B213" s="611" t="str">
        <f>'Dimensiones de la Red'!B65:E65</f>
        <v>Patentes (Pa) [m]</v>
      </c>
      <c r="C213" s="611"/>
      <c r="D213" s="611"/>
      <c r="E213" s="292">
        <f>'Dimensiones de la Red'!F65</f>
        <v>25</v>
      </c>
      <c r="F213" s="304"/>
      <c r="G213" s="304"/>
      <c r="H213" s="304"/>
      <c r="I213" s="304"/>
      <c r="J213" s="304"/>
      <c r="K213" s="304"/>
      <c r="L213" s="304"/>
      <c r="M213" s="304"/>
      <c r="N213" s="304"/>
      <c r="O213" s="304"/>
      <c r="P213" s="304"/>
      <c r="Q213" s="303"/>
    </row>
    <row r="214" spans="1:17">
      <c r="A214" s="302"/>
      <c r="B214" s="611" t="str">
        <f>'Dimensiones de la Red'!B68:E68</f>
        <v>Viento o Brida Superior (Vs) [m]</v>
      </c>
      <c r="C214" s="611"/>
      <c r="D214" s="611"/>
      <c r="E214" s="316">
        <f>'Dimensiones de la Red'!F68</f>
        <v>18</v>
      </c>
      <c r="F214" s="304"/>
      <c r="G214" s="304"/>
      <c r="H214" s="304"/>
      <c r="I214" s="304"/>
      <c r="J214" s="304"/>
      <c r="K214" s="304"/>
      <c r="L214" s="304"/>
      <c r="M214" s="304"/>
      <c r="N214" s="304"/>
      <c r="O214" s="304"/>
      <c r="P214" s="304"/>
      <c r="Q214" s="303"/>
    </row>
    <row r="215" spans="1:17">
      <c r="A215" s="302"/>
      <c r="B215" s="304"/>
      <c r="C215" s="304"/>
      <c r="D215" s="304"/>
      <c r="E215" s="304"/>
      <c r="F215" s="304"/>
      <c r="G215" s="304"/>
      <c r="H215" s="304"/>
      <c r="I215" s="304"/>
      <c r="J215" s="304"/>
      <c r="K215" s="304"/>
      <c r="L215" s="304"/>
      <c r="M215" s="304"/>
      <c r="N215" s="304"/>
      <c r="O215" s="304"/>
      <c r="P215" s="304"/>
      <c r="Q215" s="303"/>
    </row>
    <row r="216" spans="1:17">
      <c r="A216" s="302"/>
      <c r="B216" s="304"/>
      <c r="C216" s="304"/>
      <c r="D216" s="304"/>
      <c r="E216" s="304"/>
      <c r="F216" s="304"/>
      <c r="G216" s="304"/>
      <c r="H216" s="304"/>
      <c r="I216" s="304"/>
      <c r="J216" s="304"/>
      <c r="K216" s="304"/>
      <c r="L216" s="304"/>
      <c r="M216" s="304"/>
      <c r="N216" s="304"/>
      <c r="O216" s="304"/>
      <c r="P216" s="304"/>
      <c r="Q216" s="303"/>
    </row>
    <row r="217" spans="1:17">
      <c r="A217" s="2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250"/>
    </row>
    <row r="218" spans="1:17" ht="24">
      <c r="A218" s="594" t="s">
        <v>569</v>
      </c>
      <c r="B218" s="595"/>
      <c r="C218" s="595"/>
      <c r="D218" s="595"/>
      <c r="E218" s="595"/>
      <c r="F218" s="595"/>
      <c r="G218" s="595"/>
      <c r="H218" s="595"/>
      <c r="I218" s="595"/>
      <c r="J218" s="595"/>
      <c r="K218" s="595"/>
      <c r="L218" s="595"/>
      <c r="M218" s="595"/>
      <c r="N218" s="595"/>
      <c r="O218" s="595"/>
      <c r="P218" s="595"/>
      <c r="Q218" s="596"/>
    </row>
    <row r="219" spans="1:17">
      <c r="A219" s="2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250"/>
    </row>
    <row r="220" spans="1:17">
      <c r="A220" s="2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250"/>
    </row>
    <row r="221" spans="1:17">
      <c r="A221" s="249"/>
      <c r="B221" s="543" t="str">
        <f>B210</f>
        <v>Distancia entre portones (Ds)</v>
      </c>
      <c r="C221" s="543"/>
      <c r="D221" s="543"/>
      <c r="E221" s="256">
        <f>E210</f>
        <v>32.499999999999986</v>
      </c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250"/>
    </row>
    <row r="222" spans="1:17">
      <c r="A222" s="249"/>
      <c r="B222" s="543" t="str">
        <f>'Dimensiones de la Red'!B48:E48</f>
        <v>Largo total (dorso) sin la bolsa  [m]</v>
      </c>
      <c r="C222" s="543"/>
      <c r="D222" s="543"/>
      <c r="E222" s="256">
        <f>Largototal</f>
        <v>32.68</v>
      </c>
      <c r="F222" s="149"/>
      <c r="G222" s="149"/>
      <c r="H222" s="583" t="s">
        <v>643</v>
      </c>
      <c r="I222" s="583"/>
      <c r="J222" s="583"/>
      <c r="K222" s="583"/>
      <c r="L222" s="583"/>
      <c r="M222" s="583"/>
      <c r="N222" s="149"/>
      <c r="O222" s="149"/>
      <c r="P222" s="149"/>
      <c r="Q222" s="250"/>
    </row>
    <row r="223" spans="1:17">
      <c r="A223" s="249"/>
      <c r="B223" s="543" t="str">
        <f>B183</f>
        <v>U1</v>
      </c>
      <c r="C223" s="543"/>
      <c r="D223" s="543"/>
      <c r="E223" s="256">
        <f>E183</f>
        <v>0.5</v>
      </c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250"/>
    </row>
    <row r="224" spans="1:17">
      <c r="A224" s="249"/>
      <c r="B224" s="543" t="str">
        <f>B184</f>
        <v>U2</v>
      </c>
      <c r="C224" s="543"/>
      <c r="D224" s="543"/>
      <c r="E224" s="256">
        <f>E184</f>
        <v>0.87</v>
      </c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250"/>
    </row>
    <row r="225" spans="1:17">
      <c r="A225" s="249"/>
      <c r="B225" s="543" t="str">
        <f>B185</f>
        <v>LRTrabajando</v>
      </c>
      <c r="C225" s="543"/>
      <c r="D225" s="543"/>
      <c r="E225" s="197">
        <f>E185</f>
        <v>28.4316</v>
      </c>
      <c r="F225" s="149"/>
      <c r="G225" s="149"/>
      <c r="H225" s="149"/>
      <c r="I225" s="149"/>
      <c r="J225" s="149"/>
      <c r="K225" s="149"/>
      <c r="L225" s="411">
        <f>ROUNDUP((E221*E225)/(E225+E226+E227+E228+E229),0)</f>
        <v>13</v>
      </c>
      <c r="M225" s="300" t="s">
        <v>560</v>
      </c>
      <c r="N225" s="149"/>
      <c r="O225" s="149"/>
      <c r="P225" s="149"/>
      <c r="Q225" s="250"/>
    </row>
    <row r="226" spans="1:17">
      <c r="A226" s="249"/>
      <c r="B226" s="543" t="str">
        <f>B211</f>
        <v>Pies de Gallo (PG) [m]</v>
      </c>
      <c r="C226" s="543"/>
      <c r="D226" s="543"/>
      <c r="E226" s="256">
        <f>E211</f>
        <v>2.2999999999999998</v>
      </c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250"/>
    </row>
    <row r="227" spans="1:17">
      <c r="A227" s="249"/>
      <c r="B227" s="543" t="str">
        <f>B212</f>
        <v>Alargue de pie de gallo (APG)  [m]</v>
      </c>
      <c r="C227" s="543"/>
      <c r="D227" s="543"/>
      <c r="E227" s="256">
        <f>E212</f>
        <v>0</v>
      </c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250"/>
    </row>
    <row r="228" spans="1:17">
      <c r="A228" s="249"/>
      <c r="B228" s="543" t="str">
        <f>B213</f>
        <v>Patentes (Pa) [m]</v>
      </c>
      <c r="C228" s="543"/>
      <c r="D228" s="543"/>
      <c r="E228" s="256">
        <f>E213</f>
        <v>25</v>
      </c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250"/>
    </row>
    <row r="229" spans="1:17">
      <c r="A229" s="249"/>
      <c r="B229" s="543" t="str">
        <f>B214</f>
        <v>Viento o Brida Superior (Vs) [m]</v>
      </c>
      <c r="C229" s="543"/>
      <c r="D229" s="543"/>
      <c r="E229" s="313">
        <f>E214</f>
        <v>18</v>
      </c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250"/>
    </row>
    <row r="230" spans="1:17">
      <c r="A230" s="2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250"/>
    </row>
    <row r="231" spans="1:17">
      <c r="A231" s="245"/>
      <c r="B231" s="251"/>
      <c r="C231" s="251"/>
      <c r="D231" s="251"/>
      <c r="E231" s="251"/>
      <c r="F231" s="251"/>
      <c r="G231" s="251"/>
      <c r="H231" s="251"/>
      <c r="I231" s="251"/>
      <c r="J231" s="251"/>
      <c r="K231" s="251"/>
      <c r="L231" s="251"/>
      <c r="M231" s="251"/>
      <c r="N231" s="251"/>
      <c r="O231" s="251"/>
      <c r="P231" s="251"/>
      <c r="Q231" s="246"/>
    </row>
    <row r="232" spans="1:17" s="255" customFormat="1">
      <c r="C232" s="312"/>
      <c r="E232" s="256" t="s">
        <v>609</v>
      </c>
      <c r="F232" s="256" t="s">
        <v>512</v>
      </c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257"/>
    </row>
    <row r="233" spans="1:17" s="255" customFormat="1">
      <c r="A233" s="474" t="str">
        <f t="array" ref="A233">'Dimensiones de la Red'!B47:E47</f>
        <v xml:space="preserve">Largo total (vientre) Incluida la bolsa  (b) [m] </v>
      </c>
      <c r="B233" s="474"/>
      <c r="C233" s="474"/>
      <c r="D233" s="474"/>
      <c r="E233" s="256">
        <f>'Dimensiones de la Red'!F47</f>
        <v>42.68</v>
      </c>
      <c r="F233" s="256">
        <f>'Dimensiones de la Red'!G47</f>
        <v>41.68</v>
      </c>
      <c r="G233" s="149"/>
      <c r="H233" s="149"/>
      <c r="I233" s="474" t="str">
        <f>H222</f>
        <v>Distancia entre puntas de alas (DPA)</v>
      </c>
      <c r="J233" s="474"/>
      <c r="K233" s="474"/>
      <c r="L233" s="412">
        <f>2*E233*E234*TAN(RADIANS(E235))</f>
        <v>13.943489526472986</v>
      </c>
      <c r="M233" s="149" t="s">
        <v>560</v>
      </c>
      <c r="N233" s="149"/>
      <c r="O233" s="149"/>
      <c r="P233" s="149"/>
      <c r="Q233" s="250"/>
    </row>
    <row r="234" spans="1:17" s="255" customFormat="1">
      <c r="A234" s="474" t="str">
        <f>B224</f>
        <v>U2</v>
      </c>
      <c r="B234" s="474"/>
      <c r="C234" s="474"/>
      <c r="D234" s="474"/>
      <c r="E234" s="256">
        <f>E224</f>
        <v>0.87</v>
      </c>
      <c r="F234" s="256">
        <f>E224</f>
        <v>0.87</v>
      </c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250"/>
    </row>
    <row r="235" spans="1:17">
      <c r="A235" s="474" t="s">
        <v>689</v>
      </c>
      <c r="B235" s="474"/>
      <c r="C235" s="474"/>
      <c r="D235" s="474"/>
      <c r="E235" s="198">
        <f>'Paños de red y cortes'!K278</f>
        <v>10.633919691342186</v>
      </c>
      <c r="F235" s="198">
        <f>E235</f>
        <v>10.633919691342186</v>
      </c>
      <c r="G235" s="251"/>
      <c r="H235" s="251"/>
      <c r="I235" s="251"/>
      <c r="J235" s="251"/>
      <c r="K235" s="251"/>
      <c r="L235" s="251"/>
      <c r="M235" s="251"/>
      <c r="N235" s="251"/>
      <c r="O235" s="251"/>
      <c r="P235" s="251"/>
      <c r="Q235" s="246"/>
    </row>
    <row r="238" spans="1:17" ht="24">
      <c r="A238" s="591" t="s">
        <v>578</v>
      </c>
      <c r="B238" s="592"/>
      <c r="C238" s="592"/>
      <c r="D238" s="592"/>
      <c r="E238" s="592"/>
      <c r="F238" s="592"/>
      <c r="G238" s="592"/>
      <c r="H238" s="592"/>
      <c r="I238" s="592"/>
      <c r="J238" s="592"/>
      <c r="K238" s="592"/>
      <c r="L238" s="592"/>
      <c r="M238" s="592"/>
      <c r="N238" s="592"/>
      <c r="O238" s="592"/>
      <c r="P238" s="593"/>
      <c r="Q238" s="254"/>
    </row>
    <row r="239" spans="1:17">
      <c r="A239" s="2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250"/>
    </row>
    <row r="240" spans="1:17">
      <c r="A240" s="2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250"/>
    </row>
    <row r="241" spans="1:26" ht="23.25">
      <c r="A241" s="773" t="s">
        <v>579</v>
      </c>
      <c r="B241" s="774"/>
      <c r="C241" s="774"/>
      <c r="D241" s="774"/>
      <c r="E241" s="774"/>
      <c r="F241" s="774"/>
      <c r="G241" s="774"/>
      <c r="H241" s="775"/>
      <c r="I241" s="776"/>
      <c r="J241" s="777" t="s">
        <v>583</v>
      </c>
      <c r="K241" s="777"/>
      <c r="L241" s="777"/>
      <c r="M241" s="777"/>
      <c r="N241" s="777"/>
      <c r="O241" s="777"/>
      <c r="P241" s="777"/>
    </row>
    <row r="242" spans="1:26">
      <c r="A242" s="778"/>
      <c r="B242" s="776"/>
      <c r="C242" s="776"/>
      <c r="D242" s="776"/>
      <c r="E242" s="776"/>
      <c r="F242" s="776"/>
      <c r="G242" s="776"/>
      <c r="H242" s="779"/>
      <c r="I242" s="776"/>
      <c r="J242" s="780" t="s">
        <v>584</v>
      </c>
      <c r="K242" s="781">
        <f>F243*0.0435</f>
        <v>1.9418399999999998</v>
      </c>
      <c r="L242" s="776" t="s">
        <v>560</v>
      </c>
      <c r="M242" s="776"/>
      <c r="N242" s="776"/>
      <c r="O242" s="776"/>
      <c r="P242" s="779"/>
    </row>
    <row r="243" spans="1:26">
      <c r="A243" s="782" t="str">
        <f t="array" ref="A243">'Dimensiones de la Red'!B49:E49</f>
        <v>Circunferencia Maxima a malla estirada (a)</v>
      </c>
      <c r="B243" s="783"/>
      <c r="C243" s="783"/>
      <c r="D243" s="783"/>
      <c r="E243" s="784"/>
      <c r="F243" s="780">
        <f>'Dimensiones de la Red'!F49</f>
        <v>44.64</v>
      </c>
      <c r="G243" s="776"/>
      <c r="H243" s="779"/>
      <c r="I243" s="776"/>
      <c r="J243" s="780" t="s">
        <v>585</v>
      </c>
      <c r="K243" s="781">
        <f>F243*0.05</f>
        <v>2.2320000000000002</v>
      </c>
      <c r="L243" s="776" t="s">
        <v>560</v>
      </c>
      <c r="M243" s="776"/>
      <c r="N243" s="776"/>
      <c r="O243" s="776"/>
      <c r="P243" s="779"/>
    </row>
    <row r="244" spans="1:26" ht="15.75">
      <c r="A244" s="778"/>
      <c r="B244" s="776"/>
      <c r="C244" s="776"/>
      <c r="D244" s="776"/>
      <c r="E244" s="776"/>
      <c r="F244" s="776"/>
      <c r="G244" s="776"/>
      <c r="H244" s="779"/>
      <c r="I244" s="776"/>
      <c r="J244" s="780" t="s">
        <v>586</v>
      </c>
      <c r="K244" s="781">
        <f>F243*0.06</f>
        <v>2.6783999999999999</v>
      </c>
      <c r="L244" s="776" t="s">
        <v>560</v>
      </c>
      <c r="M244" s="776"/>
      <c r="N244" s="776"/>
      <c r="O244" s="776"/>
      <c r="P244" s="779"/>
      <c r="S244" s="814" t="s">
        <v>983</v>
      </c>
      <c r="T244" s="814"/>
      <c r="U244" s="814"/>
      <c r="V244" s="814"/>
      <c r="W244" s="814"/>
      <c r="X244" s="814"/>
      <c r="Y244" s="814"/>
      <c r="Z244" s="814"/>
    </row>
    <row r="245" spans="1:26">
      <c r="A245" s="778"/>
      <c r="B245" s="785" t="s">
        <v>580</v>
      </c>
      <c r="C245" s="785"/>
      <c r="D245" s="785"/>
      <c r="E245" s="785"/>
      <c r="F245" s="781">
        <f>F243*0.055</f>
        <v>2.4552</v>
      </c>
      <c r="G245" s="776" t="s">
        <v>560</v>
      </c>
      <c r="H245" s="786">
        <v>5.5E-2</v>
      </c>
      <c r="I245" s="776"/>
      <c r="J245" s="780" t="s">
        <v>587</v>
      </c>
      <c r="K245" s="781">
        <f>F243*0.07</f>
        <v>3.1248000000000005</v>
      </c>
      <c r="L245" s="776" t="s">
        <v>560</v>
      </c>
      <c r="M245" s="776"/>
      <c r="N245" s="776"/>
      <c r="O245" s="776"/>
      <c r="P245" s="779"/>
      <c r="S245" s="815" t="s">
        <v>984</v>
      </c>
      <c r="T245" s="815"/>
      <c r="U245" s="785" t="s">
        <v>985</v>
      </c>
      <c r="V245" s="785"/>
      <c r="W245" s="785" t="s">
        <v>986</v>
      </c>
      <c r="X245" s="785"/>
      <c r="Y245" s="785" t="s">
        <v>987</v>
      </c>
      <c r="Z245" s="785"/>
    </row>
    <row r="246" spans="1:26">
      <c r="A246" s="778"/>
      <c r="B246" s="785" t="s">
        <v>581</v>
      </c>
      <c r="C246" s="785"/>
      <c r="D246" s="785"/>
      <c r="E246" s="785"/>
      <c r="F246" s="781">
        <f>F243*0.065</f>
        <v>2.9016000000000002</v>
      </c>
      <c r="G246" s="776" t="s">
        <v>560</v>
      </c>
      <c r="H246" s="786">
        <v>6.5000000000000002E-2</v>
      </c>
      <c r="I246" s="776"/>
      <c r="J246" s="778"/>
      <c r="K246" s="776"/>
      <c r="L246" s="776"/>
      <c r="M246" s="776"/>
      <c r="N246" s="776"/>
      <c r="O246" s="776"/>
      <c r="P246" s="779"/>
      <c r="S246" s="815"/>
      <c r="T246" s="815"/>
      <c r="U246" s="785">
        <v>2.46</v>
      </c>
      <c r="V246" s="785"/>
      <c r="W246" s="785">
        <v>2.9</v>
      </c>
      <c r="X246" s="785"/>
      <c r="Y246" s="785">
        <v>2.9</v>
      </c>
      <c r="Z246" s="785"/>
    </row>
    <row r="247" spans="1:26">
      <c r="A247" s="787"/>
      <c r="B247" s="785" t="s">
        <v>582</v>
      </c>
      <c r="C247" s="785"/>
      <c r="D247" s="785"/>
      <c r="E247" s="785"/>
      <c r="F247" s="781">
        <f>F243*0.065</f>
        <v>2.9016000000000002</v>
      </c>
      <c r="G247" s="788" t="s">
        <v>560</v>
      </c>
      <c r="H247" s="789">
        <v>6.5000000000000002E-2</v>
      </c>
      <c r="I247" s="776"/>
      <c r="J247" s="787"/>
      <c r="K247" s="788"/>
      <c r="L247" s="788"/>
      <c r="M247" s="788"/>
      <c r="N247" s="788"/>
      <c r="O247" s="788"/>
      <c r="P247" s="790"/>
      <c r="S247" s="815" t="s">
        <v>988</v>
      </c>
      <c r="T247" s="815"/>
      <c r="U247" s="812" t="s">
        <v>989</v>
      </c>
      <c r="V247" s="812" t="s">
        <v>990</v>
      </c>
      <c r="W247" s="812" t="s">
        <v>991</v>
      </c>
      <c r="X247" s="812" t="s">
        <v>992</v>
      </c>
      <c r="Y247" s="816"/>
      <c r="Z247" s="816"/>
    </row>
    <row r="248" spans="1:26">
      <c r="A248" s="778"/>
      <c r="B248" s="776"/>
      <c r="C248" s="776"/>
      <c r="D248" s="776"/>
      <c r="E248" s="776"/>
      <c r="F248" s="776"/>
      <c r="G248" s="776"/>
      <c r="H248" s="776"/>
      <c r="I248" s="776"/>
      <c r="J248" s="776"/>
      <c r="K248" s="776"/>
      <c r="L248" s="776"/>
      <c r="M248" s="776"/>
      <c r="N248" s="776"/>
      <c r="O248" s="776"/>
      <c r="P248" s="779"/>
      <c r="S248" s="815"/>
      <c r="T248" s="815"/>
      <c r="U248" s="812">
        <v>1.94</v>
      </c>
      <c r="V248" s="812">
        <v>2.23</v>
      </c>
      <c r="W248" s="812">
        <v>2.68</v>
      </c>
      <c r="X248" s="812">
        <v>3.12</v>
      </c>
      <c r="Y248" s="816"/>
      <c r="Z248" s="816"/>
    </row>
    <row r="249" spans="1:26">
      <c r="A249" s="778"/>
      <c r="B249" s="776"/>
      <c r="C249" s="776"/>
      <c r="D249" s="776"/>
      <c r="E249" s="776"/>
      <c r="F249" s="776"/>
      <c r="G249" s="776"/>
      <c r="H249" s="776"/>
      <c r="I249" s="776"/>
      <c r="J249" s="776"/>
      <c r="K249" s="776"/>
      <c r="L249" s="776"/>
      <c r="M249" s="776"/>
      <c r="N249" s="776"/>
      <c r="O249" s="776"/>
      <c r="P249" s="779"/>
      <c r="S249" s="815" t="s">
        <v>993</v>
      </c>
      <c r="T249" s="815"/>
      <c r="U249" s="812" t="s">
        <v>994</v>
      </c>
      <c r="V249" s="797"/>
      <c r="W249" s="797"/>
      <c r="X249" s="797"/>
      <c r="Y249" s="797"/>
      <c r="Z249" s="797"/>
    </row>
    <row r="250" spans="1:26" ht="21">
      <c r="A250" s="778"/>
      <c r="B250" s="776"/>
      <c r="C250" s="776"/>
      <c r="D250" s="776"/>
      <c r="E250" s="776"/>
      <c r="F250" s="776"/>
      <c r="G250" s="776"/>
      <c r="H250" s="776"/>
      <c r="I250" s="776"/>
      <c r="J250" s="791" t="s">
        <v>590</v>
      </c>
      <c r="K250" s="792"/>
      <c r="L250" s="792"/>
      <c r="M250" s="792"/>
      <c r="N250" s="792"/>
      <c r="O250" s="792"/>
      <c r="P250" s="793"/>
      <c r="S250" s="815"/>
      <c r="T250" s="815"/>
      <c r="U250" s="812">
        <v>1.98</v>
      </c>
      <c r="V250" s="797"/>
      <c r="W250" s="797"/>
      <c r="X250" s="797"/>
      <c r="Y250" s="797"/>
      <c r="Z250" s="797"/>
    </row>
    <row r="251" spans="1:26" ht="23.25">
      <c r="A251" s="773" t="s">
        <v>588</v>
      </c>
      <c r="B251" s="774"/>
      <c r="C251" s="774"/>
      <c r="D251" s="774"/>
      <c r="E251" s="774"/>
      <c r="F251" s="774"/>
      <c r="G251" s="774"/>
      <c r="H251" s="775"/>
      <c r="I251" s="776"/>
      <c r="J251" s="778"/>
      <c r="K251" s="776"/>
      <c r="L251" s="776"/>
      <c r="M251" s="776"/>
      <c r="N251" s="776"/>
      <c r="O251" s="776"/>
      <c r="P251" s="779"/>
      <c r="S251" s="815" t="s">
        <v>995</v>
      </c>
      <c r="T251" s="815"/>
      <c r="U251" s="812" t="s">
        <v>635</v>
      </c>
      <c r="V251" s="797"/>
      <c r="W251" s="797"/>
      <c r="X251" s="797"/>
      <c r="Y251" s="797"/>
      <c r="Z251" s="797"/>
    </row>
    <row r="252" spans="1:26">
      <c r="A252" s="778"/>
      <c r="B252" s="776"/>
      <c r="C252" s="776"/>
      <c r="D252" s="776"/>
      <c r="E252" s="776"/>
      <c r="F252" s="776"/>
      <c r="G252" s="776"/>
      <c r="H252" s="779"/>
      <c r="I252" s="776"/>
      <c r="J252" s="778"/>
      <c r="K252" s="776"/>
      <c r="L252" s="776"/>
      <c r="M252" s="776"/>
      <c r="N252" s="776"/>
      <c r="O252" s="776"/>
      <c r="P252" s="779"/>
      <c r="S252" s="815"/>
      <c r="T252" s="815"/>
      <c r="U252" s="812">
        <v>2.1960000000000002</v>
      </c>
      <c r="V252" s="797"/>
      <c r="W252" s="797"/>
      <c r="X252" s="797"/>
      <c r="Y252" s="797"/>
      <c r="Z252" s="797"/>
    </row>
    <row r="253" spans="1:26">
      <c r="A253" s="782" t="str">
        <f>A243</f>
        <v>Circunferencia Maxima a malla estirada (a)</v>
      </c>
      <c r="B253" s="783"/>
      <c r="C253" s="783"/>
      <c r="D253" s="783"/>
      <c r="E253" s="784"/>
      <c r="F253" s="780">
        <f>F243</f>
        <v>44.64</v>
      </c>
      <c r="G253" s="776"/>
      <c r="H253" s="779"/>
      <c r="I253" s="776"/>
      <c r="J253" s="778"/>
      <c r="K253" s="776"/>
      <c r="L253" s="776"/>
      <c r="M253" s="776"/>
      <c r="N253" s="776"/>
      <c r="O253" s="776"/>
      <c r="P253" s="779"/>
      <c r="S253" s="806"/>
      <c r="T253" s="817" t="s">
        <v>609</v>
      </c>
      <c r="U253" s="817" t="s">
        <v>512</v>
      </c>
      <c r="V253" s="797"/>
      <c r="W253" s="797"/>
      <c r="X253" s="797"/>
      <c r="Y253" s="797"/>
      <c r="Z253" s="797"/>
    </row>
    <row r="254" spans="1:26">
      <c r="A254" s="778"/>
      <c r="B254" s="776"/>
      <c r="C254" s="776"/>
      <c r="D254" s="776"/>
      <c r="E254" s="776"/>
      <c r="F254" s="776"/>
      <c r="G254" s="776"/>
      <c r="H254" s="779"/>
      <c r="I254" s="776"/>
      <c r="J254" s="778"/>
      <c r="K254" s="776"/>
      <c r="L254" s="776"/>
      <c r="M254" s="776"/>
      <c r="N254" s="776"/>
      <c r="O254" s="776"/>
      <c r="P254" s="779"/>
      <c r="S254" s="806" t="s">
        <v>8</v>
      </c>
      <c r="T254" s="818" t="s">
        <v>572</v>
      </c>
      <c r="U254" s="818" t="s">
        <v>608</v>
      </c>
      <c r="V254" s="797"/>
      <c r="W254" s="797"/>
      <c r="X254" s="797"/>
      <c r="Y254" s="797"/>
      <c r="Z254" s="797"/>
    </row>
    <row r="255" spans="1:26">
      <c r="A255" s="778"/>
      <c r="B255" s="776"/>
      <c r="C255" s="780" t="s">
        <v>589</v>
      </c>
      <c r="D255" s="781">
        <f>(4/90)*F253</f>
        <v>1.9840000000000002</v>
      </c>
      <c r="E255" s="776"/>
      <c r="F255" s="776"/>
      <c r="G255" s="776"/>
      <c r="H255" s="779"/>
      <c r="I255" s="776"/>
      <c r="J255" s="778"/>
      <c r="K255" s="776"/>
      <c r="L255" s="776"/>
      <c r="M255" s="776"/>
      <c r="N255" s="776"/>
      <c r="O255" s="776"/>
      <c r="P255" s="779"/>
      <c r="S255" s="810" t="s">
        <v>264</v>
      </c>
      <c r="T255" s="819" t="s">
        <v>606</v>
      </c>
      <c r="U255" s="819" t="s">
        <v>607</v>
      </c>
      <c r="V255" s="797"/>
      <c r="W255" s="797"/>
      <c r="X255" s="797"/>
      <c r="Y255" s="797"/>
      <c r="Z255" s="797"/>
    </row>
    <row r="256" spans="1:26">
      <c r="A256" s="778"/>
      <c r="B256" s="776"/>
      <c r="C256" s="776"/>
      <c r="D256" s="776"/>
      <c r="E256" s="776"/>
      <c r="F256" s="776"/>
      <c r="G256" s="776"/>
      <c r="H256" s="779"/>
      <c r="I256" s="776"/>
      <c r="J256" s="778"/>
      <c r="K256" s="776"/>
      <c r="L256" s="776"/>
      <c r="M256" s="776"/>
      <c r="N256" s="776"/>
      <c r="O256" s="776"/>
      <c r="P256" s="779"/>
      <c r="S256" s="780">
        <v>1</v>
      </c>
      <c r="T256" s="781">
        <v>4.6092533312720754</v>
      </c>
      <c r="U256" s="781">
        <v>4.6932460527439988</v>
      </c>
      <c r="V256" s="797"/>
      <c r="W256" s="797"/>
      <c r="X256" s="797"/>
      <c r="Y256" s="797"/>
      <c r="Z256" s="797"/>
    </row>
    <row r="257" spans="1:26">
      <c r="A257" s="787"/>
      <c r="B257" s="788"/>
      <c r="C257" s="788"/>
      <c r="D257" s="788"/>
      <c r="E257" s="788"/>
      <c r="F257" s="788"/>
      <c r="G257" s="788"/>
      <c r="H257" s="790"/>
      <c r="I257" s="776"/>
      <c r="J257" s="778"/>
      <c r="K257" s="776"/>
      <c r="L257" s="776"/>
      <c r="M257" s="776"/>
      <c r="N257" s="776"/>
      <c r="O257" s="776"/>
      <c r="P257" s="779"/>
      <c r="S257" s="780">
        <v>1.5</v>
      </c>
      <c r="T257" s="781">
        <v>3.3019400470820126</v>
      </c>
      <c r="U257" s="781">
        <v>3.3594449974373499</v>
      </c>
      <c r="V257" s="797"/>
      <c r="W257" s="797"/>
      <c r="X257" s="797"/>
      <c r="Y257" s="797"/>
      <c r="Z257" s="797"/>
    </row>
    <row r="258" spans="1:26">
      <c r="A258" s="778"/>
      <c r="B258" s="776"/>
      <c r="C258" s="776"/>
      <c r="D258" s="776"/>
      <c r="E258" s="776"/>
      <c r="F258" s="776"/>
      <c r="G258" s="776"/>
      <c r="H258" s="776"/>
      <c r="I258" s="776"/>
      <c r="J258" s="778"/>
      <c r="K258" s="776"/>
      <c r="L258" s="776"/>
      <c r="M258" s="776"/>
      <c r="N258" s="776"/>
      <c r="O258" s="776"/>
      <c r="P258" s="779"/>
      <c r="S258" s="780">
        <v>2</v>
      </c>
      <c r="T258" s="781">
        <v>2.4711871177448623</v>
      </c>
      <c r="U258" s="781">
        <v>2.5112813914366332</v>
      </c>
      <c r="V258" s="797"/>
      <c r="W258" s="797"/>
      <c r="X258" s="797"/>
      <c r="Y258" s="797"/>
      <c r="Z258" s="797"/>
    </row>
    <row r="259" spans="1:26">
      <c r="A259" s="778"/>
      <c r="B259" s="776"/>
      <c r="C259" s="776"/>
      <c r="D259" s="776"/>
      <c r="E259" s="776"/>
      <c r="F259" s="776"/>
      <c r="G259" s="776"/>
      <c r="H259" s="776"/>
      <c r="I259" s="776"/>
      <c r="J259" s="778"/>
      <c r="K259" s="776"/>
      <c r="L259" s="776"/>
      <c r="M259" s="776"/>
      <c r="N259" s="776"/>
      <c r="O259" s="776"/>
      <c r="P259" s="779"/>
      <c r="S259" s="780">
        <v>2.5</v>
      </c>
      <c r="T259" s="781">
        <v>1.9538376611766393</v>
      </c>
      <c r="U259" s="781">
        <v>1.9829324425255539</v>
      </c>
      <c r="V259" s="797"/>
      <c r="W259" s="797"/>
      <c r="X259" s="797"/>
      <c r="Y259" s="797"/>
      <c r="Z259" s="797"/>
    </row>
    <row r="260" spans="1:26" ht="26.25">
      <c r="A260" s="794" t="s">
        <v>679</v>
      </c>
      <c r="B260" s="795"/>
      <c r="C260" s="795"/>
      <c r="D260" s="795"/>
      <c r="E260" s="795"/>
      <c r="F260" s="795"/>
      <c r="G260" s="795"/>
      <c r="H260" s="795"/>
      <c r="I260" s="796"/>
      <c r="J260" s="797"/>
      <c r="K260" s="798" t="str">
        <f t="array" ref="K260">'Dimensiones de la Red'!B45:E45</f>
        <v>Lima, Relinga Superior (L)</v>
      </c>
      <c r="L260" s="798"/>
      <c r="M260" s="798"/>
      <c r="N260" s="798"/>
      <c r="O260" s="799">
        <f>Lima</f>
        <v>28.698</v>
      </c>
      <c r="P260" s="779"/>
      <c r="S260" s="780">
        <v>3</v>
      </c>
      <c r="T260" s="781">
        <v>1.6209723283539148</v>
      </c>
      <c r="U260" s="781">
        <v>1.6429443127641679</v>
      </c>
      <c r="V260" s="797"/>
      <c r="W260" s="797"/>
      <c r="X260" s="797"/>
      <c r="Y260" s="797"/>
      <c r="Z260" s="797"/>
    </row>
    <row r="261" spans="1:26" ht="18">
      <c r="A261" s="778"/>
      <c r="B261" s="776"/>
      <c r="C261" s="776"/>
      <c r="D261" s="776"/>
      <c r="E261" s="776"/>
      <c r="F261" s="776"/>
      <c r="G261" s="776"/>
      <c r="H261" s="776"/>
      <c r="I261" s="779"/>
      <c r="J261" s="797"/>
      <c r="K261" s="798" t="s">
        <v>591</v>
      </c>
      <c r="L261" s="798"/>
      <c r="M261" s="798"/>
      <c r="N261" s="798"/>
      <c r="O261" s="800">
        <f>AVERAGE('Flotación y Lastre'!N43,'Flotación y Lastre'!N55,'Flotación y Lastre'!F17,'Flotación y Lastre'!G17)</f>
        <v>35.478916697097873</v>
      </c>
      <c r="P261" s="779"/>
      <c r="S261" s="780">
        <v>3.5</v>
      </c>
      <c r="T261" s="781">
        <v>1.3974823765680311</v>
      </c>
      <c r="U261" s="781">
        <v>1.4146570332920156</v>
      </c>
      <c r="V261" s="797"/>
      <c r="W261" s="797"/>
      <c r="X261" s="797"/>
      <c r="Y261" s="797"/>
      <c r="Z261" s="797"/>
    </row>
    <row r="262" spans="1:26">
      <c r="A262" s="778"/>
      <c r="B262" s="776"/>
      <c r="C262" s="776"/>
      <c r="D262" s="776"/>
      <c r="E262" s="776"/>
      <c r="F262" s="776"/>
      <c r="G262" s="776"/>
      <c r="H262" s="776"/>
      <c r="I262" s="779"/>
      <c r="J262" s="797"/>
      <c r="K262" s="798" t="str">
        <f t="array" ref="K262">'Dimensiones de la Red'!B64:E64</f>
        <v xml:space="preserve">Dan leno (BDANLENo) o Triangulo (Boomerang) [m] </v>
      </c>
      <c r="L262" s="798"/>
      <c r="M262" s="798"/>
      <c r="N262" s="798"/>
      <c r="O262" s="780">
        <f>'Dimensiones de la Red'!F64</f>
        <v>0.6</v>
      </c>
      <c r="P262" s="779"/>
      <c r="S262" s="780">
        <v>4</v>
      </c>
      <c r="T262" s="781">
        <v>1.2412317979054239</v>
      </c>
      <c r="U262" s="781">
        <v>1.2550469071458878</v>
      </c>
      <c r="V262" s="797"/>
      <c r="W262" s="797"/>
      <c r="X262" s="797"/>
      <c r="Y262" s="797"/>
      <c r="Z262" s="797"/>
    </row>
    <row r="263" spans="1:26">
      <c r="A263" s="778"/>
      <c r="B263" s="776"/>
      <c r="C263" s="776"/>
      <c r="D263" s="776"/>
      <c r="E263" s="776"/>
      <c r="F263" s="776"/>
      <c r="G263" s="776"/>
      <c r="H263" s="776"/>
      <c r="I263" s="779"/>
      <c r="J263" s="797"/>
      <c r="K263" s="798" t="str">
        <f t="array" ref="K263">'Dimensiones de la Red'!B68:E68</f>
        <v>Viento o Brida Superior (Vs) [m]</v>
      </c>
      <c r="L263" s="798"/>
      <c r="M263" s="798"/>
      <c r="N263" s="798"/>
      <c r="O263" s="800">
        <f>'Dimensiones de la Red'!F68</f>
        <v>18</v>
      </c>
      <c r="P263" s="779"/>
      <c r="S263" s="780">
        <v>4.5</v>
      </c>
      <c r="T263" s="781">
        <v>1.1280442621851567</v>
      </c>
      <c r="U263" s="781">
        <v>1.139423443332805</v>
      </c>
      <c r="V263" s="797"/>
      <c r="W263" s="797"/>
      <c r="X263" s="797"/>
      <c r="Y263" s="797"/>
      <c r="Z263" s="797"/>
    </row>
    <row r="264" spans="1:26">
      <c r="A264" s="778" t="s">
        <v>680</v>
      </c>
      <c r="B264" s="776"/>
      <c r="C264" s="776"/>
      <c r="D264" s="776"/>
      <c r="E264" s="776"/>
      <c r="F264" s="776"/>
      <c r="G264" s="776"/>
      <c r="H264" s="776"/>
      <c r="I264" s="779"/>
      <c r="J264" s="797"/>
      <c r="K264" s="798" t="str">
        <f t="array" ref="K264">MID('Mecánica de la Red'!A115:Q116,15,37)</f>
        <v>DISTANCIA ENTRE PUNTAS DE ALAS (DPA)</v>
      </c>
      <c r="L264" s="798"/>
      <c r="M264" s="798"/>
      <c r="N264" s="798"/>
      <c r="O264" s="799">
        <f>L225</f>
        <v>13</v>
      </c>
      <c r="P264" s="801" t="s">
        <v>690</v>
      </c>
      <c r="S264" s="780">
        <v>5</v>
      </c>
      <c r="T264" s="781">
        <v>1.0435197186674827</v>
      </c>
      <c r="U264" s="781">
        <v>1.0530788082099738</v>
      </c>
      <c r="V264" s="797"/>
      <c r="W264" s="797"/>
      <c r="X264" s="797"/>
      <c r="Y264" s="797"/>
      <c r="Z264" s="797"/>
    </row>
    <row r="265" spans="1:26" ht="18">
      <c r="A265" s="802" t="s">
        <v>681</v>
      </c>
      <c r="B265" s="803"/>
      <c r="C265" s="803"/>
      <c r="D265" s="803"/>
      <c r="E265" s="803"/>
      <c r="F265" s="803"/>
      <c r="G265" s="803"/>
      <c r="H265" s="803"/>
      <c r="I265" s="804"/>
      <c r="J265" s="797"/>
      <c r="K265" s="785" t="s">
        <v>596</v>
      </c>
      <c r="L265" s="785"/>
      <c r="M265" s="785"/>
      <c r="N265" s="785"/>
      <c r="O265" s="781">
        <f>O264/O260</f>
        <v>0.45299323994703461</v>
      </c>
      <c r="P265" s="805">
        <f>ROUND(O265,2)</f>
        <v>0.45</v>
      </c>
      <c r="S265" s="797"/>
      <c r="T265" s="785" t="s">
        <v>878</v>
      </c>
      <c r="U265" s="785"/>
      <c r="V265" s="797"/>
      <c r="W265" s="797"/>
      <c r="X265" s="797"/>
      <c r="Y265" s="797"/>
      <c r="Z265" s="797"/>
    </row>
    <row r="266" spans="1:26" ht="18">
      <c r="A266" s="802" t="s">
        <v>682</v>
      </c>
      <c r="B266" s="803"/>
      <c r="C266" s="803"/>
      <c r="D266" s="803"/>
      <c r="E266" s="803"/>
      <c r="F266" s="803"/>
      <c r="G266" s="803"/>
      <c r="H266" s="803"/>
      <c r="I266" s="804"/>
      <c r="J266" s="797"/>
      <c r="K266" s="785" t="s">
        <v>592</v>
      </c>
      <c r="L266" s="785"/>
      <c r="M266" s="785"/>
      <c r="N266" s="785"/>
      <c r="O266" s="780">
        <v>0.216</v>
      </c>
      <c r="P266" s="779"/>
      <c r="S266" s="797"/>
      <c r="T266" s="781">
        <v>2.085274293439511</v>
      </c>
      <c r="U266" s="781">
        <v>2.116895043209821</v>
      </c>
      <c r="V266" s="797"/>
      <c r="W266" s="797"/>
      <c r="X266" s="797"/>
      <c r="Y266" s="797"/>
      <c r="Z266" s="797"/>
    </row>
    <row r="267" spans="1:26" ht="18">
      <c r="A267" s="802" t="s">
        <v>683</v>
      </c>
      <c r="B267" s="803"/>
      <c r="C267" s="803"/>
      <c r="D267" s="803"/>
      <c r="E267" s="803"/>
      <c r="F267" s="803"/>
      <c r="G267" s="803"/>
      <c r="H267" s="803"/>
      <c r="I267" s="804"/>
      <c r="J267" s="797"/>
      <c r="K267" s="785" t="s">
        <v>603</v>
      </c>
      <c r="L267" s="785"/>
      <c r="M267" s="785"/>
      <c r="N267" s="785"/>
      <c r="O267" s="799">
        <f>O266*O260</f>
        <v>6.1987680000000003</v>
      </c>
      <c r="P267" s="779"/>
    </row>
    <row r="268" spans="1:26">
      <c r="A268" s="778"/>
      <c r="B268" s="776"/>
      <c r="C268" s="776"/>
      <c r="D268" s="776"/>
      <c r="E268" s="776"/>
      <c r="F268" s="776"/>
      <c r="G268" s="776"/>
      <c r="H268" s="776"/>
      <c r="I268" s="779"/>
      <c r="J268" s="776"/>
      <c r="K268" s="776"/>
      <c r="L268" s="776"/>
      <c r="M268" s="776"/>
      <c r="N268" s="776"/>
      <c r="O268" s="776"/>
      <c r="P268" s="779"/>
    </row>
    <row r="269" spans="1:26">
      <c r="A269" s="778"/>
      <c r="B269" s="797"/>
      <c r="C269" s="797"/>
      <c r="D269" s="780" t="s">
        <v>684</v>
      </c>
      <c r="E269" s="780">
        <f t="array" ref="E269">(('Paños de red y cortes'!H156+'Paños de red y cortes'!T156)*'Paños de red y cortes'!N156:N158)/1000</f>
        <v>44.64</v>
      </c>
      <c r="F269" s="776"/>
      <c r="G269" s="776"/>
      <c r="H269" s="776"/>
      <c r="I269" s="779"/>
      <c r="J269" s="788"/>
      <c r="K269" s="788"/>
      <c r="L269" s="788"/>
      <c r="M269" s="787"/>
      <c r="N269" s="788"/>
      <c r="O269" s="806" t="s">
        <v>609</v>
      </c>
      <c r="P269" s="796" t="s">
        <v>512</v>
      </c>
    </row>
    <row r="270" spans="1:26">
      <c r="A270" s="778"/>
      <c r="B270" s="797"/>
      <c r="C270" s="797"/>
      <c r="D270" s="780" t="s">
        <v>685</v>
      </c>
      <c r="E270" s="780">
        <f>3*4</f>
        <v>12</v>
      </c>
      <c r="F270" s="776"/>
      <c r="G270" s="776"/>
      <c r="H270" s="776"/>
      <c r="I270" s="779"/>
      <c r="J270" s="796" t="str">
        <f>'Resistencia de la RED'!B256</f>
        <v>Velocidad</v>
      </c>
      <c r="K270" s="806" t="str">
        <f>'Resistencia de la RED'!C212</f>
        <v>RN Estándar</v>
      </c>
      <c r="L270" s="806" t="str">
        <f>'Resistencia de la RED'!D212</f>
        <v>RN Modificada</v>
      </c>
      <c r="M270" s="807" t="s">
        <v>604</v>
      </c>
      <c r="N270" s="808" t="s">
        <v>605</v>
      </c>
      <c r="O270" s="809" t="s">
        <v>572</v>
      </c>
      <c r="P270" s="779" t="s">
        <v>608</v>
      </c>
    </row>
    <row r="271" spans="1:26">
      <c r="A271" s="778"/>
      <c r="B271" s="797"/>
      <c r="C271" s="797"/>
      <c r="D271" s="776"/>
      <c r="E271" s="776"/>
      <c r="F271" s="776"/>
      <c r="G271" s="776"/>
      <c r="H271" s="776"/>
      <c r="I271" s="779"/>
      <c r="J271" s="790" t="str">
        <f>'Resistencia de la RED'!B257</f>
        <v>Nudos</v>
      </c>
      <c r="K271" s="810" t="str">
        <f>'Resistencia de la RED'!C213</f>
        <v>Ton</v>
      </c>
      <c r="L271" s="810" t="str">
        <f>'Resistencia de la RED'!D213</f>
        <v>Ton</v>
      </c>
      <c r="M271" s="810" t="s">
        <v>602</v>
      </c>
      <c r="N271" s="790" t="s">
        <v>602</v>
      </c>
      <c r="O271" s="810" t="s">
        <v>606</v>
      </c>
      <c r="P271" s="790" t="s">
        <v>607</v>
      </c>
    </row>
    <row r="272" spans="1:26">
      <c r="A272" s="778"/>
      <c r="B272" s="797"/>
      <c r="C272" s="797"/>
      <c r="D272" s="780" t="s">
        <v>589</v>
      </c>
      <c r="E272" s="780">
        <f t="array" ref="E272">(E269-((E270*'Paños de red y cortes'!B156:B158)/1000))*0.05</f>
        <v>2.1960000000000002</v>
      </c>
      <c r="F272" s="776"/>
      <c r="G272" s="776"/>
      <c r="H272" s="776"/>
      <c r="I272" s="779"/>
      <c r="J272" s="811">
        <f>'Resistencia de la RED'!B258</f>
        <v>1</v>
      </c>
      <c r="K272" s="799">
        <f>'Resistencia de la RED'!C214*1000</f>
        <v>422.36322657644956</v>
      </c>
      <c r="L272" s="799">
        <f>'Resistencia de la RED'!D214*1000</f>
        <v>413.44914989192739</v>
      </c>
      <c r="M272" s="781">
        <f>DEGREES(ATAN((2*$O$261)/K272))</f>
        <v>9.5367427983973645</v>
      </c>
      <c r="N272" s="781">
        <f t="shared" ref="N272:N280" si="43">DEGREES(ATAN((2*$O$261)/L272))</f>
        <v>9.7384606749069764</v>
      </c>
      <c r="O272" s="781">
        <f>$O$262+($O$267+$O$263)*(SIN(RADIANS(M272)))</f>
        <v>4.6092533312720754</v>
      </c>
      <c r="P272" s="781">
        <f>$O$262+($O$267+$O$263)*(SIN(RADIANS(N272)))</f>
        <v>4.6932460527439988</v>
      </c>
    </row>
    <row r="273" spans="1:16">
      <c r="A273" s="787"/>
      <c r="B273" s="788"/>
      <c r="C273" s="788"/>
      <c r="D273" s="788"/>
      <c r="E273" s="788"/>
      <c r="F273" s="788"/>
      <c r="G273" s="788"/>
      <c r="H273" s="788"/>
      <c r="I273" s="790"/>
      <c r="J273" s="811">
        <f>'Resistencia de la RED'!B259</f>
        <v>1.5</v>
      </c>
      <c r="K273" s="799">
        <f>'Resistencia de la RED'!C215*1000</f>
        <v>631.52956087214341</v>
      </c>
      <c r="L273" s="799">
        <f>'Resistencia de la RED'!D215*1000</f>
        <v>618.20097878939919</v>
      </c>
      <c r="M273" s="781">
        <f t="shared" ref="M273:M280" si="44">DEGREES(ATAN((2*$O$261)/K273))</f>
        <v>6.4107912601454977</v>
      </c>
      <c r="N273" s="781">
        <f t="shared" si="43"/>
        <v>6.5478218696270867</v>
      </c>
      <c r="O273" s="781">
        <f t="shared" ref="O273:P280" si="45">$O$262+($O$267+$O$263)*(SIN(RADIANS(M273)))</f>
        <v>3.3019400470820126</v>
      </c>
      <c r="P273" s="781">
        <f t="shared" si="45"/>
        <v>3.3594449974373499</v>
      </c>
    </row>
    <row r="274" spans="1:16">
      <c r="A274" s="778"/>
      <c r="B274" s="776"/>
      <c r="C274" s="776"/>
      <c r="D274" s="776"/>
      <c r="E274" s="776"/>
      <c r="F274" s="776"/>
      <c r="G274" s="776"/>
      <c r="H274" s="776"/>
      <c r="I274" s="776"/>
      <c r="J274" s="780">
        <f>'Resistencia de la RED'!B260</f>
        <v>2</v>
      </c>
      <c r="K274" s="799">
        <f>'Resistencia de la RED'!C216*1000</f>
        <v>914.90100549547947</v>
      </c>
      <c r="L274" s="799">
        <f>'Resistencia de la RED'!D216*1000</f>
        <v>895.5918014536428</v>
      </c>
      <c r="M274" s="781">
        <f t="shared" si="44"/>
        <v>4.434864356632696</v>
      </c>
      <c r="N274" s="781">
        <f t="shared" si="43"/>
        <v>4.530087430417078</v>
      </c>
      <c r="O274" s="781">
        <f t="shared" si="45"/>
        <v>2.4711871177448623</v>
      </c>
      <c r="P274" s="781">
        <f t="shared" si="45"/>
        <v>2.5112813914366332</v>
      </c>
    </row>
    <row r="275" spans="1:16">
      <c r="A275" s="778"/>
      <c r="B275" s="776"/>
      <c r="C275" s="776"/>
      <c r="D275" s="776"/>
      <c r="E275" s="776"/>
      <c r="F275" s="776"/>
      <c r="G275" s="776"/>
      <c r="H275" s="776"/>
      <c r="I275" s="776"/>
      <c r="J275" s="780">
        <f>'Resistencia de la RED'!B261</f>
        <v>2.5</v>
      </c>
      <c r="K275" s="799">
        <f>'Resistencia de la RED'!C217*1000</f>
        <v>1266.3281776772249</v>
      </c>
      <c r="L275" s="799">
        <f>'Resistencia de la RED'!D217*1000</f>
        <v>1239.6020193061838</v>
      </c>
      <c r="M275" s="781">
        <f t="shared" si="44"/>
        <v>3.2071759483263835</v>
      </c>
      <c r="N275" s="781">
        <f t="shared" si="43"/>
        <v>3.2761744997175115</v>
      </c>
      <c r="O275" s="781">
        <f t="shared" si="45"/>
        <v>1.9538376611766393</v>
      </c>
      <c r="P275" s="781">
        <f t="shared" si="45"/>
        <v>1.9829324425255539</v>
      </c>
    </row>
    <row r="276" spans="1:16">
      <c r="A276" s="778"/>
      <c r="B276" s="776"/>
      <c r="C276" s="776"/>
      <c r="D276" s="776"/>
      <c r="E276" s="776"/>
      <c r="F276" s="776"/>
      <c r="G276" s="776"/>
      <c r="H276" s="776"/>
      <c r="I276" s="776"/>
      <c r="J276" s="780">
        <f>'Resistencia de la RED'!B262</f>
        <v>3</v>
      </c>
      <c r="K276" s="799">
        <f>'Resistencia de la RED'!C218*1000</f>
        <v>1680.3228964186867</v>
      </c>
      <c r="L276" s="799">
        <f>'Resistencia de la RED'!D218*1000</f>
        <v>1644.8592807179402</v>
      </c>
      <c r="M276" s="781">
        <f t="shared" si="44"/>
        <v>2.4180889877437211</v>
      </c>
      <c r="N276" s="781">
        <f t="shared" si="43"/>
        <v>2.4701597503022596</v>
      </c>
      <c r="O276" s="781">
        <f t="shared" si="45"/>
        <v>1.6209723283539148</v>
      </c>
      <c r="P276" s="781">
        <f t="shared" si="45"/>
        <v>1.6429443127641679</v>
      </c>
    </row>
    <row r="277" spans="1:16">
      <c r="A277" s="778"/>
      <c r="B277" s="776"/>
      <c r="C277" s="776"/>
      <c r="D277" s="776"/>
      <c r="E277" s="776"/>
      <c r="F277" s="776"/>
      <c r="G277" s="776"/>
      <c r="H277" s="776"/>
      <c r="I277" s="776"/>
      <c r="J277" s="780">
        <f>'Resistencia de la RED'!B263</f>
        <v>3.5</v>
      </c>
      <c r="K277" s="799">
        <f>'Resistencia de la RED'!C219*1000</f>
        <v>2151.9716405847998</v>
      </c>
      <c r="L277" s="799">
        <f>'Resistencia de la RED'!D219*1000</f>
        <v>2106.5537655899047</v>
      </c>
      <c r="M277" s="781">
        <f t="shared" si="44"/>
        <v>1.8885527259195842</v>
      </c>
      <c r="N277" s="781">
        <f t="shared" si="43"/>
        <v>1.929239993693596</v>
      </c>
      <c r="O277" s="781">
        <f t="shared" si="45"/>
        <v>1.3974823765680311</v>
      </c>
      <c r="P277" s="781">
        <f t="shared" si="45"/>
        <v>1.4146570332920156</v>
      </c>
    </row>
    <row r="278" spans="1:16">
      <c r="A278" s="778"/>
      <c r="B278" s="776"/>
      <c r="C278" s="776"/>
      <c r="D278" s="776"/>
      <c r="E278" s="776"/>
      <c r="F278" s="776"/>
      <c r="G278" s="776"/>
      <c r="H278" s="776"/>
      <c r="I278" s="776"/>
      <c r="J278" s="780">
        <f>'Resistencia de la RED'!B264</f>
        <v>4</v>
      </c>
      <c r="K278" s="799">
        <f>'Resistencia de la RED'!C220*1000</f>
        <v>2676.8622527857369</v>
      </c>
      <c r="L278" s="799">
        <f>'Resistencia de la RED'!D220*1000</f>
        <v>2620.3664361668261</v>
      </c>
      <c r="M278" s="781">
        <f t="shared" si="44"/>
        <v>1.5184317105809784</v>
      </c>
      <c r="N278" s="781">
        <f t="shared" si="43"/>
        <v>1.5511536878915291</v>
      </c>
      <c r="O278" s="781">
        <f t="shared" si="45"/>
        <v>1.2412317979054239</v>
      </c>
      <c r="P278" s="781">
        <f t="shared" si="45"/>
        <v>1.2550469071458878</v>
      </c>
    </row>
    <row r="279" spans="1:16">
      <c r="A279" s="778"/>
      <c r="B279" s="776"/>
      <c r="C279" s="776"/>
      <c r="D279" s="776"/>
      <c r="E279" s="776"/>
      <c r="F279" s="776"/>
      <c r="G279" s="776"/>
      <c r="H279" s="776"/>
      <c r="I279" s="776"/>
      <c r="J279" s="780">
        <f>'Resistencia de la RED'!B265</f>
        <v>4.5</v>
      </c>
      <c r="K279" s="799">
        <f>'Resistencia de la RED'!C221*1000</f>
        <v>3251.0215826380531</v>
      </c>
      <c r="L279" s="799">
        <f>'Resistencia de la RED'!D221*1000</f>
        <v>3182.4079963522054</v>
      </c>
      <c r="M279" s="781">
        <f t="shared" si="44"/>
        <v>1.2503574212682691</v>
      </c>
      <c r="N279" s="781">
        <f t="shared" si="43"/>
        <v>1.277306632262561</v>
      </c>
      <c r="O279" s="781">
        <f t="shared" si="45"/>
        <v>1.1280442621851567</v>
      </c>
      <c r="P279" s="781">
        <f t="shared" si="45"/>
        <v>1.139423443332805</v>
      </c>
    </row>
    <row r="280" spans="1:16">
      <c r="A280" s="778"/>
      <c r="B280" s="776"/>
      <c r="C280" s="776"/>
      <c r="D280" s="776"/>
      <c r="E280" s="776"/>
      <c r="F280" s="776"/>
      <c r="G280" s="776"/>
      <c r="H280" s="776"/>
      <c r="I280" s="776"/>
      <c r="J280" s="780">
        <f>'Resistencia de la RED'!B266</f>
        <v>5</v>
      </c>
      <c r="K280" s="799">
        <f>'Resistencia de la RED'!C222*1000</f>
        <v>3870.8622108292311</v>
      </c>
      <c r="L280" s="799">
        <f>'Resistencia de la RED'!D222*1000</f>
        <v>3789.1667401741761</v>
      </c>
      <c r="M280" s="781">
        <f t="shared" si="44"/>
        <v>1.050186974785416</v>
      </c>
      <c r="N280" s="781">
        <f t="shared" si="43"/>
        <v>1.0728240569530803</v>
      </c>
      <c r="O280" s="781">
        <f t="shared" si="45"/>
        <v>1.0435197186674827</v>
      </c>
      <c r="P280" s="781">
        <f t="shared" si="45"/>
        <v>1.0530788082099738</v>
      </c>
    </row>
    <row r="281" spans="1:16">
      <c r="A281" s="778"/>
      <c r="B281" s="776"/>
      <c r="C281" s="776"/>
      <c r="D281" s="776"/>
      <c r="E281" s="776"/>
      <c r="F281" s="776"/>
      <c r="G281" s="776"/>
      <c r="H281" s="776"/>
      <c r="I281" s="776"/>
      <c r="J281" s="778"/>
      <c r="K281" s="776"/>
      <c r="L281" s="776"/>
      <c r="M281" s="776"/>
      <c r="N281" s="776"/>
      <c r="O281" s="785" t="s">
        <v>878</v>
      </c>
      <c r="P281" s="785"/>
    </row>
    <row r="282" spans="1:16">
      <c r="A282" s="778"/>
      <c r="B282" s="776"/>
      <c r="C282" s="776"/>
      <c r="D282" s="776"/>
      <c r="E282" s="776"/>
      <c r="F282" s="776"/>
      <c r="G282" s="776"/>
      <c r="H282" s="776"/>
      <c r="I282" s="776"/>
      <c r="J282" s="778"/>
      <c r="K282" s="776"/>
      <c r="L282" s="776"/>
      <c r="M282" s="776"/>
      <c r="N282" s="776"/>
      <c r="O282" s="781">
        <f>AVERAGE(O272:O280)</f>
        <v>2.085274293439511</v>
      </c>
      <c r="P282" s="781">
        <f>AVERAGE(P272:P280)</f>
        <v>2.116895043209821</v>
      </c>
    </row>
    <row r="283" spans="1:16">
      <c r="A283" s="787"/>
      <c r="B283" s="788"/>
      <c r="C283" s="788"/>
      <c r="D283" s="788"/>
      <c r="E283" s="788"/>
      <c r="F283" s="788"/>
      <c r="G283" s="788"/>
      <c r="H283" s="788"/>
      <c r="I283" s="788"/>
      <c r="J283" s="787"/>
      <c r="K283" s="788"/>
      <c r="L283" s="788"/>
      <c r="M283" s="788"/>
      <c r="N283" s="788"/>
      <c r="O283" s="788"/>
      <c r="P283" s="790"/>
    </row>
  </sheetData>
  <mergeCells count="173">
    <mergeCell ref="S249:T250"/>
    <mergeCell ref="S251:T252"/>
    <mergeCell ref="T265:U265"/>
    <mergeCell ref="S244:Z244"/>
    <mergeCell ref="W190:X190"/>
    <mergeCell ref="W191:X191"/>
    <mergeCell ref="W192:X192"/>
    <mergeCell ref="W193:X193"/>
    <mergeCell ref="W194:X194"/>
    <mergeCell ref="W195:X195"/>
    <mergeCell ref="W196:X196"/>
    <mergeCell ref="W197:X197"/>
    <mergeCell ref="W198:X198"/>
    <mergeCell ref="W199:X199"/>
    <mergeCell ref="W200:X200"/>
    <mergeCell ref="U245:V245"/>
    <mergeCell ref="W245:X245"/>
    <mergeCell ref="Y245:Z245"/>
    <mergeCell ref="U246:V246"/>
    <mergeCell ref="W246:X246"/>
    <mergeCell ref="Y246:Z246"/>
    <mergeCell ref="S245:T246"/>
    <mergeCell ref="S247:T248"/>
    <mergeCell ref="A266:I266"/>
    <mergeCell ref="A267:I267"/>
    <mergeCell ref="A243:E243"/>
    <mergeCell ref="B209:D209"/>
    <mergeCell ref="B210:D210"/>
    <mergeCell ref="B211:D211"/>
    <mergeCell ref="B212:D212"/>
    <mergeCell ref="B213:D213"/>
    <mergeCell ref="B214:D214"/>
    <mergeCell ref="B221:D221"/>
    <mergeCell ref="B222:D222"/>
    <mergeCell ref="B223:D223"/>
    <mergeCell ref="B224:D224"/>
    <mergeCell ref="B225:D225"/>
    <mergeCell ref="B226:D226"/>
    <mergeCell ref="B227:D227"/>
    <mergeCell ref="B228:D228"/>
    <mergeCell ref="A207:Q207"/>
    <mergeCell ref="H209:M209"/>
    <mergeCell ref="A253:E253"/>
    <mergeCell ref="I233:K233"/>
    <mergeCell ref="B175:G175"/>
    <mergeCell ref="H174:Q174"/>
    <mergeCell ref="A251:H251"/>
    <mergeCell ref="A260:H260"/>
    <mergeCell ref="A265:I265"/>
    <mergeCell ref="M193:N193"/>
    <mergeCell ref="M194:N194"/>
    <mergeCell ref="M195:N195"/>
    <mergeCell ref="M196:N196"/>
    <mergeCell ref="M197:N197"/>
    <mergeCell ref="M198:N198"/>
    <mergeCell ref="M199:N199"/>
    <mergeCell ref="M200:N200"/>
    <mergeCell ref="M201:N201"/>
    <mergeCell ref="M191:N191"/>
    <mergeCell ref="M192:N192"/>
    <mergeCell ref="L130:N130"/>
    <mergeCell ref="B162:C162"/>
    <mergeCell ref="B176:D176"/>
    <mergeCell ref="B177:D177"/>
    <mergeCell ref="I176:L176"/>
    <mergeCell ref="J250:P250"/>
    <mergeCell ref="B245:E245"/>
    <mergeCell ref="B246:E246"/>
    <mergeCell ref="B247:E247"/>
    <mergeCell ref="A218:Q218"/>
    <mergeCell ref="H222:M222"/>
    <mergeCell ref="A238:P238"/>
    <mergeCell ref="A241:H241"/>
    <mergeCell ref="D179:E179"/>
    <mergeCell ref="B179:C179"/>
    <mergeCell ref="B180:C180"/>
    <mergeCell ref="D180:E180"/>
    <mergeCell ref="B229:D229"/>
    <mergeCell ref="A233:D233"/>
    <mergeCell ref="A234:D234"/>
    <mergeCell ref="A235:D235"/>
    <mergeCell ref="B186:D186"/>
    <mergeCell ref="J241:P241"/>
    <mergeCell ref="B191:C191"/>
    <mergeCell ref="D2:L2"/>
    <mergeCell ref="K4:K5"/>
    <mergeCell ref="D4:D5"/>
    <mergeCell ref="B64:C64"/>
    <mergeCell ref="B65:C65"/>
    <mergeCell ref="B66:C66"/>
    <mergeCell ref="E15:G15"/>
    <mergeCell ref="I25:L25"/>
    <mergeCell ref="D33:E33"/>
    <mergeCell ref="D34:E34"/>
    <mergeCell ref="D35:E35"/>
    <mergeCell ref="D36:E36"/>
    <mergeCell ref="D30:E30"/>
    <mergeCell ref="B63:C63"/>
    <mergeCell ref="A49:O49"/>
    <mergeCell ref="D37:E37"/>
    <mergeCell ref="D39:E39"/>
    <mergeCell ref="B56:C56"/>
    <mergeCell ref="B57:C57"/>
    <mergeCell ref="E10:G10"/>
    <mergeCell ref="C20:N20"/>
    <mergeCell ref="E4:G5"/>
    <mergeCell ref="E6:G6"/>
    <mergeCell ref="E7:G7"/>
    <mergeCell ref="E8:G8"/>
    <mergeCell ref="E9:G9"/>
    <mergeCell ref="E11:G11"/>
    <mergeCell ref="B62:C62"/>
    <mergeCell ref="D31:E31"/>
    <mergeCell ref="D32:E32"/>
    <mergeCell ref="E12:G12"/>
    <mergeCell ref="E13:G13"/>
    <mergeCell ref="D26:E28"/>
    <mergeCell ref="B58:C58"/>
    <mergeCell ref="B59:C59"/>
    <mergeCell ref="M109:N109"/>
    <mergeCell ref="L15:N15"/>
    <mergeCell ref="L17:O17"/>
    <mergeCell ref="D29:E29"/>
    <mergeCell ref="E14:G14"/>
    <mergeCell ref="E16:G16"/>
    <mergeCell ref="B61:C61"/>
    <mergeCell ref="B54:C55"/>
    <mergeCell ref="J78:L78"/>
    <mergeCell ref="J79:L79"/>
    <mergeCell ref="J75:M75"/>
    <mergeCell ref="B75:D75"/>
    <mergeCell ref="B76:D76"/>
    <mergeCell ref="A69:G70"/>
    <mergeCell ref="I69:O70"/>
    <mergeCell ref="B60:C60"/>
    <mergeCell ref="B108:C108"/>
    <mergeCell ref="A88:P89"/>
    <mergeCell ref="B102:C102"/>
    <mergeCell ref="B103:C103"/>
    <mergeCell ref="B104:C104"/>
    <mergeCell ref="B105:C105"/>
    <mergeCell ref="B106:C106"/>
    <mergeCell ref="B97:C97"/>
    <mergeCell ref="B98:C98"/>
    <mergeCell ref="B99:C99"/>
    <mergeCell ref="B100:C100"/>
    <mergeCell ref="B101:C101"/>
    <mergeCell ref="M107:N107"/>
    <mergeCell ref="B107:C107"/>
    <mergeCell ref="O281:P281"/>
    <mergeCell ref="G110:H110"/>
    <mergeCell ref="G111:H111"/>
    <mergeCell ref="G112:H112"/>
    <mergeCell ref="G113:H113"/>
    <mergeCell ref="F110:F111"/>
    <mergeCell ref="F112:F113"/>
    <mergeCell ref="K266:N266"/>
    <mergeCell ref="K267:N267"/>
    <mergeCell ref="K265:N265"/>
    <mergeCell ref="K260:N260"/>
    <mergeCell ref="K261:N261"/>
    <mergeCell ref="K262:N262"/>
    <mergeCell ref="K263:N263"/>
    <mergeCell ref="K264:N264"/>
    <mergeCell ref="B178:G178"/>
    <mergeCell ref="B182:D182"/>
    <mergeCell ref="B183:D183"/>
    <mergeCell ref="B184:D184"/>
    <mergeCell ref="B185:D185"/>
    <mergeCell ref="A115:Q116"/>
    <mergeCell ref="L127:N127"/>
    <mergeCell ref="L128:N128"/>
    <mergeCell ref="L129:N129"/>
  </mergeCells>
  <pageMargins left="0.25" right="0.25" top="0.75" bottom="0.75" header="0.3" footer="0.3"/>
  <pageSetup paperSize="9" scale="70" orientation="landscape" horizontalDpi="300" verticalDpi="30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59"/>
  <sheetViews>
    <sheetView topLeftCell="A2" zoomScale="90" zoomScaleNormal="90" workbookViewId="0">
      <selection activeCell="O51" sqref="O51"/>
    </sheetView>
  </sheetViews>
  <sheetFormatPr baseColWidth="10" defaultRowHeight="15"/>
  <cols>
    <col min="1" max="1" width="10" customWidth="1"/>
    <col min="2" max="2" width="15" customWidth="1"/>
    <col min="4" max="4" width="11.5703125" bestFit="1" customWidth="1"/>
    <col min="7" max="7" width="11.42578125" customWidth="1"/>
    <col min="12" max="12" width="12.42578125" bestFit="1" customWidth="1"/>
  </cols>
  <sheetData>
    <row r="1" spans="1:8">
      <c r="A1" s="477" t="s">
        <v>511</v>
      </c>
      <c r="B1" s="477"/>
      <c r="C1" s="477"/>
      <c r="D1" s="477"/>
      <c r="E1" s="477"/>
      <c r="F1" s="477"/>
      <c r="G1" s="477"/>
      <c r="H1" s="477"/>
    </row>
    <row r="43" spans="1:8" ht="23.25">
      <c r="A43" s="631" t="s">
        <v>108</v>
      </c>
      <c r="B43" s="631"/>
      <c r="C43" s="631"/>
      <c r="D43" s="631"/>
      <c r="E43" s="631"/>
      <c r="F43" s="631"/>
      <c r="G43" s="631"/>
      <c r="H43" s="631"/>
    </row>
    <row r="44" spans="1:8">
      <c r="A44" s="141"/>
      <c r="B44" s="632" t="s">
        <v>151</v>
      </c>
      <c r="C44" s="531"/>
      <c r="D44" s="531"/>
      <c r="E44" s="532"/>
      <c r="F44" s="845" t="s">
        <v>975</v>
      </c>
      <c r="G44" s="844" t="s">
        <v>512</v>
      </c>
      <c r="H44" s="50"/>
    </row>
    <row r="45" spans="1:8">
      <c r="A45" s="141"/>
      <c r="B45" s="623" t="str">
        <f>A136</f>
        <v>Lima, Relinga Superior (L)</v>
      </c>
      <c r="C45" s="629"/>
      <c r="D45" s="629"/>
      <c r="E45" s="630"/>
      <c r="F45" s="846">
        <f>(C143*2)+G143</f>
        <v>28.698</v>
      </c>
      <c r="G45" s="847"/>
      <c r="H45" s="50"/>
    </row>
    <row r="46" spans="1:8">
      <c r="A46" s="141"/>
      <c r="B46" s="623" t="str">
        <f>A145</f>
        <v>Burlon, Relinga Inferior (m)</v>
      </c>
      <c r="C46" s="629"/>
      <c r="D46" s="629"/>
      <c r="E46" s="630"/>
      <c r="F46" s="846">
        <f>(2*MID(C151,1,4)+MID(G151,1,3))</f>
        <v>33.299999999999997</v>
      </c>
      <c r="G46" s="847"/>
      <c r="H46" s="50"/>
    </row>
    <row r="47" spans="1:8">
      <c r="A47" s="141"/>
      <c r="B47" s="633" t="s">
        <v>521</v>
      </c>
      <c r="C47" s="634"/>
      <c r="D47" s="634"/>
      <c r="E47" s="635"/>
      <c r="F47" s="47">
        <f>SUM(('Paños de red y cortes'!Q282*'Paños de red y cortes'!R282),('Paños de red y cortes'!Q283*'Paños de red y cortes'!R283),('Paños de red y cortes'!Q286*'Paños de red y cortes'!R286),('Paños de red y cortes'!Q288*'Paños de red y cortes'!R288),('Paños de red y cortes'!Q289*'Paños de red y cortes'!R289),('Paños de red y cortes'!Q290*'Paños de red y cortes'!R290))/1000</f>
        <v>42.68</v>
      </c>
      <c r="G47" s="47">
        <f>SUM(('Paños de red y cortes'!$Q$282*'Paños de red y cortes'!$R$282),('Paños de red y cortes'!$Q$283*'Paños de red y cortes'!$R$283),('Paños de red y cortes'!$Q$286*'Paños de red y cortes'!$R$286),('Paños de red y cortes'!$Q$288*'Paños de red y cortes'!$R$288),('Paños de red y cortes'!$Q$289*'Paños de red y cortes'!$R$289),('Paños de red y cortes'!$Q$291*'Paños de red y cortes'!$R$291))/1000</f>
        <v>41.68</v>
      </c>
      <c r="H47" s="50"/>
    </row>
    <row r="48" spans="1:8">
      <c r="A48" s="141"/>
      <c r="B48" s="623" t="s">
        <v>160</v>
      </c>
      <c r="C48" s="629"/>
      <c r="D48" s="629"/>
      <c r="E48" s="630"/>
      <c r="F48" s="47">
        <f>(('Paños de red y cortes'!Q271*'Paños de red y cortes'!R271)+('Paños de red y cortes'!Q272*'Paños de red y cortes'!R272)+('Paños de red y cortes'!Q275*'Paños de red y cortes'!R275)+('Paños de red y cortes'!Q276*'Paños de red y cortes'!R276)+('Paños de red y cortes'!Q277*'Paños de red y cortes'!R277))/1000</f>
        <v>32.68</v>
      </c>
      <c r="G48" s="47">
        <f>SUM(('Paños de red y cortes'!$Q$282*'Paños de red y cortes'!$R$282),('Paños de red y cortes'!$Q$283*'Paños de red y cortes'!$R$283),('Paños de red y cortes'!$Q$286*'Paños de red y cortes'!$R$286),('Paños de red y cortes'!$Q$288*'Paños de red y cortes'!$R$288),('Paños de red y cortes'!$Q$289*'Paños de red y cortes'!$R$289))/1000</f>
        <v>32.68</v>
      </c>
      <c r="H48" s="50"/>
    </row>
    <row r="49" spans="1:8">
      <c r="A49" s="141"/>
      <c r="B49" s="623" t="s">
        <v>110</v>
      </c>
      <c r="C49" s="629"/>
      <c r="D49" s="629"/>
      <c r="E49" s="630"/>
      <c r="F49" s="632">
        <f>(('Paños de red y cortes'!S276*'Paños de red y cortes'!Q276)+('Paños de red y cortes'!S288*'Paños de red y cortes'!Q288))/1000</f>
        <v>44.64</v>
      </c>
      <c r="G49" s="532"/>
      <c r="H49" s="50"/>
    </row>
    <row r="50" spans="1:8">
      <c r="A50" s="141"/>
      <c r="B50" s="623" t="s">
        <v>111</v>
      </c>
      <c r="C50" s="629"/>
      <c r="D50" s="629"/>
      <c r="E50" s="630"/>
      <c r="F50" s="632">
        <f>(('Paños de red y cortes'!Q271*'Paños de red y cortes'!R271)+('Paños de red y cortes'!Q272*'Paños de red y cortes'!R272))/1000</f>
        <v>12.48</v>
      </c>
      <c r="G50" s="532"/>
      <c r="H50" s="50"/>
    </row>
    <row r="51" spans="1:8">
      <c r="A51" s="141"/>
      <c r="B51" s="623" t="s">
        <v>112</v>
      </c>
      <c r="C51" s="629"/>
      <c r="D51" s="629"/>
      <c r="E51" s="630"/>
      <c r="F51" s="632">
        <f>(('Paños de red y cortes'!Q282*'Paños de red y cortes'!R282)+('Paños de red y cortes'!Q283*'Paños de red y cortes'!R283)+('Paños de red y cortes'!Q286*'Paños de red y cortes'!R286))/1000</f>
        <v>14.88</v>
      </c>
      <c r="G51" s="532"/>
      <c r="H51" s="50"/>
    </row>
    <row r="52" spans="1:8">
      <c r="A52" s="141"/>
      <c r="B52" s="623" t="s">
        <v>113</v>
      </c>
      <c r="C52" s="629"/>
      <c r="D52" s="629"/>
      <c r="E52" s="630"/>
      <c r="F52" s="632">
        <f>('Paños de red y cortes'!Q276*'Paños de red y cortes'!R276)/1000</f>
        <v>12.6</v>
      </c>
      <c r="G52" s="532"/>
      <c r="H52" s="50"/>
    </row>
    <row r="53" spans="1:8">
      <c r="A53" s="141"/>
      <c r="B53" s="623" t="s">
        <v>114</v>
      </c>
      <c r="C53" s="629"/>
      <c r="D53" s="629"/>
      <c r="E53" s="630"/>
      <c r="F53" s="632">
        <f>('Paños de red y cortes'!Q278*'Paños de red y cortes'!R278)/1000</f>
        <v>8</v>
      </c>
      <c r="G53" s="532"/>
      <c r="H53" s="50"/>
    </row>
    <row r="54" spans="1:8">
      <c r="A54" s="141"/>
      <c r="B54" s="623" t="s">
        <v>115</v>
      </c>
      <c r="C54" s="629"/>
      <c r="D54" s="629"/>
      <c r="E54" s="630"/>
      <c r="F54" s="632">
        <f>F51-F50</f>
        <v>2.4000000000000004</v>
      </c>
      <c r="G54" s="532"/>
      <c r="H54" s="50"/>
    </row>
    <row r="55" spans="1:8">
      <c r="A55" s="141"/>
      <c r="B55" s="623" t="s">
        <v>116</v>
      </c>
      <c r="C55" s="629"/>
      <c r="D55" s="629"/>
      <c r="E55" s="630"/>
      <c r="F55" s="305">
        <f>'Paños de red y cortes'!K278</f>
        <v>10.633919691342186</v>
      </c>
      <c r="G55" s="305">
        <f>F55</f>
        <v>10.633919691342186</v>
      </c>
      <c r="H55" s="50"/>
    </row>
    <row r="56" spans="1:8">
      <c r="A56" s="141"/>
      <c r="B56" s="623" t="s">
        <v>117</v>
      </c>
      <c r="C56" s="629"/>
      <c r="D56" s="629"/>
      <c r="E56" s="630"/>
      <c r="F56" s="224">
        <f>'Mecánica de la Red'!K15</f>
        <v>2.1277777777777781E-2</v>
      </c>
      <c r="G56" s="224">
        <f>'Mecánica de la Red'!K17</f>
        <v>1.9461538461538464E-2</v>
      </c>
      <c r="H56" s="50"/>
    </row>
    <row r="57" spans="1:8" ht="17.25">
      <c r="A57" s="141"/>
      <c r="B57" s="623" t="s">
        <v>118</v>
      </c>
      <c r="C57" s="629"/>
      <c r="D57" s="629"/>
      <c r="E57" s="630"/>
      <c r="F57" s="70">
        <f>'Mecánica de la Red'!N38</f>
        <v>40.895060000000001</v>
      </c>
      <c r="G57" s="70">
        <f>'Mecánica de la Red'!N40</f>
        <v>40.031959999999998</v>
      </c>
      <c r="H57" s="50"/>
    </row>
    <row r="58" spans="1:8" ht="17.25">
      <c r="A58" s="141"/>
      <c r="B58" s="623" t="s">
        <v>119</v>
      </c>
      <c r="C58" s="629"/>
      <c r="D58" s="629"/>
      <c r="E58" s="630"/>
      <c r="F58" s="70">
        <f>'Mecánica de la Red'!M65</f>
        <v>315.56555449711129</v>
      </c>
      <c r="G58" s="70">
        <f>'Mecánica de la Red'!M67</f>
        <v>307.14492526228588</v>
      </c>
      <c r="H58" s="50"/>
    </row>
    <row r="59" spans="1:8">
      <c r="A59" s="141"/>
      <c r="B59" s="623" t="s">
        <v>120</v>
      </c>
      <c r="C59" s="629"/>
      <c r="D59" s="629"/>
      <c r="E59" s="630"/>
      <c r="F59" s="70">
        <f>'Mecánica de la Red'!O107</f>
        <v>28.270220175565935</v>
      </c>
      <c r="G59" s="70">
        <f>'Mecánica de la Red'!O109</f>
        <v>22.953107712603376</v>
      </c>
      <c r="H59" s="50"/>
    </row>
    <row r="60" spans="1:8">
      <c r="A60" s="141"/>
      <c r="B60" s="623" t="s">
        <v>121</v>
      </c>
      <c r="C60" s="629"/>
      <c r="D60" s="629"/>
      <c r="E60" s="630"/>
      <c r="F60" s="70">
        <f>'Mecánica de la Red'!D255</f>
        <v>1.9840000000000002</v>
      </c>
      <c r="G60" s="70">
        <f>F60</f>
        <v>1.9840000000000002</v>
      </c>
      <c r="H60" s="50"/>
    </row>
    <row r="61" spans="1:8">
      <c r="A61" s="141"/>
      <c r="B61" s="623" t="s">
        <v>122</v>
      </c>
      <c r="C61" s="629"/>
      <c r="D61" s="629"/>
      <c r="E61" s="630"/>
      <c r="F61" s="848">
        <f>AVERAGE('Mecánica de la Red'!L233,'Mecánica de la Red'!L225,'Mecánica de la Red'!L211,AVERAGE('Mecánica de la Red'!K193:K201))</f>
        <v>13.00861502295097</v>
      </c>
      <c r="G61" s="849"/>
      <c r="H61" s="50"/>
    </row>
    <row r="62" spans="1:8">
      <c r="A62" s="141"/>
      <c r="B62" s="623" t="s">
        <v>123</v>
      </c>
      <c r="C62" s="629"/>
      <c r="D62" s="629"/>
      <c r="E62" s="630"/>
      <c r="F62" s="632">
        <f>'Especie Blanco'!E5</f>
        <v>40</v>
      </c>
      <c r="G62" s="532"/>
      <c r="H62" s="50"/>
    </row>
    <row r="63" spans="1:8">
      <c r="A63" s="141"/>
      <c r="B63" s="623" t="s">
        <v>124</v>
      </c>
      <c r="C63" s="629"/>
      <c r="D63" s="629"/>
      <c r="E63" s="630"/>
      <c r="F63" s="632">
        <f>'Flotación y Lastre'!F90</f>
        <v>36</v>
      </c>
      <c r="G63" s="532"/>
      <c r="H63" s="50"/>
    </row>
    <row r="64" spans="1:8" ht="18">
      <c r="A64" s="141"/>
      <c r="B64" s="623" t="s">
        <v>125</v>
      </c>
      <c r="C64" s="629"/>
      <c r="D64" s="629"/>
      <c r="E64" s="630"/>
      <c r="F64" s="47">
        <v>0.6</v>
      </c>
      <c r="G64" s="47">
        <v>0.6</v>
      </c>
      <c r="H64" s="50"/>
    </row>
    <row r="65" spans="1:15">
      <c r="A65" s="141"/>
      <c r="B65" s="623" t="s">
        <v>577</v>
      </c>
      <c r="C65" s="629"/>
      <c r="D65" s="629"/>
      <c r="E65" s="630"/>
      <c r="F65" s="47">
        <v>25</v>
      </c>
      <c r="G65" s="47">
        <f>F65</f>
        <v>25</v>
      </c>
      <c r="H65" s="50" t="s">
        <v>688</v>
      </c>
    </row>
    <row r="66" spans="1:15">
      <c r="A66" s="141"/>
      <c r="B66" s="623" t="s">
        <v>575</v>
      </c>
      <c r="C66" s="629"/>
      <c r="D66" s="629"/>
      <c r="E66" s="630"/>
      <c r="F66" s="47">
        <f>'Portones y aparejamiento'!$E$97</f>
        <v>2.2999999999999998</v>
      </c>
      <c r="G66" s="47">
        <f>F66</f>
        <v>2.2999999999999998</v>
      </c>
      <c r="H66" s="50"/>
    </row>
    <row r="67" spans="1:15">
      <c r="A67" s="141"/>
      <c r="B67" s="623" t="s">
        <v>576</v>
      </c>
      <c r="C67" s="629"/>
      <c r="D67" s="629"/>
      <c r="E67" s="630"/>
      <c r="F67" s="632">
        <f>'Portones y aparejamiento'!E99</f>
        <v>0</v>
      </c>
      <c r="G67" s="532"/>
      <c r="H67" s="50"/>
    </row>
    <row r="68" spans="1:15">
      <c r="A68" s="141"/>
      <c r="B68" s="623" t="s">
        <v>654</v>
      </c>
      <c r="C68" s="629"/>
      <c r="D68" s="629"/>
      <c r="E68" s="630"/>
      <c r="F68" s="314">
        <f>'Portones y aparejamiento'!D44</f>
        <v>18</v>
      </c>
      <c r="G68" s="314">
        <f>'Portones y aparejamiento'!E44</f>
        <v>18</v>
      </c>
      <c r="H68" s="50"/>
    </row>
    <row r="69" spans="1:15" ht="18">
      <c r="A69" s="141"/>
      <c r="B69" s="623" t="s">
        <v>655</v>
      </c>
      <c r="C69" s="629"/>
      <c r="D69" s="629"/>
      <c r="E69" s="630"/>
      <c r="F69" s="314">
        <f>'Portones y aparejamiento'!D45</f>
        <v>17</v>
      </c>
      <c r="G69" s="314">
        <f>'Portones y aparejamiento'!E45</f>
        <v>17</v>
      </c>
      <c r="H69" s="50"/>
    </row>
    <row r="70" spans="1:15">
      <c r="A70" s="141"/>
      <c r="B70" s="623" t="s">
        <v>126</v>
      </c>
      <c r="C70" s="629"/>
      <c r="D70" s="629"/>
      <c r="E70" s="630"/>
      <c r="F70" s="632">
        <f>'Cables Y Cabulleria'!G11</f>
        <v>12</v>
      </c>
      <c r="G70" s="532"/>
      <c r="H70" s="50"/>
    </row>
    <row r="71" spans="1:15">
      <c r="A71" s="141"/>
      <c r="B71" s="623" t="s">
        <v>947</v>
      </c>
      <c r="C71" s="629"/>
      <c r="D71" s="629"/>
      <c r="E71" s="630"/>
      <c r="F71" s="632">
        <f>'Cables de Remolque'!F255</f>
        <v>200</v>
      </c>
      <c r="G71" s="532"/>
      <c r="H71" s="50"/>
    </row>
    <row r="72" spans="1:15" ht="26.25">
      <c r="A72" s="141"/>
      <c r="B72" s="216"/>
      <c r="C72" s="216"/>
      <c r="D72" s="216"/>
      <c r="E72" s="216"/>
      <c r="F72" s="216"/>
      <c r="G72" s="216"/>
      <c r="H72" s="50"/>
    </row>
    <row r="73" spans="1:15" ht="24.75" customHeight="1">
      <c r="A73" s="624" t="s">
        <v>376</v>
      </c>
      <c r="B73" s="624"/>
      <c r="C73" s="624"/>
      <c r="D73" s="624"/>
      <c r="E73" s="624"/>
      <c r="F73" s="624"/>
      <c r="G73" s="624"/>
      <c r="H73" s="624"/>
      <c r="I73" s="142"/>
      <c r="J73" s="142"/>
      <c r="K73" s="142"/>
      <c r="L73" s="71"/>
      <c r="M73" s="71"/>
      <c r="N73" s="71"/>
      <c r="O73" s="71"/>
    </row>
    <row r="74" spans="1:15" ht="15" customHeight="1">
      <c r="A74" s="216"/>
      <c r="B74" s="216"/>
      <c r="C74" s="216"/>
      <c r="D74" s="216"/>
      <c r="E74" s="216"/>
      <c r="F74" s="216"/>
      <c r="G74" s="216"/>
      <c r="H74" s="216"/>
      <c r="I74" s="142"/>
      <c r="J74" s="142"/>
      <c r="K74" s="142"/>
      <c r="L74" s="71"/>
      <c r="M74" s="71"/>
      <c r="N74" s="71"/>
      <c r="O74" s="71"/>
    </row>
    <row r="75" spans="1:15">
      <c r="A75" s="628" t="s">
        <v>148</v>
      </c>
      <c r="B75" s="628"/>
      <c r="C75" s="628"/>
      <c r="D75" s="628"/>
      <c r="E75" s="628"/>
      <c r="F75" s="628"/>
      <c r="G75" s="628"/>
      <c r="H75" s="628"/>
      <c r="I75" s="72"/>
      <c r="J75" s="72"/>
      <c r="K75" s="72"/>
      <c r="L75" s="71"/>
      <c r="M75" s="71"/>
      <c r="N75" s="71"/>
      <c r="O75" s="71"/>
    </row>
    <row r="76" spans="1:15">
      <c r="A76" s="141"/>
      <c r="B76" s="141"/>
      <c r="C76" s="141"/>
      <c r="D76" s="141"/>
      <c r="E76" s="141"/>
      <c r="F76" s="141"/>
      <c r="G76" s="141"/>
      <c r="H76" s="141"/>
      <c r="I76" s="72"/>
      <c r="J76" s="72"/>
      <c r="K76" s="72"/>
      <c r="L76" s="71"/>
      <c r="M76" s="71"/>
      <c r="N76" s="71"/>
      <c r="O76" s="71"/>
    </row>
    <row r="77" spans="1:15">
      <c r="A77" s="46"/>
      <c r="B77" s="46"/>
      <c r="C77" s="46"/>
      <c r="D77" s="46"/>
      <c r="E77" s="46"/>
      <c r="F77" s="46"/>
      <c r="G77" s="46"/>
      <c r="H77" s="46"/>
      <c r="I77" s="71"/>
      <c r="J77" s="71"/>
      <c r="K77" s="71"/>
      <c r="L77" s="71"/>
      <c r="M77" s="71"/>
      <c r="N77" s="71"/>
      <c r="O77" s="71"/>
    </row>
    <row r="78" spans="1:15">
      <c r="A78" s="46"/>
      <c r="B78" s="46"/>
      <c r="C78" s="46"/>
      <c r="D78" s="50"/>
      <c r="E78" s="50"/>
      <c r="F78" s="50"/>
      <c r="G78" s="50"/>
      <c r="H78" s="46"/>
      <c r="I78" s="71"/>
      <c r="J78" s="71"/>
      <c r="K78" s="71"/>
      <c r="L78" s="71"/>
      <c r="M78" s="71"/>
      <c r="N78" s="71"/>
      <c r="O78" s="71"/>
    </row>
    <row r="79" spans="1:15">
      <c r="A79" s="46"/>
      <c r="B79" s="46"/>
      <c r="C79" s="50"/>
      <c r="D79" s="50"/>
      <c r="E79" s="50"/>
      <c r="F79" s="50"/>
      <c r="G79" s="50"/>
      <c r="H79" s="46"/>
      <c r="I79" s="71"/>
      <c r="J79" s="71"/>
      <c r="K79" s="71"/>
      <c r="L79" s="71"/>
      <c r="M79" s="71"/>
      <c r="N79" s="71"/>
      <c r="O79" s="71"/>
    </row>
    <row r="80" spans="1:15">
      <c r="A80" s="46"/>
      <c r="B80" s="46"/>
      <c r="C80" s="50"/>
      <c r="D80" s="50"/>
      <c r="E80" s="50"/>
      <c r="F80" s="50"/>
      <c r="G80" s="50"/>
      <c r="H80" s="46"/>
      <c r="I80" s="71"/>
      <c r="J80" s="71"/>
      <c r="K80" s="71"/>
      <c r="L80" s="71"/>
      <c r="M80" s="71"/>
      <c r="N80" s="71"/>
      <c r="O80" s="71"/>
    </row>
    <row r="81" spans="1:15">
      <c r="A81" s="46"/>
      <c r="B81" s="46"/>
      <c r="C81" s="46"/>
      <c r="D81" s="46"/>
      <c r="E81" s="46"/>
      <c r="F81" s="46"/>
      <c r="G81" s="46"/>
      <c r="H81" s="46"/>
      <c r="I81" s="71"/>
      <c r="J81" s="71"/>
      <c r="K81" s="71"/>
      <c r="L81" s="71"/>
      <c r="M81" s="71"/>
      <c r="N81" s="71"/>
      <c r="O81" s="71"/>
    </row>
    <row r="82" spans="1:15">
      <c r="A82" s="46"/>
      <c r="B82" s="46"/>
      <c r="C82" s="622" t="s">
        <v>150</v>
      </c>
      <c r="D82" s="622"/>
      <c r="E82" s="623"/>
      <c r="F82" s="625" t="str">
        <f>MID('Dimensiones de la Red'!B44,4,8)</f>
        <v xml:space="preserve"> FAO A-3</v>
      </c>
      <c r="G82" s="625"/>
      <c r="H82" s="46"/>
      <c r="I82" s="71"/>
      <c r="J82" s="71"/>
      <c r="K82" s="71"/>
      <c r="L82" s="71"/>
      <c r="M82" s="71"/>
      <c r="N82" s="71"/>
      <c r="O82" s="71"/>
    </row>
    <row r="83" spans="1:15">
      <c r="A83" s="46"/>
      <c r="B83" s="46"/>
      <c r="C83" s="622" t="s">
        <v>157</v>
      </c>
      <c r="D83" s="622"/>
      <c r="E83" s="622"/>
      <c r="F83" s="69">
        <f>Lima</f>
        <v>28.698</v>
      </c>
      <c r="G83" s="46"/>
      <c r="H83" s="46"/>
      <c r="I83" s="71"/>
      <c r="J83" s="71"/>
      <c r="K83" s="71"/>
      <c r="L83" s="71"/>
      <c r="M83" s="71"/>
      <c r="N83" s="71"/>
      <c r="O83" s="71"/>
    </row>
    <row r="84" spans="1:15">
      <c r="A84" s="46"/>
      <c r="B84" s="46"/>
      <c r="C84" s="622" t="s">
        <v>158</v>
      </c>
      <c r="D84" s="622"/>
      <c r="E84" s="622"/>
      <c r="F84" s="47">
        <f>Burlon</f>
        <v>33.299999999999997</v>
      </c>
      <c r="G84" s="46"/>
      <c r="H84" s="46"/>
      <c r="I84" s="71"/>
      <c r="J84" s="71"/>
      <c r="K84" s="71"/>
      <c r="L84" s="71"/>
      <c r="M84" s="71"/>
      <c r="N84" s="71"/>
      <c r="O84" s="71"/>
    </row>
    <row r="85" spans="1:15">
      <c r="A85" s="46"/>
      <c r="B85" s="46"/>
      <c r="C85" s="622" t="s">
        <v>159</v>
      </c>
      <c r="D85" s="622"/>
      <c r="E85" s="622"/>
      <c r="F85" s="47">
        <f>'Paños de red y cortes'!R275</f>
        <v>40</v>
      </c>
      <c r="G85" s="46"/>
      <c r="H85" s="46"/>
      <c r="I85" s="71"/>
      <c r="J85" s="71"/>
      <c r="K85" s="71"/>
      <c r="L85" s="71"/>
      <c r="M85" s="71"/>
      <c r="N85" s="71"/>
      <c r="O85" s="71"/>
    </row>
    <row r="86" spans="1:15">
      <c r="A86" s="46"/>
      <c r="B86" s="46"/>
      <c r="C86" s="622" t="s">
        <v>147</v>
      </c>
      <c r="D86" s="622"/>
      <c r="E86" s="622"/>
      <c r="F86" s="47">
        <f>'Paños de red y cortes'!Q275</f>
        <v>60</v>
      </c>
      <c r="G86" s="46"/>
      <c r="H86" s="46"/>
      <c r="I86" s="71"/>
      <c r="J86" s="71"/>
      <c r="K86" s="71"/>
      <c r="L86" s="71"/>
      <c r="M86" s="71"/>
      <c r="N86" s="71"/>
      <c r="O86" s="71"/>
    </row>
    <row r="87" spans="1:15">
      <c r="A87" s="46"/>
      <c r="B87" s="46"/>
      <c r="C87" s="46"/>
      <c r="D87" s="46"/>
      <c r="E87" s="46"/>
      <c r="F87" s="46"/>
      <c r="G87" s="46"/>
      <c r="H87" s="46"/>
      <c r="I87" s="71"/>
      <c r="J87" s="71"/>
      <c r="K87" s="71"/>
      <c r="L87" s="71"/>
      <c r="M87" s="71"/>
      <c r="N87" s="71"/>
      <c r="O87" s="71"/>
    </row>
    <row r="88" spans="1:15" ht="15.75" thickBot="1">
      <c r="A88" s="46"/>
      <c r="B88" s="46"/>
      <c r="C88" s="46"/>
      <c r="D88" s="46"/>
      <c r="E88" s="46"/>
      <c r="F88" s="46"/>
      <c r="G88" s="46"/>
      <c r="H88" s="46"/>
      <c r="I88" s="71"/>
      <c r="J88" s="71"/>
      <c r="K88" s="71"/>
      <c r="L88" s="71"/>
      <c r="M88" s="71"/>
      <c r="N88" s="71"/>
      <c r="O88" s="71"/>
    </row>
    <row r="89" spans="1:15" ht="18.75" thickBot="1">
      <c r="A89" s="46"/>
      <c r="B89" s="46"/>
      <c r="C89" s="53" t="s">
        <v>149</v>
      </c>
      <c r="D89" s="54">
        <f>(F83+(2*((F85*F86)/1000)))/F84</f>
        <v>1.0059459459459459</v>
      </c>
      <c r="E89" s="51" t="s">
        <v>136</v>
      </c>
      <c r="F89" s="52"/>
      <c r="G89" s="46"/>
      <c r="H89" s="46"/>
      <c r="I89" s="71"/>
      <c r="J89" s="71"/>
      <c r="K89" s="71"/>
      <c r="L89" s="71"/>
      <c r="M89" s="71"/>
      <c r="N89" s="71"/>
      <c r="O89" s="71"/>
    </row>
    <row r="90" spans="1:15">
      <c r="A90" s="46"/>
      <c r="B90" s="46"/>
      <c r="C90" s="46"/>
      <c r="D90" s="46"/>
      <c r="E90" s="46"/>
      <c r="F90" s="46"/>
      <c r="G90" s="46"/>
      <c r="H90" s="46"/>
      <c r="I90" s="71"/>
      <c r="J90" s="71"/>
      <c r="K90" s="71"/>
      <c r="L90" s="71"/>
      <c r="M90" s="71"/>
      <c r="N90" s="71"/>
      <c r="O90" s="71"/>
    </row>
    <row r="91" spans="1:15" ht="15.75" thickBot="1">
      <c r="A91" s="46"/>
      <c r="B91" s="46"/>
      <c r="C91" s="46"/>
      <c r="D91" s="46"/>
      <c r="E91" s="46"/>
      <c r="F91" s="46"/>
      <c r="G91" s="46"/>
      <c r="H91" s="46"/>
      <c r="I91" s="73"/>
      <c r="J91" s="73"/>
      <c r="K91" s="71"/>
      <c r="L91" s="71"/>
      <c r="M91" s="71"/>
      <c r="N91" s="71"/>
      <c r="O91" s="71"/>
    </row>
    <row r="92" spans="1:15" ht="19.5" thickBot="1">
      <c r="A92" s="626" t="s">
        <v>379</v>
      </c>
      <c r="B92" s="627"/>
      <c r="C92" s="627"/>
      <c r="D92" s="627"/>
      <c r="E92" s="627"/>
      <c r="F92" s="215" t="str">
        <f>F99</f>
        <v xml:space="preserve"> FAO A-3</v>
      </c>
      <c r="G92" s="215"/>
      <c r="H92" s="215"/>
      <c r="I92" s="72"/>
      <c r="J92" s="72"/>
      <c r="K92" s="71"/>
      <c r="L92" s="71"/>
      <c r="M92" s="71"/>
      <c r="N92" s="71"/>
      <c r="O92" s="71"/>
    </row>
    <row r="93" spans="1:15">
      <c r="A93" s="46"/>
      <c r="B93" s="46"/>
      <c r="C93" s="46"/>
      <c r="D93" s="46"/>
      <c r="E93" s="46"/>
      <c r="F93" s="46"/>
      <c r="G93" s="46"/>
      <c r="H93" s="46"/>
      <c r="I93" s="73"/>
      <c r="J93" s="73"/>
      <c r="K93" s="71"/>
      <c r="L93" s="71"/>
      <c r="M93" s="71"/>
      <c r="N93" s="71"/>
      <c r="O93" s="71"/>
    </row>
    <row r="94" spans="1:15">
      <c r="A94" s="46"/>
      <c r="B94" s="46"/>
      <c r="C94" s="46"/>
      <c r="D94" s="46"/>
      <c r="E94" s="46"/>
      <c r="F94" s="46"/>
      <c r="G94" s="46"/>
      <c r="H94" s="46"/>
      <c r="I94" s="73"/>
      <c r="J94" s="73"/>
      <c r="K94" s="71"/>
      <c r="L94" s="71"/>
      <c r="M94" s="71"/>
      <c r="N94" s="71"/>
      <c r="O94" s="71"/>
    </row>
    <row r="95" spans="1:15">
      <c r="A95" s="46"/>
      <c r="B95" s="46"/>
      <c r="C95" s="46"/>
      <c r="D95" s="46"/>
      <c r="E95" s="46"/>
      <c r="F95" s="46"/>
      <c r="G95" s="46"/>
      <c r="H95" s="46"/>
      <c r="I95" s="73"/>
      <c r="J95" s="73"/>
      <c r="K95" s="71"/>
      <c r="L95" s="71"/>
      <c r="M95" s="71"/>
      <c r="N95" s="71"/>
      <c r="O95" s="71"/>
    </row>
    <row r="96" spans="1:15" ht="15.75" thickBot="1">
      <c r="A96" s="46"/>
      <c r="B96" s="46"/>
      <c r="C96" s="46"/>
      <c r="D96" s="46"/>
      <c r="E96" s="46"/>
      <c r="F96" s="46"/>
      <c r="G96" s="46"/>
      <c r="H96" s="46"/>
      <c r="I96" s="73"/>
      <c r="J96" s="73"/>
      <c r="K96" s="71"/>
      <c r="L96" s="71"/>
      <c r="M96" s="71"/>
      <c r="N96" s="71"/>
      <c r="O96" s="71"/>
    </row>
    <row r="97" spans="1:15" ht="18.75" thickBot="1">
      <c r="A97" s="46"/>
      <c r="B97" s="46"/>
      <c r="C97" s="53" t="s">
        <v>152</v>
      </c>
      <c r="D97" s="116">
        <f>(('Paños de red y cortes'!S276+'Paños de red y cortes'!S288)*'Paños de red y cortes'!Q288)/1000</f>
        <v>44.64</v>
      </c>
      <c r="E97" s="52" t="s">
        <v>153</v>
      </c>
      <c r="F97" s="46"/>
      <c r="G97" s="46"/>
      <c r="H97" s="46"/>
      <c r="I97" s="73"/>
      <c r="J97" s="73"/>
      <c r="K97" s="71"/>
      <c r="L97" s="71"/>
      <c r="M97" s="71"/>
      <c r="N97" s="71"/>
      <c r="O97" s="71"/>
    </row>
    <row r="98" spans="1:15" ht="15.75" thickBot="1">
      <c r="A98" s="46"/>
      <c r="B98" s="46"/>
      <c r="C98" s="46"/>
      <c r="D98" s="46"/>
      <c r="E98" s="46"/>
      <c r="F98" s="46"/>
      <c r="G98" s="46"/>
      <c r="H98" s="46"/>
      <c r="I98" s="73"/>
      <c r="J98" s="73"/>
      <c r="K98" s="71"/>
      <c r="L98" s="71"/>
      <c r="M98" s="71"/>
      <c r="N98" s="71"/>
      <c r="O98" s="71"/>
    </row>
    <row r="99" spans="1:15" ht="19.5" thickBot="1">
      <c r="A99" s="626" t="s">
        <v>377</v>
      </c>
      <c r="B99" s="627"/>
      <c r="C99" s="627"/>
      <c r="D99" s="627"/>
      <c r="E99" s="627"/>
      <c r="F99" s="215" t="str">
        <f>F82</f>
        <v xml:space="preserve"> FAO A-3</v>
      </c>
      <c r="G99" s="215"/>
      <c r="H99" s="215"/>
      <c r="I99" s="72"/>
      <c r="J99" s="72"/>
      <c r="K99" s="71"/>
      <c r="L99" s="71"/>
      <c r="M99" s="71"/>
      <c r="N99" s="71"/>
      <c r="O99" s="71"/>
    </row>
    <row r="100" spans="1:15">
      <c r="A100" s="46"/>
      <c r="B100" s="46"/>
      <c r="C100" s="46"/>
      <c r="D100" s="46"/>
      <c r="E100" s="46"/>
      <c r="F100" s="46"/>
      <c r="G100" s="46"/>
      <c r="H100" s="46"/>
      <c r="I100" s="73"/>
      <c r="J100" s="73"/>
      <c r="K100" s="71"/>
      <c r="L100" s="71"/>
      <c r="M100" s="71"/>
      <c r="N100" s="71"/>
      <c r="O100" s="71"/>
    </row>
    <row r="101" spans="1:15">
      <c r="A101" s="46"/>
      <c r="B101" s="46"/>
      <c r="C101" s="46"/>
      <c r="D101" s="46"/>
      <c r="E101" s="46"/>
      <c r="F101" s="46"/>
      <c r="G101" s="46"/>
      <c r="H101" s="46"/>
      <c r="I101" s="71"/>
      <c r="J101" s="71"/>
      <c r="K101" s="71"/>
      <c r="L101" s="71"/>
      <c r="M101" s="71"/>
      <c r="N101" s="71"/>
      <c r="O101" s="71"/>
    </row>
    <row r="102" spans="1:15" ht="15.75" thickBot="1">
      <c r="A102" s="46"/>
      <c r="B102" s="46"/>
      <c r="C102" s="46"/>
      <c r="D102" s="46"/>
      <c r="E102" s="46"/>
      <c r="F102" s="46"/>
      <c r="G102" s="46"/>
      <c r="H102" s="46"/>
      <c r="I102" s="71"/>
      <c r="J102" s="71"/>
      <c r="K102" s="71"/>
      <c r="L102" s="71"/>
      <c r="M102" s="71"/>
      <c r="N102" s="71"/>
      <c r="O102" s="71"/>
    </row>
    <row r="103" spans="1:15" ht="18.75" thickBot="1">
      <c r="A103" s="46"/>
      <c r="B103" s="46"/>
      <c r="C103" s="143" t="s">
        <v>154</v>
      </c>
      <c r="D103" s="116">
        <f>(('Paños de red y cortes'!R276*'Paños de red y cortes'!Q276)+('Paños de red y cortes'!R277*'Paños de red y cortes'!Q277))/1000</f>
        <v>17.8</v>
      </c>
      <c r="E103" s="52" t="s">
        <v>153</v>
      </c>
      <c r="F103" s="46"/>
      <c r="G103" s="46"/>
      <c r="H103" s="46"/>
      <c r="I103" s="71"/>
      <c r="J103" s="71"/>
      <c r="K103" s="71"/>
      <c r="L103" s="71"/>
      <c r="M103" s="71"/>
      <c r="N103" s="71"/>
      <c r="O103" s="71"/>
    </row>
    <row r="104" spans="1:15" ht="15.75" thickBot="1">
      <c r="A104" s="46"/>
      <c r="B104" s="46"/>
      <c r="C104" s="46"/>
      <c r="D104" s="46"/>
      <c r="E104" s="46"/>
      <c r="F104" s="46"/>
      <c r="G104" s="46"/>
      <c r="H104" s="46"/>
      <c r="I104" s="73"/>
      <c r="J104" s="73"/>
      <c r="K104" s="71"/>
      <c r="L104" s="71"/>
      <c r="M104" s="71"/>
      <c r="N104" s="71"/>
      <c r="O104" s="71"/>
    </row>
    <row r="105" spans="1:15" ht="21" thickBot="1">
      <c r="A105" s="626" t="s">
        <v>378</v>
      </c>
      <c r="B105" s="627"/>
      <c r="C105" s="627"/>
      <c r="D105" s="627"/>
      <c r="E105" s="627"/>
      <c r="F105" s="215" t="str">
        <f>F99</f>
        <v xml:space="preserve"> FAO A-3</v>
      </c>
      <c r="G105" s="215"/>
      <c r="H105" s="215"/>
      <c r="I105" s="72"/>
      <c r="J105" s="72"/>
      <c r="K105" s="71"/>
      <c r="L105" s="71"/>
      <c r="M105" s="71"/>
      <c r="N105" s="71"/>
      <c r="O105" s="71"/>
    </row>
    <row r="106" spans="1:15">
      <c r="A106" s="46"/>
      <c r="B106" s="46"/>
      <c r="C106" s="46"/>
      <c r="D106" s="46"/>
      <c r="E106" s="46"/>
      <c r="F106" s="46"/>
      <c r="G106" s="46"/>
      <c r="H106" s="46"/>
      <c r="I106" s="73"/>
      <c r="J106" s="73"/>
      <c r="K106" s="71"/>
      <c r="L106" s="71"/>
      <c r="M106" s="71"/>
      <c r="N106" s="71"/>
      <c r="O106" s="71"/>
    </row>
    <row r="107" spans="1:15">
      <c r="A107" s="46"/>
      <c r="B107" s="46"/>
      <c r="C107" s="46"/>
      <c r="D107" s="46"/>
      <c r="E107" s="46"/>
      <c r="F107" s="46"/>
      <c r="G107" s="46"/>
      <c r="H107" s="46"/>
      <c r="I107" s="73"/>
      <c r="J107" s="73"/>
      <c r="K107" s="71"/>
      <c r="L107" s="71"/>
      <c r="M107" s="71"/>
      <c r="N107" s="71"/>
      <c r="O107" s="71"/>
    </row>
    <row r="108" spans="1:15" ht="15.75" thickBot="1">
      <c r="A108" s="46"/>
      <c r="B108" s="46"/>
      <c r="C108" s="46"/>
      <c r="D108" s="46"/>
      <c r="E108" s="46"/>
      <c r="F108" s="46"/>
      <c r="G108" s="46"/>
      <c r="H108" s="46"/>
      <c r="I108" s="71"/>
      <c r="J108" s="71"/>
      <c r="K108" s="71"/>
      <c r="L108" s="71"/>
      <c r="M108" s="71"/>
      <c r="N108" s="71"/>
      <c r="O108" s="71"/>
    </row>
    <row r="109" spans="1:15" ht="15.75" thickBot="1">
      <c r="A109" s="46"/>
      <c r="B109" s="620" t="s">
        <v>155</v>
      </c>
      <c r="C109" s="621"/>
      <c r="D109" s="51">
        <f>D97/D103</f>
        <v>2.5078651685393258</v>
      </c>
      <c r="E109" s="51" t="s">
        <v>136</v>
      </c>
      <c r="F109" s="52"/>
      <c r="G109" s="46"/>
      <c r="H109" s="46"/>
      <c r="I109" s="71"/>
      <c r="J109" s="71"/>
      <c r="K109" s="71"/>
      <c r="L109" s="71"/>
      <c r="M109" s="71"/>
      <c r="N109" s="71"/>
      <c r="O109" s="71"/>
    </row>
    <row r="110" spans="1:15">
      <c r="A110" s="46"/>
      <c r="B110" s="144"/>
      <c r="C110" s="144"/>
      <c r="D110" s="50"/>
      <c r="E110" s="50"/>
      <c r="F110" s="50"/>
      <c r="G110" s="46"/>
      <c r="H110" s="46"/>
      <c r="I110" s="71"/>
      <c r="J110" s="71"/>
      <c r="K110" s="71"/>
      <c r="L110" s="71"/>
      <c r="M110" s="71"/>
      <c r="N110" s="71"/>
      <c r="O110" s="71"/>
    </row>
    <row r="111" spans="1:15">
      <c r="A111" s="46"/>
      <c r="B111" s="144"/>
      <c r="C111" s="144"/>
      <c r="D111" s="50"/>
      <c r="E111" s="50"/>
      <c r="F111" s="50"/>
      <c r="G111" s="46"/>
      <c r="H111" s="46"/>
      <c r="I111" s="71"/>
      <c r="J111" s="71"/>
      <c r="K111" s="71"/>
      <c r="L111" s="71"/>
      <c r="M111" s="71"/>
      <c r="N111" s="71"/>
      <c r="O111" s="71"/>
    </row>
    <row r="112" spans="1:15">
      <c r="A112" s="46"/>
      <c r="B112" s="144"/>
      <c r="C112" s="144"/>
      <c r="D112" s="50"/>
      <c r="E112" s="50"/>
      <c r="F112" s="50"/>
      <c r="G112" s="46"/>
      <c r="H112" s="46"/>
      <c r="I112" s="71"/>
      <c r="J112" s="71"/>
      <c r="K112" s="71"/>
      <c r="L112" s="71"/>
      <c r="M112" s="71"/>
      <c r="N112" s="71"/>
      <c r="O112" s="71"/>
    </row>
    <row r="113" spans="1:15">
      <c r="A113" s="46"/>
      <c r="B113" s="144"/>
      <c r="C113" s="144"/>
      <c r="D113" s="50"/>
      <c r="E113" s="50"/>
      <c r="F113" s="50"/>
      <c r="G113" s="46"/>
      <c r="H113" s="46"/>
      <c r="I113" s="71"/>
      <c r="J113" s="71"/>
      <c r="K113" s="71"/>
      <c r="L113" s="71"/>
      <c r="M113" s="71"/>
      <c r="N113" s="71"/>
      <c r="O113" s="71"/>
    </row>
    <row r="114" spans="1:15">
      <c r="A114" s="46"/>
      <c r="B114" s="144"/>
      <c r="C114" s="144"/>
      <c r="D114" s="50"/>
      <c r="E114" s="50"/>
      <c r="F114" s="50"/>
      <c r="G114" s="46"/>
      <c r="H114" s="46"/>
      <c r="I114" s="71"/>
      <c r="J114" s="71"/>
      <c r="K114" s="71"/>
      <c r="L114" s="71"/>
      <c r="M114" s="71"/>
      <c r="N114" s="71"/>
      <c r="O114" s="71"/>
    </row>
    <row r="115" spans="1:15">
      <c r="A115" s="46"/>
      <c r="B115" s="144"/>
      <c r="C115" s="144"/>
      <c r="D115" s="50"/>
      <c r="E115" s="50"/>
      <c r="F115" s="50"/>
      <c r="G115" s="46"/>
      <c r="H115" s="46"/>
      <c r="I115" s="71"/>
      <c r="J115" s="71"/>
      <c r="K115" s="71"/>
      <c r="L115" s="71"/>
      <c r="M115" s="71"/>
      <c r="N115" s="71"/>
      <c r="O115" s="71"/>
    </row>
    <row r="116" spans="1:15">
      <c r="A116" s="46"/>
      <c r="B116" s="144"/>
      <c r="C116" s="144"/>
      <c r="D116" s="50"/>
      <c r="E116" s="50"/>
      <c r="F116" s="50"/>
      <c r="G116" s="46"/>
      <c r="H116" s="46"/>
      <c r="I116" s="71"/>
      <c r="J116" s="71"/>
      <c r="K116" s="71"/>
      <c r="L116" s="71"/>
      <c r="M116" s="71"/>
      <c r="N116" s="71"/>
      <c r="O116" s="71"/>
    </row>
    <row r="117" spans="1:15">
      <c r="A117" s="46"/>
      <c r="B117" s="144"/>
      <c r="C117" s="144"/>
      <c r="D117" s="50"/>
      <c r="E117" s="50"/>
      <c r="F117" s="50"/>
      <c r="G117" s="46"/>
      <c r="H117" s="46"/>
      <c r="I117" s="71"/>
      <c r="J117" s="71"/>
      <c r="K117" s="71"/>
      <c r="L117" s="71"/>
      <c r="M117" s="71"/>
      <c r="N117" s="71"/>
      <c r="O117" s="71"/>
    </row>
    <row r="118" spans="1:15">
      <c r="A118" s="46"/>
      <c r="B118" s="144"/>
      <c r="C118" s="144"/>
      <c r="D118" s="50"/>
      <c r="E118" s="50"/>
      <c r="F118" s="50"/>
      <c r="G118" s="46"/>
      <c r="H118" s="46"/>
      <c r="I118" s="71"/>
      <c r="J118" s="71"/>
      <c r="K118" s="71"/>
      <c r="L118" s="71"/>
      <c r="M118" s="71"/>
      <c r="N118" s="71"/>
      <c r="O118" s="71"/>
    </row>
    <row r="119" spans="1:15">
      <c r="A119" s="46"/>
      <c r="B119" s="46"/>
      <c r="C119" s="46"/>
      <c r="D119" s="46"/>
      <c r="E119" s="46"/>
      <c r="F119" s="46"/>
      <c r="G119" s="46"/>
      <c r="H119" s="46"/>
      <c r="I119" s="71"/>
      <c r="J119" s="71"/>
      <c r="K119" s="71"/>
      <c r="L119" s="71"/>
      <c r="M119" s="71"/>
      <c r="N119" s="71"/>
      <c r="O119" s="71"/>
    </row>
    <row r="120" spans="1:15">
      <c r="A120" s="46"/>
      <c r="B120" s="46"/>
      <c r="C120" s="46"/>
      <c r="D120" s="46"/>
      <c r="E120" s="46"/>
      <c r="F120" s="46"/>
      <c r="G120" s="46"/>
      <c r="H120" s="46"/>
      <c r="I120" s="71"/>
      <c r="J120" s="71"/>
      <c r="K120" s="71"/>
      <c r="L120" s="71"/>
      <c r="M120" s="71"/>
      <c r="N120" s="71"/>
      <c r="O120" s="71"/>
    </row>
    <row r="121" spans="1:15" ht="15" customHeight="1">
      <c r="A121" s="619" t="s">
        <v>156</v>
      </c>
      <c r="B121" s="619"/>
      <c r="C121" s="619"/>
      <c r="D121" s="619"/>
      <c r="E121" s="619"/>
      <c r="F121" s="619"/>
      <c r="G121" s="619"/>
      <c r="H121" s="619"/>
      <c r="I121" s="74"/>
      <c r="J121" s="74"/>
      <c r="K121" s="71"/>
      <c r="L121" s="71"/>
      <c r="M121" s="71"/>
      <c r="N121" s="71"/>
      <c r="O121" s="71"/>
    </row>
    <row r="122" spans="1:15" ht="15" customHeight="1">
      <c r="A122" s="214"/>
      <c r="B122" s="214"/>
      <c r="C122" s="214"/>
      <c r="D122" s="214"/>
      <c r="E122" s="214"/>
      <c r="F122" s="214"/>
      <c r="G122" s="214"/>
      <c r="H122" s="214"/>
      <c r="I122" s="71"/>
      <c r="J122" s="71"/>
      <c r="K122" s="71"/>
      <c r="L122" s="71"/>
      <c r="M122" s="71"/>
      <c r="N122" s="71"/>
      <c r="O122" s="71"/>
    </row>
    <row r="123" spans="1:15">
      <c r="A123" s="145"/>
      <c r="B123" s="146"/>
      <c r="C123" s="615" t="str">
        <f>F99</f>
        <v xml:space="preserve"> FAO A-3</v>
      </c>
      <c r="D123" s="616"/>
      <c r="E123" s="618" t="s">
        <v>171</v>
      </c>
      <c r="F123" s="618"/>
      <c r="G123" s="145"/>
      <c r="H123" s="145"/>
      <c r="I123" s="71"/>
      <c r="J123" s="71"/>
      <c r="K123" s="71"/>
      <c r="L123" s="71"/>
      <c r="M123" s="71"/>
      <c r="N123" s="71"/>
      <c r="O123" s="71"/>
    </row>
    <row r="124" spans="1:15">
      <c r="A124" s="145"/>
      <c r="B124" s="147" t="s">
        <v>127</v>
      </c>
      <c r="C124" s="617">
        <f>Lima/Burlon</f>
        <v>0.86180180180180188</v>
      </c>
      <c r="D124" s="617"/>
      <c r="E124" s="618">
        <f>'Tablas de Referencias'!D16</f>
        <v>0.74</v>
      </c>
      <c r="F124" s="618"/>
      <c r="G124" s="145"/>
      <c r="H124" s="145"/>
      <c r="I124" s="71"/>
      <c r="J124" s="71"/>
      <c r="K124" s="71"/>
      <c r="L124" s="71"/>
      <c r="M124" s="71"/>
      <c r="N124" s="71"/>
      <c r="O124" s="71"/>
    </row>
    <row r="125" spans="1:15">
      <c r="A125" s="145"/>
      <c r="B125" s="146" t="s">
        <v>128</v>
      </c>
      <c r="C125" s="617">
        <f>Lima/'Dimensiones de la Red'!F47</f>
        <v>0.6723992502343018</v>
      </c>
      <c r="D125" s="617"/>
      <c r="E125" s="618">
        <f>'Tablas de Referencias'!E16</f>
        <v>0.62</v>
      </c>
      <c r="F125" s="618"/>
      <c r="G125" s="145"/>
      <c r="H125" s="145"/>
      <c r="I125" s="71"/>
      <c r="J125" s="71"/>
      <c r="K125" s="71"/>
      <c r="L125" s="71"/>
      <c r="M125" s="71"/>
      <c r="N125" s="71"/>
      <c r="O125" s="71"/>
    </row>
    <row r="126" spans="1:15">
      <c r="A126" s="145"/>
      <c r="B126" s="146" t="s">
        <v>129</v>
      </c>
      <c r="C126" s="617">
        <f>Burlon/'Dimensiones de la Red'!F47</f>
        <v>0.78022492970946578</v>
      </c>
      <c r="D126" s="617"/>
      <c r="E126" s="615">
        <f>'Tablas de Referencias'!F16</f>
        <v>0.83</v>
      </c>
      <c r="F126" s="616"/>
      <c r="G126" s="145"/>
      <c r="H126" s="145"/>
      <c r="I126" s="71"/>
      <c r="J126" s="71"/>
      <c r="K126" s="71"/>
      <c r="L126" s="71"/>
      <c r="M126" s="71"/>
      <c r="N126" s="71"/>
      <c r="O126" s="71"/>
    </row>
    <row r="127" spans="1:15">
      <c r="A127" s="145"/>
      <c r="B127" s="146" t="s">
        <v>130</v>
      </c>
      <c r="C127" s="617">
        <f>'Dimensiones de la Red'!F49/'Dimensiones de la Red'!F47</f>
        <v>1.0459231490159326</v>
      </c>
      <c r="D127" s="617"/>
      <c r="E127" s="615">
        <f>'Tablas de Referencias'!G16</f>
        <v>1.07</v>
      </c>
      <c r="F127" s="616"/>
      <c r="G127" s="145"/>
      <c r="H127" s="145"/>
      <c r="I127" s="71"/>
      <c r="J127" s="71"/>
      <c r="K127" s="71"/>
      <c r="L127" s="71"/>
      <c r="M127" s="71"/>
      <c r="N127" s="71"/>
      <c r="O127" s="71"/>
    </row>
    <row r="128" spans="1:15">
      <c r="A128" s="145"/>
      <c r="B128" s="146" t="s">
        <v>131</v>
      </c>
      <c r="C128" s="617">
        <f>'Dimensiones de la Red'!F50/'Dimensiones de la Red'!F47</f>
        <v>0.29240862230552955</v>
      </c>
      <c r="D128" s="617"/>
      <c r="E128" s="615">
        <f>'Tablas de Referencias'!H16</f>
        <v>0.27</v>
      </c>
      <c r="F128" s="616"/>
      <c r="G128" s="145"/>
      <c r="H128" s="145"/>
      <c r="I128" s="71"/>
      <c r="J128" s="71"/>
      <c r="K128" s="71"/>
      <c r="L128" s="71"/>
      <c r="M128" s="71"/>
      <c r="N128" s="71"/>
      <c r="O128" s="71"/>
    </row>
    <row r="129" spans="1:15">
      <c r="A129" s="145"/>
      <c r="B129" s="146" t="s">
        <v>132</v>
      </c>
      <c r="C129" s="617">
        <f>'Dimensiones de la Red'!F51/'Dimensiones de la Red'!F47</f>
        <v>0.34864104967197751</v>
      </c>
      <c r="D129" s="617"/>
      <c r="E129" s="615">
        <f>'Tablas de Referencias'!I16</f>
        <v>0.4</v>
      </c>
      <c r="F129" s="616"/>
      <c r="G129" s="145"/>
      <c r="H129" s="145"/>
      <c r="I129" s="71"/>
      <c r="J129" s="71"/>
      <c r="K129" s="71"/>
      <c r="L129" s="71"/>
      <c r="M129" s="71"/>
      <c r="N129" s="71"/>
      <c r="O129" s="71"/>
    </row>
    <row r="130" spans="1:15">
      <c r="A130" s="145"/>
      <c r="B130" s="146" t="s">
        <v>133</v>
      </c>
      <c r="C130" s="617">
        <f>'Dimensiones de la Red'!F52/'Dimensiones de la Red'!F47</f>
        <v>0.29522024367385191</v>
      </c>
      <c r="D130" s="617"/>
      <c r="E130" s="615">
        <f>'Tablas de Referencias'!J16</f>
        <v>0.41</v>
      </c>
      <c r="F130" s="616"/>
      <c r="G130" s="145"/>
      <c r="H130" s="145"/>
      <c r="I130" s="71"/>
      <c r="J130" s="71"/>
      <c r="K130" s="71"/>
      <c r="L130" s="71"/>
      <c r="M130" s="71"/>
      <c r="N130" s="71"/>
      <c r="O130" s="71"/>
    </row>
    <row r="131" spans="1:15">
      <c r="A131" s="145"/>
      <c r="B131" s="146" t="s">
        <v>134</v>
      </c>
      <c r="C131" s="617">
        <f>'Dimensiones de la Red'!F53/'Dimensiones de la Red'!F47</f>
        <v>0.18744142455482662</v>
      </c>
      <c r="D131" s="617"/>
      <c r="E131" s="615">
        <f>'Tablas de Referencias'!K16</f>
        <v>0.21</v>
      </c>
      <c r="F131" s="616"/>
      <c r="G131" s="145"/>
      <c r="H131" s="145"/>
      <c r="I131" s="71"/>
      <c r="J131" s="71"/>
      <c r="K131" s="71"/>
      <c r="L131" s="71"/>
      <c r="M131" s="71"/>
      <c r="N131" s="71"/>
      <c r="O131" s="71"/>
    </row>
    <row r="132" spans="1:15">
      <c r="A132" s="145"/>
      <c r="B132" s="146" t="s">
        <v>135</v>
      </c>
      <c r="C132" s="617">
        <f>('Dimensiones de la Red'!F51-'Dimensiones de la Red'!F50)/'Dimensiones de la Red'!F47</f>
        <v>5.6232427366447992E-2</v>
      </c>
      <c r="D132" s="617"/>
      <c r="E132" s="615">
        <f>'Tablas de Referencias'!L16</f>
        <v>0.11</v>
      </c>
      <c r="F132" s="616"/>
      <c r="G132" s="145"/>
      <c r="H132" s="145"/>
      <c r="I132" s="71"/>
      <c r="J132" s="71"/>
      <c r="K132" s="71"/>
      <c r="L132" s="71"/>
      <c r="M132" s="71"/>
      <c r="N132" s="71"/>
      <c r="O132" s="71"/>
    </row>
    <row r="133" spans="1:15">
      <c r="A133" s="145"/>
      <c r="B133" s="145"/>
      <c r="C133" s="145"/>
      <c r="D133" s="145"/>
      <c r="E133" s="145"/>
      <c r="F133" s="145"/>
      <c r="G133" s="145"/>
      <c r="H133" s="145"/>
      <c r="I133" s="71"/>
      <c r="J133" s="71"/>
      <c r="K133" s="71"/>
      <c r="L133" s="71"/>
      <c r="M133" s="71"/>
      <c r="N133" s="71"/>
      <c r="O133" s="71"/>
    </row>
    <row r="134" spans="1:15" ht="15" customHeight="1">
      <c r="A134" s="639" t="s">
        <v>674</v>
      </c>
      <c r="B134" s="640"/>
      <c r="C134" s="640"/>
      <c r="D134" s="640"/>
      <c r="E134" s="640"/>
      <c r="F134" s="640"/>
      <c r="G134" s="640"/>
      <c r="H134" s="641"/>
      <c r="I134" s="71"/>
      <c r="J134" s="71"/>
      <c r="K134" s="71"/>
      <c r="L134" s="71"/>
      <c r="M134" s="71"/>
      <c r="N134" s="71"/>
      <c r="O134" s="71"/>
    </row>
    <row r="135" spans="1:15" s="255" customFormat="1" ht="15" customHeight="1">
      <c r="A135" s="306"/>
      <c r="B135" s="307"/>
      <c r="C135" s="307"/>
      <c r="D135" s="307"/>
      <c r="E135" s="307"/>
      <c r="F135" s="307"/>
      <c r="G135" s="307"/>
      <c r="H135" s="308"/>
      <c r="I135" s="71"/>
      <c r="J135" s="71"/>
      <c r="K135" s="71"/>
      <c r="L135" s="71"/>
      <c r="M135" s="71"/>
      <c r="N135" s="71"/>
      <c r="O135" s="71"/>
    </row>
    <row r="136" spans="1:15" s="255" customFormat="1" ht="23.25" customHeight="1">
      <c r="A136" s="636" t="s">
        <v>668</v>
      </c>
      <c r="B136" s="637"/>
      <c r="C136" s="637"/>
      <c r="D136" s="637"/>
      <c r="E136" s="637"/>
      <c r="F136" s="637"/>
      <c r="G136" s="637"/>
      <c r="H136" s="638"/>
      <c r="I136" s="71"/>
      <c r="J136" s="71"/>
      <c r="K136" s="71"/>
      <c r="L136" s="71"/>
      <c r="M136" s="71"/>
      <c r="N136" s="71"/>
      <c r="O136" s="71"/>
    </row>
    <row r="137" spans="1:15" s="255" customFormat="1" ht="15" customHeight="1">
      <c r="A137" s="306"/>
      <c r="B137" s="307"/>
      <c r="C137" s="307"/>
      <c r="D137" s="307"/>
      <c r="E137" s="307"/>
      <c r="F137" s="307"/>
      <c r="G137" s="307"/>
      <c r="H137" s="308"/>
      <c r="I137" s="71"/>
      <c r="J137" s="71"/>
      <c r="K137" s="71"/>
      <c r="L137" s="71"/>
      <c r="M137" s="71"/>
      <c r="N137" s="71"/>
      <c r="O137" s="71"/>
    </row>
    <row r="138" spans="1:15" s="255" customFormat="1" ht="15" customHeight="1">
      <c r="A138" s="306"/>
      <c r="B138" s="307"/>
      <c r="C138" s="307"/>
      <c r="D138" s="307"/>
      <c r="E138" s="307"/>
      <c r="F138" s="307"/>
      <c r="G138" s="307"/>
      <c r="H138" s="308"/>
      <c r="I138" s="71"/>
      <c r="J138" s="71"/>
      <c r="K138" s="71"/>
      <c r="L138" s="71"/>
      <c r="M138" s="71"/>
      <c r="N138" s="71"/>
      <c r="O138" s="71"/>
    </row>
    <row r="139" spans="1:15" s="255" customFormat="1" ht="15" customHeight="1">
      <c r="A139" s="306"/>
      <c r="B139" s="307"/>
      <c r="C139" s="307"/>
      <c r="D139" s="307"/>
      <c r="E139" s="307"/>
      <c r="F139" s="307"/>
      <c r="G139" s="307"/>
      <c r="H139" s="308"/>
      <c r="I139" s="71"/>
      <c r="J139" s="71"/>
      <c r="K139" s="71"/>
      <c r="L139" s="71"/>
      <c r="M139" s="71"/>
      <c r="N139" s="71"/>
      <c r="O139" s="71"/>
    </row>
    <row r="140" spans="1:15" s="255" customFormat="1" ht="15" customHeight="1">
      <c r="A140" s="249"/>
      <c r="B140" s="256" t="s">
        <v>669</v>
      </c>
      <c r="C140" s="256">
        <f t="array" ref="C140">(('Paños de red y cortes'!H92+'Paños de red y cortes'!H57)*'Paños de red y cortes'!B55:B57)/1000</f>
        <v>12.48</v>
      </c>
      <c r="D140" s="149"/>
      <c r="E140" s="256" t="s">
        <v>670</v>
      </c>
      <c r="F140" s="256">
        <f t="array" ref="F140">((('Paños de red y cortes'!H120*'Paños de red y cortes'!B120:B122)-(('Paños de red y cortes'!H91*'Paños de red y cortes'!B90:B92)*2))/1000)*0.5</f>
        <v>3</v>
      </c>
      <c r="G140" s="149"/>
      <c r="H140" s="250"/>
      <c r="I140" s="71"/>
      <c r="J140" s="71"/>
      <c r="K140" s="71"/>
      <c r="L140" s="71"/>
      <c r="M140" s="71"/>
      <c r="N140" s="71"/>
      <c r="O140" s="71"/>
    </row>
    <row r="141" spans="1:15" s="255" customFormat="1" ht="15" customHeight="1">
      <c r="A141" s="249"/>
      <c r="B141" s="149"/>
      <c r="C141" s="149"/>
      <c r="D141" s="149"/>
      <c r="E141" s="149"/>
      <c r="F141" s="149"/>
      <c r="G141" s="149"/>
      <c r="H141" s="250"/>
      <c r="I141" s="71"/>
      <c r="J141" s="71"/>
      <c r="K141" s="71"/>
      <c r="L141" s="71"/>
      <c r="M141" s="71"/>
      <c r="N141" s="71"/>
      <c r="O141" s="71"/>
    </row>
    <row r="142" spans="1:15" s="255" customFormat="1" ht="15" customHeight="1">
      <c r="A142" s="249"/>
      <c r="B142" s="256" t="s">
        <v>671</v>
      </c>
      <c r="C142" s="256">
        <v>1.05</v>
      </c>
      <c r="D142" s="149"/>
      <c r="E142" s="474" t="s">
        <v>672</v>
      </c>
      <c r="F142" s="474"/>
      <c r="G142" s="256">
        <v>0.83</v>
      </c>
      <c r="H142" s="250"/>
      <c r="I142" s="71"/>
      <c r="J142" s="71"/>
      <c r="K142" s="71"/>
      <c r="L142" s="71"/>
      <c r="M142" s="71"/>
      <c r="N142" s="71"/>
      <c r="O142" s="71"/>
    </row>
    <row r="143" spans="1:15" s="255" customFormat="1" ht="15" customHeight="1">
      <c r="A143" s="249"/>
      <c r="B143" s="256" t="s">
        <v>677</v>
      </c>
      <c r="C143" s="198">
        <f>C140*C142</f>
        <v>13.104000000000001</v>
      </c>
      <c r="D143" s="149"/>
      <c r="E143" s="474" t="s">
        <v>673</v>
      </c>
      <c r="F143" s="474"/>
      <c r="G143" s="198">
        <f>F140*G142</f>
        <v>2.4899999999999998</v>
      </c>
      <c r="H143" s="250"/>
      <c r="I143" s="71"/>
      <c r="J143" s="71"/>
      <c r="K143" s="71"/>
      <c r="L143" s="71"/>
      <c r="M143" s="71"/>
      <c r="N143" s="71"/>
      <c r="O143" s="71"/>
    </row>
    <row r="144" spans="1:15" s="255" customFormat="1" ht="15" customHeight="1">
      <c r="A144" s="249"/>
      <c r="B144" s="149"/>
      <c r="C144" s="149"/>
      <c r="D144" s="149"/>
      <c r="E144" s="149"/>
      <c r="F144" s="149"/>
      <c r="G144" s="149"/>
      <c r="H144" s="250"/>
      <c r="I144" s="71"/>
      <c r="J144" s="71"/>
      <c r="K144" s="71"/>
      <c r="L144" s="71"/>
      <c r="M144" s="71"/>
      <c r="N144" s="71"/>
      <c r="O144" s="71"/>
    </row>
    <row r="145" spans="1:15" s="255" customFormat="1" ht="27" customHeight="1">
      <c r="A145" s="636" t="s">
        <v>109</v>
      </c>
      <c r="B145" s="637"/>
      <c r="C145" s="637"/>
      <c r="D145" s="637"/>
      <c r="E145" s="637"/>
      <c r="F145" s="637"/>
      <c r="G145" s="637"/>
      <c r="H145" s="638"/>
      <c r="I145" s="71"/>
      <c r="J145" s="71"/>
      <c r="K145" s="71"/>
      <c r="L145" s="71"/>
      <c r="M145" s="71"/>
      <c r="N145" s="71"/>
      <c r="O145" s="71"/>
    </row>
    <row r="146" spans="1:15" s="255" customFormat="1" ht="15" customHeight="1">
      <c r="A146" s="249"/>
      <c r="B146" s="149"/>
      <c r="C146" s="149"/>
      <c r="D146" s="149"/>
      <c r="E146" s="149"/>
      <c r="F146" s="149"/>
      <c r="G146" s="149"/>
      <c r="H146" s="250"/>
      <c r="I146" s="71"/>
      <c r="J146" s="71"/>
      <c r="K146" s="71"/>
      <c r="L146" s="71"/>
      <c r="M146" s="71"/>
      <c r="N146" s="71"/>
      <c r="O146" s="71"/>
    </row>
    <row r="147" spans="1:15" s="255" customFormat="1" ht="15" customHeight="1">
      <c r="A147" s="249"/>
      <c r="B147" s="149"/>
      <c r="C147" s="149"/>
      <c r="D147" s="149"/>
      <c r="E147" s="149"/>
      <c r="F147" s="149"/>
      <c r="G147" s="149"/>
      <c r="H147" s="250"/>
      <c r="I147" s="71"/>
      <c r="J147" s="71"/>
      <c r="K147" s="71"/>
      <c r="L147" s="71"/>
      <c r="M147" s="71"/>
      <c r="N147" s="71"/>
      <c r="O147" s="71"/>
    </row>
    <row r="148" spans="1:15" s="255" customFormat="1" ht="15" customHeight="1">
      <c r="A148" s="249"/>
      <c r="B148" s="256" t="s">
        <v>675</v>
      </c>
      <c r="C148" s="256">
        <f t="array" ref="C148">(((('Paños de red y cortes'!T56+'Paños de red y cortes'!T91)*'Paños de red y cortes'!N89:N91)+('Paños de red y cortes'!T116*'Paños de red y cortes'!N114:N116))/1000)</f>
        <v>14.88</v>
      </c>
      <c r="D148" s="149"/>
      <c r="E148" s="256" t="s">
        <v>678</v>
      </c>
      <c r="F148" s="256">
        <f t="array" ref="F148">((('Paños de red y cortes'!T156*'Paños de red y cortes'!N156:N158)-((2*'Paños de red y cortes'!T114)*'Paños de red y cortes'!N114:N116))/1000)*0.5</f>
        <v>2.58</v>
      </c>
      <c r="G148" s="149"/>
      <c r="H148" s="250"/>
      <c r="I148" s="71"/>
      <c r="J148" s="71"/>
      <c r="K148" s="71"/>
      <c r="L148" s="71"/>
      <c r="M148" s="71"/>
      <c r="N148" s="71"/>
      <c r="O148" s="71"/>
    </row>
    <row r="149" spans="1:15" s="255" customFormat="1" ht="15" customHeight="1">
      <c r="A149" s="249"/>
      <c r="B149" s="149"/>
      <c r="C149" s="149"/>
      <c r="D149" s="149"/>
      <c r="E149" s="149"/>
      <c r="F149" s="149"/>
      <c r="G149" s="149"/>
      <c r="H149" s="250"/>
      <c r="I149" s="71"/>
      <c r="J149" s="71"/>
      <c r="K149" s="71"/>
      <c r="L149" s="71"/>
      <c r="M149" s="71"/>
      <c r="N149" s="71"/>
      <c r="O149" s="71"/>
    </row>
    <row r="150" spans="1:15" s="255" customFormat="1" ht="15" customHeight="1">
      <c r="A150" s="249"/>
      <c r="B150" s="256" t="s">
        <v>671</v>
      </c>
      <c r="C150" s="256">
        <v>1.05</v>
      </c>
      <c r="D150" s="149"/>
      <c r="E150" s="474" t="s">
        <v>672</v>
      </c>
      <c r="F150" s="474"/>
      <c r="G150" s="256">
        <v>0.83</v>
      </c>
      <c r="H150" s="250"/>
      <c r="I150" s="71"/>
      <c r="J150" s="71"/>
      <c r="K150" s="71"/>
      <c r="L150" s="71"/>
      <c r="M150" s="71"/>
      <c r="N150" s="71"/>
      <c r="O150" s="71"/>
    </row>
    <row r="151" spans="1:15" s="255" customFormat="1" ht="15" customHeight="1">
      <c r="A151" s="249"/>
      <c r="B151" s="256" t="s">
        <v>676</v>
      </c>
      <c r="C151" s="198">
        <f>C148*C150</f>
        <v>15.624000000000002</v>
      </c>
      <c r="D151" s="149"/>
      <c r="E151" s="474" t="s">
        <v>673</v>
      </c>
      <c r="F151" s="474"/>
      <c r="G151" s="198">
        <f>F148*G150</f>
        <v>2.1414</v>
      </c>
      <c r="H151" s="250"/>
      <c r="I151" s="71"/>
      <c r="J151" s="71"/>
      <c r="K151" s="71"/>
      <c r="L151" s="71"/>
      <c r="M151" s="71"/>
      <c r="N151" s="71"/>
      <c r="O151" s="71"/>
    </row>
    <row r="152" spans="1:15" s="255" customFormat="1" ht="15" customHeight="1" thickBot="1">
      <c r="A152" s="245"/>
      <c r="B152" s="300"/>
      <c r="C152" s="300"/>
      <c r="D152" s="300"/>
      <c r="E152" s="300"/>
      <c r="F152" s="300"/>
      <c r="G152" s="300"/>
      <c r="H152" s="246"/>
      <c r="I152" s="71"/>
      <c r="J152" s="71"/>
      <c r="K152" s="71"/>
      <c r="L152" s="71"/>
      <c r="M152" s="71"/>
      <c r="N152" s="71"/>
      <c r="O152" s="71"/>
    </row>
    <row r="153" spans="1:15" s="255" customFormat="1" ht="15" customHeight="1">
      <c r="A153"/>
      <c r="B153" s="612" t="s">
        <v>948</v>
      </c>
      <c r="C153" s="613"/>
      <c r="D153" s="613"/>
      <c r="E153" s="613"/>
      <c r="F153" s="613"/>
      <c r="G153" s="614"/>
      <c r="H153"/>
      <c r="I153" s="71"/>
      <c r="J153" s="71"/>
      <c r="K153" s="71"/>
      <c r="L153" s="71"/>
      <c r="M153" s="71"/>
      <c r="N153" s="71"/>
      <c r="O153" s="71"/>
    </row>
    <row r="154" spans="1:15">
      <c r="B154" s="319"/>
      <c r="C154" s="300"/>
      <c r="D154" s="300"/>
      <c r="E154" s="300"/>
      <c r="F154" s="300"/>
      <c r="G154" s="320"/>
      <c r="I154" s="71"/>
      <c r="J154" s="71"/>
      <c r="K154" s="71"/>
      <c r="L154" s="71"/>
      <c r="M154" s="71"/>
      <c r="N154" s="71"/>
      <c r="O154" s="71"/>
    </row>
    <row r="155" spans="1:15">
      <c r="B155" s="347" t="s">
        <v>949</v>
      </c>
      <c r="C155" s="347">
        <f t="array" ref="C155">('Paños de red y cortes'!H57*'Paños de red y cortes'!B55:B57)/1000</f>
        <v>2.88</v>
      </c>
      <c r="D155" s="300"/>
      <c r="E155" s="300"/>
      <c r="F155" s="300"/>
      <c r="G155" s="320"/>
      <c r="I155" s="71"/>
      <c r="J155" s="71"/>
      <c r="K155" s="71"/>
      <c r="L155" s="71"/>
      <c r="M155" s="71"/>
      <c r="N155" s="71"/>
      <c r="O155" s="71"/>
    </row>
    <row r="156" spans="1:15">
      <c r="B156" s="319"/>
      <c r="C156" s="300"/>
      <c r="D156" s="300"/>
      <c r="E156" s="300"/>
      <c r="F156" s="300"/>
      <c r="G156" s="320"/>
      <c r="I156" s="71"/>
      <c r="J156" s="71"/>
      <c r="K156" s="71"/>
      <c r="L156" s="71"/>
      <c r="M156" s="71"/>
      <c r="N156" s="71"/>
      <c r="O156" s="71"/>
    </row>
    <row r="157" spans="1:15" ht="15.75" thickBot="1">
      <c r="B157" s="347" t="s">
        <v>671</v>
      </c>
      <c r="C157" s="347">
        <v>1</v>
      </c>
      <c r="D157" s="322"/>
      <c r="E157" s="322"/>
      <c r="F157" s="322"/>
      <c r="G157" s="323"/>
      <c r="I157" s="71"/>
      <c r="J157" s="71"/>
      <c r="K157" s="71"/>
      <c r="L157" s="71"/>
      <c r="M157" s="71"/>
      <c r="N157" s="71"/>
      <c r="O157" s="71"/>
    </row>
    <row r="158" spans="1:15">
      <c r="I158" s="148"/>
      <c r="J158" s="148"/>
      <c r="K158" s="71"/>
      <c r="L158" s="71"/>
      <c r="M158" s="71"/>
      <c r="N158" s="71"/>
      <c r="O158" s="71"/>
    </row>
    <row r="159" spans="1:15">
      <c r="I159" s="73"/>
      <c r="J159" s="73"/>
      <c r="K159" s="71"/>
      <c r="L159" s="71"/>
      <c r="M159" s="71"/>
      <c r="N159" s="71"/>
      <c r="O159" s="71"/>
    </row>
  </sheetData>
  <dataConsolidate/>
  <mergeCells count="85">
    <mergeCell ref="F67:G67"/>
    <mergeCell ref="F70:G70"/>
    <mergeCell ref="F71:G71"/>
    <mergeCell ref="F52:G52"/>
    <mergeCell ref="F53:G53"/>
    <mergeCell ref="F54:G54"/>
    <mergeCell ref="F61:G61"/>
    <mergeCell ref="F63:G63"/>
    <mergeCell ref="F62:G62"/>
    <mergeCell ref="F45:G45"/>
    <mergeCell ref="F46:G46"/>
    <mergeCell ref="F49:G49"/>
    <mergeCell ref="F50:G50"/>
    <mergeCell ref="F51:G51"/>
    <mergeCell ref="E126:F126"/>
    <mergeCell ref="E127:F127"/>
    <mergeCell ref="C132:D132"/>
    <mergeCell ref="E128:F128"/>
    <mergeCell ref="E129:F129"/>
    <mergeCell ref="E130:F130"/>
    <mergeCell ref="E131:F131"/>
    <mergeCell ref="C128:D128"/>
    <mergeCell ref="C129:D129"/>
    <mergeCell ref="C130:D130"/>
    <mergeCell ref="C131:D131"/>
    <mergeCell ref="E132:F132"/>
    <mergeCell ref="A1:H1"/>
    <mergeCell ref="A43:H43"/>
    <mergeCell ref="B44:E44"/>
    <mergeCell ref="B67:E67"/>
    <mergeCell ref="B68:E68"/>
    <mergeCell ref="B57:E57"/>
    <mergeCell ref="B58:E58"/>
    <mergeCell ref="B59:E59"/>
    <mergeCell ref="B60:E60"/>
    <mergeCell ref="B61:E61"/>
    <mergeCell ref="B52:E52"/>
    <mergeCell ref="B53:E53"/>
    <mergeCell ref="B54:E54"/>
    <mergeCell ref="B55:E55"/>
    <mergeCell ref="B56:E56"/>
    <mergeCell ref="B47:E47"/>
    <mergeCell ref="B69:E69"/>
    <mergeCell ref="B70:E70"/>
    <mergeCell ref="B71:E71"/>
    <mergeCell ref="B62:E62"/>
    <mergeCell ref="B63:E63"/>
    <mergeCell ref="B64:E64"/>
    <mergeCell ref="B65:E65"/>
    <mergeCell ref="B66:E66"/>
    <mergeCell ref="B48:E48"/>
    <mergeCell ref="B49:E49"/>
    <mergeCell ref="B50:E50"/>
    <mergeCell ref="B51:E51"/>
    <mergeCell ref="B45:E45"/>
    <mergeCell ref="B46:E46"/>
    <mergeCell ref="A73:H73"/>
    <mergeCell ref="F82:G82"/>
    <mergeCell ref="A99:E99"/>
    <mergeCell ref="A105:E105"/>
    <mergeCell ref="A92:E92"/>
    <mergeCell ref="A75:H75"/>
    <mergeCell ref="A121:H121"/>
    <mergeCell ref="B109:C109"/>
    <mergeCell ref="C85:E85"/>
    <mergeCell ref="C82:E82"/>
    <mergeCell ref="C83:E83"/>
    <mergeCell ref="C84:E84"/>
    <mergeCell ref="C86:E86"/>
    <mergeCell ref="B153:G153"/>
    <mergeCell ref="C123:D123"/>
    <mergeCell ref="C124:D124"/>
    <mergeCell ref="E123:F123"/>
    <mergeCell ref="E124:F124"/>
    <mergeCell ref="E125:F125"/>
    <mergeCell ref="A136:H136"/>
    <mergeCell ref="E143:F143"/>
    <mergeCell ref="E142:F142"/>
    <mergeCell ref="E150:F150"/>
    <mergeCell ref="E151:F151"/>
    <mergeCell ref="A145:H145"/>
    <mergeCell ref="A134:H134"/>
    <mergeCell ref="C125:D125"/>
    <mergeCell ref="C126:D126"/>
    <mergeCell ref="C127:D127"/>
  </mergeCells>
  <dataValidations count="2">
    <dataValidation type="list" allowBlank="1" showInputMessage="1" showErrorMessage="1" sqref="F65">
      <formula1>LP</formula1>
    </dataValidation>
    <dataValidation type="list" allowBlank="1" showInputMessage="1" showErrorMessage="1" sqref="F64:G64">
      <formula1>triangulo</formula1>
    </dataValidation>
  </dataValidations>
  <printOptions horizontalCentered="1" verticalCentered="1"/>
  <pageMargins left="0.25" right="0.25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423"/>
  <sheetViews>
    <sheetView zoomScale="70" zoomScaleNormal="70" workbookViewId="0">
      <selection activeCell="W423" sqref="W423"/>
    </sheetView>
  </sheetViews>
  <sheetFormatPr baseColWidth="10" defaultRowHeight="15"/>
  <cols>
    <col min="2" max="2" width="11.5703125" bestFit="1" customWidth="1"/>
    <col min="3" max="4" width="11.85546875" bestFit="1" customWidth="1"/>
  </cols>
  <sheetData>
    <row r="1" spans="1:15" ht="27" thickBot="1">
      <c r="A1" s="46"/>
      <c r="B1" s="652" t="s">
        <v>260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4"/>
      <c r="O1" s="46"/>
    </row>
    <row r="2" spans="1:15" ht="26.25">
      <c r="A2" s="46"/>
      <c r="B2" s="624" t="s">
        <v>261</v>
      </c>
      <c r="C2" s="624"/>
      <c r="D2" s="624"/>
      <c r="E2" s="624"/>
      <c r="F2" s="624"/>
      <c r="G2" s="624"/>
      <c r="H2" s="624"/>
      <c r="I2" s="624"/>
      <c r="J2" s="624"/>
      <c r="K2" s="624"/>
      <c r="L2" s="624"/>
      <c r="M2" s="624"/>
      <c r="N2" s="624"/>
      <c r="O2" s="46"/>
    </row>
    <row r="3" spans="1:1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</row>
    <row r="4" spans="1:15">
      <c r="A4" s="46"/>
      <c r="B4" s="650" t="s">
        <v>503</v>
      </c>
      <c r="C4" s="651"/>
      <c r="D4" s="651"/>
      <c r="E4" s="225">
        <f>'Mecánica de la Red'!K15</f>
        <v>2.1277777777777781E-2</v>
      </c>
      <c r="F4" s="46"/>
      <c r="G4" s="46"/>
      <c r="H4" s="46"/>
      <c r="I4" s="46"/>
      <c r="J4" s="46"/>
      <c r="K4" s="46"/>
      <c r="L4" s="46"/>
      <c r="M4" s="46"/>
      <c r="N4" s="46"/>
      <c r="O4" s="46"/>
    </row>
    <row r="5" spans="1:15">
      <c r="A5" s="46"/>
      <c r="B5" s="650" t="s">
        <v>504</v>
      </c>
      <c r="C5" s="651"/>
      <c r="D5" s="651"/>
      <c r="E5" s="225">
        <f>'Mecánica de la Red'!K17</f>
        <v>1.9461538461538464E-2</v>
      </c>
      <c r="F5" s="46"/>
      <c r="G5" s="46"/>
      <c r="H5" s="46"/>
      <c r="I5" s="46"/>
      <c r="J5" s="46"/>
      <c r="K5" s="46"/>
      <c r="L5" s="46"/>
      <c r="M5" s="46"/>
      <c r="N5" s="46"/>
      <c r="O5" s="46"/>
    </row>
    <row r="6" spans="1:15">
      <c r="A6" s="46"/>
      <c r="B6" s="650" t="s">
        <v>262</v>
      </c>
      <c r="C6" s="650"/>
      <c r="D6" s="650"/>
      <c r="E6" s="46">
        <f>'Dimensiones de la Red'!D97</f>
        <v>44.64</v>
      </c>
      <c r="F6" s="46"/>
      <c r="G6" s="46"/>
      <c r="H6" s="46"/>
      <c r="I6" s="46"/>
      <c r="J6" s="46"/>
      <c r="K6" s="46"/>
      <c r="L6" s="46"/>
      <c r="M6" s="46"/>
      <c r="N6" s="46"/>
      <c r="O6" s="46"/>
    </row>
    <row r="7" spans="1:15">
      <c r="A7" s="46"/>
      <c r="B7" s="651" t="s">
        <v>263</v>
      </c>
      <c r="C7" s="651"/>
      <c r="D7" s="651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</row>
    <row r="8" spans="1:15" ht="15.75" customHeight="1">
      <c r="A8" s="46"/>
      <c r="B8" s="46"/>
      <c r="C8" s="226"/>
      <c r="D8" s="22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</row>
    <row r="9" spans="1:15" ht="18">
      <c r="A9" s="46"/>
      <c r="B9" s="632" t="s">
        <v>8</v>
      </c>
      <c r="C9" s="532"/>
      <c r="D9" s="47" t="s">
        <v>505</v>
      </c>
      <c r="E9" s="47" t="s">
        <v>506</v>
      </c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>
      <c r="A10" s="46"/>
      <c r="B10" s="47" t="s">
        <v>264</v>
      </c>
      <c r="C10" s="47" t="s">
        <v>88</v>
      </c>
      <c r="D10" s="47" t="s">
        <v>266</v>
      </c>
      <c r="E10" s="47" t="s">
        <v>266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</row>
    <row r="11" spans="1:15">
      <c r="A11" s="46"/>
      <c r="B11" s="47">
        <f>'Potencia Disponible Arrastre OK'!B10</f>
        <v>1</v>
      </c>
      <c r="C11" s="70">
        <f>'Potencia Disponible Arrastre OK'!B272</f>
        <v>0.51439999999999997</v>
      </c>
      <c r="D11" s="70">
        <f>(27*('Resistencia de la RED'!$E$4)*('Resistencia de la RED'!$E$6^2)*('Resistencia de la RED'!C11^1.45))/1000</f>
        <v>0.43664128534237878</v>
      </c>
      <c r="E11" s="70">
        <f>(27*($E$5)*($E$6^2)*('Resistencia de la RED'!C11^1.45))/1000</f>
        <v>0.39937023768812874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</row>
    <row r="12" spans="1:15">
      <c r="A12" s="46"/>
      <c r="B12" s="47">
        <f>'Potencia Disponible Arrastre OK'!B11</f>
        <v>1.5</v>
      </c>
      <c r="C12" s="70">
        <f>'Potencia Disponible Arrastre OK'!B273</f>
        <v>0.77159999999999995</v>
      </c>
      <c r="D12" s="70">
        <f>(27*('Resistencia de la RED'!$E$4)*('Resistencia de la RED'!$E$6^2)*('Resistencia de la RED'!C12^1.45))/1000</f>
        <v>0.78606257987739081</v>
      </c>
      <c r="E12" s="70">
        <f>(27*($E$5)*($E$6^2)*('Resistencia de la RED'!C12^1.45))/1000</f>
        <v>0.71896545265347211</v>
      </c>
      <c r="F12" s="46"/>
      <c r="G12" s="46"/>
      <c r="H12" s="46"/>
      <c r="I12" s="46"/>
      <c r="J12" s="46"/>
      <c r="K12" s="46"/>
      <c r="L12" s="46"/>
      <c r="M12" s="46"/>
      <c r="N12" s="46"/>
      <c r="O12" s="46"/>
    </row>
    <row r="13" spans="1:15">
      <c r="A13" s="46"/>
      <c r="B13" s="47">
        <f>'Potencia Disponible Arrastre OK'!B12</f>
        <v>2</v>
      </c>
      <c r="C13" s="70">
        <f>'Potencia Disponible Arrastre OK'!B274</f>
        <v>1.0287999999999999</v>
      </c>
      <c r="D13" s="70">
        <f>(27*('Resistencia de la RED'!$E$4)*('Resistencia de la RED'!$E$6^2)*('Resistencia de la RED'!C13^1.45))/1000</f>
        <v>1.1929391470773452</v>
      </c>
      <c r="E13" s="70">
        <f>(27*($E$5)*($E$6^2)*('Resistencia de la RED'!C13^1.45))/1000</f>
        <v>1.0911116440631108</v>
      </c>
      <c r="F13" s="46"/>
      <c r="G13" s="46"/>
      <c r="H13" s="46"/>
      <c r="I13" s="46"/>
      <c r="J13" s="46"/>
      <c r="K13" s="46"/>
      <c r="L13" s="46"/>
      <c r="M13" s="46"/>
      <c r="N13" s="46"/>
      <c r="O13" s="46"/>
    </row>
    <row r="14" spans="1:15">
      <c r="A14" s="46"/>
      <c r="B14" s="47">
        <f>'Potencia Disponible Arrastre OK'!B13</f>
        <v>2.5</v>
      </c>
      <c r="C14" s="70">
        <f>'Potencia Disponible Arrastre OK'!B275</f>
        <v>1.286</v>
      </c>
      <c r="D14" s="70">
        <f>(27*('Resistencia de la RED'!$E$4)*('Resistencia de la RED'!$E$6^2)*('Resistencia de la RED'!C14^1.45))/1000</f>
        <v>1.6486854656491878</v>
      </c>
      <c r="E14" s="70">
        <f>(27*($E$5)*($E$6^2)*('Resistencia de la RED'!C14^1.45))/1000</f>
        <v>1.5079561378924284</v>
      </c>
      <c r="F14" s="46"/>
      <c r="G14" s="46"/>
      <c r="H14" s="46"/>
      <c r="I14" s="46"/>
      <c r="J14" s="46"/>
      <c r="K14" s="46"/>
      <c r="L14" s="46"/>
      <c r="M14" s="46"/>
      <c r="N14" s="46"/>
      <c r="O14" s="46"/>
    </row>
    <row r="15" spans="1:15">
      <c r="A15" s="46"/>
      <c r="B15" s="47">
        <f>'Potencia Disponible Arrastre OK'!B14</f>
        <v>3</v>
      </c>
      <c r="C15" s="70">
        <f>'Potencia Disponible Arrastre OK'!B276</f>
        <v>1.5432000000000001</v>
      </c>
      <c r="D15" s="70">
        <f>(27*('Resistencia de la RED'!$E$4)*('Resistencia de la RED'!$E$6^2)*('Resistencia de la RED'!C15^1.45))/1000</f>
        <v>2.1475862568814672</v>
      </c>
      <c r="E15" s="70">
        <f>(27*($E$5)*($E$6^2)*('Resistencia de la RED'!C15^1.45))/1000</f>
        <v>1.9642715030805786</v>
      </c>
      <c r="F15" s="46"/>
      <c r="G15" s="46"/>
      <c r="H15" s="46"/>
      <c r="I15" s="46"/>
      <c r="J15" s="46"/>
      <c r="K15" s="46"/>
      <c r="L15" s="46"/>
      <c r="M15" s="46"/>
      <c r="N15" s="46"/>
      <c r="O15" s="46"/>
    </row>
    <row r="16" spans="1:15">
      <c r="A16" s="46"/>
      <c r="B16" s="47">
        <f>'Potencia Disponible Arrastre OK'!B15</f>
        <v>3.5</v>
      </c>
      <c r="C16" s="70">
        <f>'Potencia Disponible Arrastre OK'!B277</f>
        <v>1.8004</v>
      </c>
      <c r="D16" s="70">
        <f>(27*('Resistencia de la RED'!$E$4)*('Resistencia de la RED'!$E$6^2)*('Resistencia de la RED'!C16^1.45))/1000</f>
        <v>2.6854895148627609</v>
      </c>
      <c r="E16" s="70">
        <f>(27*($E$5)*($E$6^2)*('Resistencia de la RED'!C16^1.45))/1000</f>
        <v>2.4562601427364958</v>
      </c>
      <c r="F16" s="46"/>
      <c r="G16" s="46"/>
      <c r="H16" s="46"/>
      <c r="I16" s="46"/>
      <c r="J16" s="46"/>
      <c r="K16" s="46"/>
      <c r="L16" s="46"/>
      <c r="M16" s="46"/>
      <c r="N16" s="46"/>
      <c r="O16" s="46"/>
    </row>
    <row r="17" spans="1:15">
      <c r="A17" s="46"/>
      <c r="B17" s="47">
        <f>'Potencia Disponible Arrastre OK'!B16</f>
        <v>4</v>
      </c>
      <c r="C17" s="70">
        <f>'Potencia Disponible Arrastre OK'!B278</f>
        <v>2.0575999999999999</v>
      </c>
      <c r="D17" s="70">
        <f>(27*('Resistencia de la RED'!$E$4)*('Resistencia de la RED'!$E$6^2)*('Resistencia de la RED'!C17^1.45))/1000</f>
        <v>3.2592057975318118</v>
      </c>
      <c r="E17" s="70">
        <f>(27*($E$5)*($E$6^2)*('Resistencia de la RED'!C17^1.45))/1000</f>
        <v>2.9810048608073649</v>
      </c>
      <c r="F17" s="46"/>
      <c r="G17" s="46"/>
      <c r="H17" s="46"/>
      <c r="I17" s="46"/>
      <c r="J17" s="46"/>
      <c r="K17" s="46"/>
      <c r="L17" s="46"/>
      <c r="M17" s="46"/>
      <c r="N17" s="46"/>
      <c r="O17" s="46"/>
    </row>
    <row r="18" spans="1:15">
      <c r="A18" s="46"/>
      <c r="B18" s="47">
        <f>'Potencia Disponible Arrastre OK'!B17</f>
        <v>4.5</v>
      </c>
      <c r="C18" s="70">
        <f>'Potencia Disponible Arrastre OK'!B279</f>
        <v>2.3148</v>
      </c>
      <c r="D18" s="70">
        <f>(27*('Resistencia de la RED'!$E$4)*('Resistencia de la RED'!$E$6^2)*('Resistencia de la RED'!C18^1.45))/1000</f>
        <v>3.8661877615850591</v>
      </c>
      <c r="E18" s="70">
        <f>(27*($E$5)*($E$6^2)*('Resistencia de la RED'!C18^1.45))/1000</f>
        <v>3.5361757514075833</v>
      </c>
      <c r="F18" s="46"/>
      <c r="G18" s="46"/>
      <c r="H18" s="46"/>
      <c r="I18" s="46"/>
      <c r="J18" s="46"/>
      <c r="K18" s="46"/>
      <c r="L18" s="46"/>
      <c r="M18" s="46"/>
      <c r="N18" s="46"/>
      <c r="O18" s="46"/>
    </row>
    <row r="19" spans="1:15">
      <c r="A19" s="46"/>
      <c r="B19" s="47">
        <f>'Potencia Disponible Arrastre OK'!B18</f>
        <v>5</v>
      </c>
      <c r="C19" s="70">
        <f>'Potencia Disponible Arrastre OK'!B280</f>
        <v>2.5720000000000001</v>
      </c>
      <c r="D19" s="70">
        <f>(27*('Resistencia de la RED'!$E$4)*('Resistencia de la RED'!$E$6^2)*('Resistencia de la RED'!C19^1.45))/1000</f>
        <v>4.5043414336053118</v>
      </c>
      <c r="E19" s="70">
        <f>(27*($E$5)*($E$6^2)*('Resistencia de la RED'!C19^1.45))/1000</f>
        <v>4.1198575795618781</v>
      </c>
      <c r="F19" s="46"/>
      <c r="G19" s="46"/>
      <c r="H19" s="46"/>
      <c r="I19" s="46"/>
      <c r="J19" s="46"/>
      <c r="K19" s="46"/>
      <c r="L19" s="46"/>
      <c r="M19" s="46"/>
      <c r="N19" s="46"/>
      <c r="O19" s="46"/>
    </row>
    <row r="20" spans="1:15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</row>
    <row r="21" spans="1:15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</row>
    <row r="22" spans="1:15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</row>
    <row r="23" spans="1:15" ht="26.25">
      <c r="A23" s="46"/>
      <c r="B23" s="624" t="s">
        <v>267</v>
      </c>
      <c r="C23" s="624"/>
      <c r="D23" s="624"/>
      <c r="E23" s="624"/>
      <c r="F23" s="624"/>
      <c r="G23" s="624"/>
      <c r="H23" s="624"/>
      <c r="I23" s="624"/>
      <c r="J23" s="624"/>
      <c r="K23" s="624"/>
      <c r="L23" s="624"/>
      <c r="M23" s="624"/>
      <c r="N23" s="46"/>
      <c r="O23" s="46"/>
    </row>
    <row r="24" spans="1:15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</row>
    <row r="25" spans="1:15">
      <c r="A25" s="46"/>
      <c r="B25" s="46"/>
      <c r="C25" s="46"/>
      <c r="D25" s="46"/>
      <c r="E25" s="46"/>
      <c r="F25" s="651" t="s">
        <v>268</v>
      </c>
      <c r="G25" s="651"/>
      <c r="H25" s="651"/>
      <c r="I25" s="213">
        <f>Lima</f>
        <v>28.698</v>
      </c>
      <c r="J25" s="46"/>
      <c r="K25" s="46"/>
      <c r="L25" s="46"/>
      <c r="M25" s="46"/>
      <c r="N25" s="46"/>
      <c r="O25" s="46"/>
    </row>
    <row r="26" spans="1:15">
      <c r="A26" s="46"/>
      <c r="B26" s="46"/>
      <c r="C26" s="46"/>
      <c r="D26" s="46"/>
      <c r="E26" s="46"/>
      <c r="F26" s="651" t="s">
        <v>269</v>
      </c>
      <c r="G26" s="651"/>
      <c r="H26" s="651"/>
      <c r="I26" s="213">
        <f>Burlon</f>
        <v>33.299999999999997</v>
      </c>
      <c r="J26" s="46"/>
      <c r="K26" s="46"/>
      <c r="L26" s="46"/>
      <c r="M26" s="46"/>
      <c r="N26" s="46"/>
      <c r="O26" s="46"/>
    </row>
    <row r="27" spans="1:15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</row>
    <row r="28" spans="1:15" ht="18">
      <c r="A28" s="46"/>
      <c r="B28" s="632" t="s">
        <v>8</v>
      </c>
      <c r="C28" s="532"/>
      <c r="D28" s="47" t="s">
        <v>507</v>
      </c>
      <c r="E28" s="47" t="s">
        <v>506</v>
      </c>
      <c r="F28" s="46"/>
      <c r="G28" s="46"/>
      <c r="H28" s="46"/>
      <c r="I28" s="46"/>
      <c r="J28" s="632" t="s">
        <v>8</v>
      </c>
      <c r="K28" s="532"/>
      <c r="L28" s="47" t="s">
        <v>507</v>
      </c>
      <c r="M28" s="47" t="s">
        <v>508</v>
      </c>
      <c r="N28" s="46"/>
      <c r="O28" s="46"/>
    </row>
    <row r="29" spans="1:15">
      <c r="A29" s="46"/>
      <c r="B29" s="47" t="s">
        <v>264</v>
      </c>
      <c r="C29" s="47" t="s">
        <v>88</v>
      </c>
      <c r="D29" s="47" t="s">
        <v>266</v>
      </c>
      <c r="E29" s="47" t="s">
        <v>266</v>
      </c>
      <c r="F29" s="46"/>
      <c r="G29" s="46"/>
      <c r="H29" s="46"/>
      <c r="I29" s="46"/>
      <c r="J29" s="47" t="s">
        <v>264</v>
      </c>
      <c r="K29" s="47" t="s">
        <v>88</v>
      </c>
      <c r="L29" s="47" t="s">
        <v>266</v>
      </c>
      <c r="M29" s="47" t="s">
        <v>266</v>
      </c>
      <c r="N29" s="46"/>
      <c r="O29" s="46"/>
    </row>
    <row r="30" spans="1:15">
      <c r="A30" s="46"/>
      <c r="B30" s="47">
        <f>B11</f>
        <v>1</v>
      </c>
      <c r="C30" s="70">
        <f>C11</f>
        <v>0.51439999999999997</v>
      </c>
      <c r="D30" s="70">
        <f t="shared" ref="D30:D38" si="0">(25*$E$4*$I$25^2*C30^2)/1000</f>
        <v>0.11592349328944201</v>
      </c>
      <c r="E30" s="70">
        <f t="shared" ref="E30:E38" si="1">(25*$E$5*$I$25^2*$C30^2)/1000</f>
        <v>0.10602843712394434</v>
      </c>
      <c r="F30" s="46"/>
      <c r="G30" s="46"/>
      <c r="H30" s="46"/>
      <c r="I30" s="46"/>
      <c r="J30" s="47">
        <f>B30</f>
        <v>1</v>
      </c>
      <c r="K30" s="70">
        <f>C30</f>
        <v>0.51439999999999997</v>
      </c>
      <c r="L30" s="70">
        <f t="shared" ref="L30:L38" si="2">(25*$E$4*$I$26^2*K30^2)/1000</f>
        <v>0.15608338115255999</v>
      </c>
      <c r="M30" s="70">
        <f t="shared" ref="M30:M38" si="3">(25*$E$5*$I$26^2*$K30^2)/1000</f>
        <v>0.14276033696902152</v>
      </c>
      <c r="N30" s="46"/>
      <c r="O30" s="46"/>
    </row>
    <row r="31" spans="1:15">
      <c r="A31" s="46"/>
      <c r="B31" s="47">
        <f t="shared" ref="B31:C37" si="4">B12</f>
        <v>1.5</v>
      </c>
      <c r="C31" s="70">
        <f t="shared" si="4"/>
        <v>0.77159999999999995</v>
      </c>
      <c r="D31" s="70">
        <f t="shared" si="0"/>
        <v>0.26082785990124457</v>
      </c>
      <c r="E31" s="70">
        <f t="shared" si="1"/>
        <v>0.23856398352887476</v>
      </c>
      <c r="F31" s="46"/>
      <c r="G31" s="46"/>
      <c r="H31" s="46"/>
      <c r="I31" s="46"/>
      <c r="J31" s="47">
        <f t="shared" ref="J31:J37" si="5">B31</f>
        <v>1.5</v>
      </c>
      <c r="K31" s="70">
        <f t="shared" ref="K31:K38" si="6">C31</f>
        <v>0.77159999999999995</v>
      </c>
      <c r="L31" s="70">
        <f t="shared" si="2"/>
        <v>0.35118760759325995</v>
      </c>
      <c r="M31" s="70">
        <f t="shared" si="3"/>
        <v>0.32121075818029837</v>
      </c>
      <c r="N31" s="46"/>
      <c r="O31" s="46"/>
    </row>
    <row r="32" spans="1:15">
      <c r="A32" s="46"/>
      <c r="B32" s="47">
        <f t="shared" si="4"/>
        <v>2</v>
      </c>
      <c r="C32" s="70">
        <f t="shared" si="4"/>
        <v>1.0287999999999999</v>
      </c>
      <c r="D32" s="70">
        <f t="shared" si="0"/>
        <v>0.46369397315776806</v>
      </c>
      <c r="E32" s="70">
        <f t="shared" si="1"/>
        <v>0.42411374849577738</v>
      </c>
      <c r="F32" s="46"/>
      <c r="G32" s="46"/>
      <c r="H32" s="46"/>
      <c r="I32" s="46"/>
      <c r="J32" s="47">
        <f t="shared" si="5"/>
        <v>2</v>
      </c>
      <c r="K32" s="70">
        <f t="shared" si="6"/>
        <v>1.0287999999999999</v>
      </c>
      <c r="L32" s="70">
        <f t="shared" si="2"/>
        <v>0.62433352461023994</v>
      </c>
      <c r="M32" s="70">
        <f t="shared" si="3"/>
        <v>0.57104134787608607</v>
      </c>
      <c r="N32" s="46"/>
      <c r="O32" s="46"/>
    </row>
    <row r="33" spans="1:15">
      <c r="A33" s="46"/>
      <c r="B33" s="47">
        <f t="shared" si="4"/>
        <v>2.5</v>
      </c>
      <c r="C33" s="70">
        <f t="shared" si="4"/>
        <v>1.286</v>
      </c>
      <c r="D33" s="70">
        <f t="shared" si="0"/>
        <v>0.72452183305901285</v>
      </c>
      <c r="E33" s="70">
        <f t="shared" si="1"/>
        <v>0.6626777320246523</v>
      </c>
      <c r="F33" s="46"/>
      <c r="G33" s="46"/>
      <c r="H33" s="46"/>
      <c r="I33" s="46"/>
      <c r="J33" s="47">
        <f t="shared" si="5"/>
        <v>2.5</v>
      </c>
      <c r="K33" s="70">
        <f t="shared" si="6"/>
        <v>1.286</v>
      </c>
      <c r="L33" s="70">
        <f t="shared" si="2"/>
        <v>0.97552113220350012</v>
      </c>
      <c r="M33" s="70">
        <f t="shared" si="3"/>
        <v>0.89225210605638461</v>
      </c>
      <c r="N33" s="46"/>
      <c r="O33" s="46"/>
    </row>
    <row r="34" spans="1:15">
      <c r="A34" s="46"/>
      <c r="B34" s="47">
        <f t="shared" si="4"/>
        <v>3</v>
      </c>
      <c r="C34" s="70">
        <f t="shared" si="4"/>
        <v>1.5432000000000001</v>
      </c>
      <c r="D34" s="70">
        <f t="shared" si="0"/>
        <v>1.0433114396049785</v>
      </c>
      <c r="E34" s="70">
        <f t="shared" si="1"/>
        <v>0.95425593411549947</v>
      </c>
      <c r="F34" s="46"/>
      <c r="G34" s="46"/>
      <c r="H34" s="46"/>
      <c r="I34" s="46"/>
      <c r="J34" s="47">
        <f t="shared" si="5"/>
        <v>3</v>
      </c>
      <c r="K34" s="70">
        <f t="shared" si="6"/>
        <v>1.5432000000000001</v>
      </c>
      <c r="L34" s="70">
        <f t="shared" si="2"/>
        <v>1.4047504303730403</v>
      </c>
      <c r="M34" s="70">
        <f t="shared" si="3"/>
        <v>1.2848430327211942</v>
      </c>
      <c r="N34" s="46"/>
      <c r="O34" s="46"/>
    </row>
    <row r="35" spans="1:15">
      <c r="A35" s="46"/>
      <c r="B35" s="47">
        <f t="shared" si="4"/>
        <v>3.5</v>
      </c>
      <c r="C35" s="70">
        <f t="shared" si="4"/>
        <v>1.8004</v>
      </c>
      <c r="D35" s="70">
        <f t="shared" si="0"/>
        <v>1.4200627927956651</v>
      </c>
      <c r="E35" s="70">
        <f t="shared" si="1"/>
        <v>1.2988483547683183</v>
      </c>
      <c r="F35" s="46"/>
      <c r="G35" s="46"/>
      <c r="H35" s="46"/>
      <c r="I35" s="46"/>
      <c r="J35" s="47">
        <f t="shared" si="5"/>
        <v>3.5</v>
      </c>
      <c r="K35" s="70">
        <f t="shared" si="6"/>
        <v>1.8004</v>
      </c>
      <c r="L35" s="70">
        <f t="shared" si="2"/>
        <v>1.91202141911886</v>
      </c>
      <c r="M35" s="70">
        <f t="shared" si="3"/>
        <v>1.7488141278705138</v>
      </c>
      <c r="N35" s="46"/>
      <c r="O35" s="46"/>
    </row>
    <row r="36" spans="1:15">
      <c r="A36" s="46"/>
      <c r="B36" s="47">
        <f t="shared" si="4"/>
        <v>4</v>
      </c>
      <c r="C36" s="70">
        <f t="shared" si="4"/>
        <v>2.0575999999999999</v>
      </c>
      <c r="D36" s="70">
        <f t="shared" si="0"/>
        <v>1.8547758926310722</v>
      </c>
      <c r="E36" s="70">
        <f t="shared" si="1"/>
        <v>1.6964549939831095</v>
      </c>
      <c r="F36" s="46"/>
      <c r="G36" s="46"/>
      <c r="H36" s="46"/>
      <c r="I36" s="46"/>
      <c r="J36" s="47">
        <f t="shared" si="5"/>
        <v>4</v>
      </c>
      <c r="K36" s="70">
        <f t="shared" si="6"/>
        <v>2.0575999999999999</v>
      </c>
      <c r="L36" s="70">
        <f t="shared" si="2"/>
        <v>2.4973340984409598</v>
      </c>
      <c r="M36" s="70">
        <f t="shared" si="3"/>
        <v>2.2841653915043443</v>
      </c>
      <c r="N36" s="46"/>
      <c r="O36" s="46"/>
    </row>
    <row r="37" spans="1:15">
      <c r="A37" s="46"/>
      <c r="B37" s="47">
        <f t="shared" si="4"/>
        <v>4.5</v>
      </c>
      <c r="C37" s="70">
        <f t="shared" si="4"/>
        <v>2.3148</v>
      </c>
      <c r="D37" s="70">
        <f t="shared" si="0"/>
        <v>2.3474507391112009</v>
      </c>
      <c r="E37" s="70">
        <f t="shared" si="1"/>
        <v>2.1470758517598734</v>
      </c>
      <c r="F37" s="46"/>
      <c r="G37" s="46"/>
      <c r="H37" s="46"/>
      <c r="I37" s="46"/>
      <c r="J37" s="47">
        <f t="shared" si="5"/>
        <v>4.5</v>
      </c>
      <c r="K37" s="70">
        <f t="shared" si="6"/>
        <v>2.3148</v>
      </c>
      <c r="L37" s="70">
        <f t="shared" si="2"/>
        <v>3.1606884683393401</v>
      </c>
      <c r="M37" s="70">
        <f t="shared" si="3"/>
        <v>2.8908968236226862</v>
      </c>
      <c r="N37" s="46"/>
      <c r="O37" s="46"/>
    </row>
    <row r="38" spans="1:15">
      <c r="A38" s="46"/>
      <c r="B38" s="47">
        <f>B19</f>
        <v>5</v>
      </c>
      <c r="C38" s="70">
        <f>C19</f>
        <v>2.5720000000000001</v>
      </c>
      <c r="D38" s="70">
        <f t="shared" si="0"/>
        <v>2.8980873322360514</v>
      </c>
      <c r="E38" s="70">
        <f t="shared" si="1"/>
        <v>2.6507109280986092</v>
      </c>
      <c r="F38" s="46"/>
      <c r="G38" s="46"/>
      <c r="H38" s="46"/>
      <c r="I38" s="46"/>
      <c r="J38" s="47">
        <f>B38</f>
        <v>5</v>
      </c>
      <c r="K38" s="70">
        <f t="shared" si="6"/>
        <v>2.5720000000000001</v>
      </c>
      <c r="L38" s="70">
        <f t="shared" si="2"/>
        <v>3.9020845288140005</v>
      </c>
      <c r="M38" s="70">
        <f t="shared" si="3"/>
        <v>3.5690084242255384</v>
      </c>
      <c r="N38" s="46"/>
      <c r="O38" s="46"/>
    </row>
    <row r="39" spans="1:15" s="255" customFormat="1">
      <c r="A39" s="352"/>
      <c r="B39" s="50"/>
      <c r="C39" s="232"/>
      <c r="D39" s="232"/>
      <c r="E39" s="232"/>
      <c r="F39" s="352"/>
      <c r="G39" s="352"/>
      <c r="H39" s="352"/>
      <c r="I39" s="352"/>
      <c r="J39" s="50"/>
      <c r="K39" s="232"/>
      <c r="L39" s="232"/>
      <c r="M39" s="232"/>
      <c r="N39" s="352"/>
      <c r="O39" s="352"/>
    </row>
    <row r="40" spans="1:15" s="255" customFormat="1">
      <c r="A40" s="352"/>
      <c r="B40" s="50"/>
      <c r="C40" s="232"/>
      <c r="D40" s="232"/>
      <c r="E40" s="232"/>
      <c r="F40" s="352"/>
      <c r="G40" s="352"/>
      <c r="H40" s="352"/>
      <c r="I40" s="352"/>
      <c r="J40" s="50"/>
      <c r="K40" s="232"/>
      <c r="L40" s="232"/>
      <c r="M40" s="232"/>
      <c r="N40" s="352"/>
      <c r="O40" s="352"/>
    </row>
    <row r="41" spans="1:15" s="255" customFormat="1">
      <c r="A41" s="352"/>
      <c r="B41" s="50"/>
      <c r="C41" s="232"/>
      <c r="D41" s="232"/>
      <c r="E41" s="232"/>
      <c r="F41" s="352"/>
      <c r="G41" s="352"/>
      <c r="H41" s="352"/>
      <c r="I41" s="352"/>
      <c r="J41" s="50"/>
      <c r="K41" s="232"/>
      <c r="L41" s="232"/>
      <c r="M41" s="232"/>
      <c r="N41" s="352"/>
      <c r="O41" s="352"/>
    </row>
    <row r="42" spans="1:15" s="255" customFormat="1">
      <c r="A42" s="352"/>
      <c r="B42" s="50"/>
      <c r="C42" s="232"/>
      <c r="D42" s="232"/>
      <c r="E42" s="232"/>
      <c r="F42" s="352"/>
      <c r="G42" s="352"/>
      <c r="H42" s="352"/>
      <c r="I42" s="352"/>
      <c r="J42" s="50"/>
      <c r="K42" s="232"/>
      <c r="L42" s="232"/>
      <c r="M42" s="232"/>
      <c r="N42" s="352"/>
      <c r="O42" s="352"/>
    </row>
    <row r="43" spans="1:15" s="255" customFormat="1">
      <c r="A43" s="352"/>
      <c r="B43" s="50"/>
      <c r="C43" s="232"/>
      <c r="D43" s="232"/>
      <c r="E43" s="232"/>
      <c r="F43" s="352"/>
      <c r="G43" s="352"/>
      <c r="H43" s="352"/>
      <c r="I43" s="352"/>
      <c r="J43" s="50"/>
      <c r="K43" s="232"/>
      <c r="L43" s="232"/>
      <c r="M43" s="232"/>
      <c r="N43" s="352"/>
      <c r="O43" s="352"/>
    </row>
    <row r="44" spans="1:15" s="255" customFormat="1">
      <c r="A44" s="352"/>
      <c r="B44" s="50"/>
      <c r="C44" s="232"/>
      <c r="D44" s="232"/>
      <c r="E44" s="232"/>
      <c r="F44" s="352"/>
      <c r="G44" s="352"/>
      <c r="H44" s="352"/>
      <c r="I44" s="352"/>
      <c r="J44" s="50"/>
      <c r="K44" s="232"/>
      <c r="L44" s="232"/>
      <c r="M44" s="232"/>
      <c r="N44" s="352"/>
      <c r="O44" s="352"/>
    </row>
    <row r="45" spans="1:15" s="255" customFormat="1">
      <c r="A45" s="352"/>
      <c r="B45" s="50"/>
      <c r="C45" s="232"/>
      <c r="D45" s="232"/>
      <c r="E45" s="232"/>
      <c r="F45" s="352"/>
      <c r="G45" s="352"/>
      <c r="H45" s="352"/>
      <c r="I45" s="352"/>
      <c r="J45" s="50"/>
      <c r="K45" s="232"/>
      <c r="L45" s="232"/>
      <c r="M45" s="232"/>
      <c r="N45" s="352"/>
      <c r="O45" s="352"/>
    </row>
    <row r="46" spans="1:15" s="255" customFormat="1">
      <c r="A46" s="352"/>
      <c r="B46" s="50"/>
      <c r="C46" s="232"/>
      <c r="D46" s="232"/>
      <c r="E46" s="232"/>
      <c r="F46" s="352"/>
      <c r="G46" s="352"/>
      <c r="H46" s="352"/>
      <c r="I46" s="352"/>
      <c r="J46" s="50"/>
      <c r="K46" s="232"/>
      <c r="L46" s="232"/>
      <c r="M46" s="232"/>
      <c r="N46" s="352"/>
      <c r="O46" s="352"/>
    </row>
    <row r="47" spans="1:15" s="255" customFormat="1">
      <c r="A47" s="352"/>
      <c r="B47" s="50"/>
      <c r="C47" s="232"/>
      <c r="D47" s="232"/>
      <c r="E47" s="232"/>
      <c r="F47" s="352"/>
      <c r="G47" s="352"/>
      <c r="H47" s="352"/>
      <c r="I47" s="352"/>
      <c r="J47" s="50"/>
      <c r="K47" s="232"/>
      <c r="L47" s="232"/>
      <c r="M47" s="232"/>
      <c r="N47" s="352"/>
      <c r="O47" s="352"/>
    </row>
    <row r="48" spans="1:15" s="255" customFormat="1">
      <c r="A48" s="352"/>
      <c r="B48" s="50"/>
      <c r="C48" s="232"/>
      <c r="D48" s="232"/>
      <c r="E48" s="232"/>
      <c r="F48" s="352"/>
      <c r="G48" s="352"/>
      <c r="H48" s="352"/>
      <c r="I48" s="352"/>
      <c r="J48" s="50"/>
      <c r="K48" s="232"/>
      <c r="L48" s="232"/>
      <c r="M48" s="232"/>
      <c r="N48" s="352"/>
      <c r="O48" s="352"/>
    </row>
    <row r="49" spans="1:15" s="255" customFormat="1">
      <c r="A49" s="352"/>
      <c r="B49" s="50"/>
      <c r="C49" s="232"/>
      <c r="D49" s="232"/>
      <c r="E49" s="232"/>
      <c r="F49" s="352"/>
      <c r="G49" s="352"/>
      <c r="H49" s="352"/>
      <c r="I49" s="352"/>
      <c r="J49" s="50"/>
      <c r="K49" s="232"/>
      <c r="L49" s="232"/>
      <c r="M49" s="232"/>
      <c r="N49" s="352"/>
      <c r="O49" s="352"/>
    </row>
    <row r="50" spans="1:15" s="255" customFormat="1">
      <c r="A50" s="352"/>
      <c r="B50" s="50"/>
      <c r="C50" s="232"/>
      <c r="D50" s="232"/>
      <c r="E50" s="232"/>
      <c r="F50" s="352"/>
      <c r="G50" s="352"/>
      <c r="H50" s="352"/>
      <c r="I50" s="352"/>
      <c r="J50" s="50"/>
      <c r="K50" s="232"/>
      <c r="L50" s="232"/>
      <c r="M50" s="232"/>
      <c r="N50" s="352"/>
      <c r="O50" s="352"/>
    </row>
    <row r="51" spans="1:15" s="255" customFormat="1">
      <c r="A51" s="352"/>
      <c r="B51" s="50"/>
      <c r="C51" s="232"/>
      <c r="D51" s="232"/>
      <c r="E51" s="232"/>
      <c r="F51" s="352"/>
      <c r="G51" s="352"/>
      <c r="H51" s="352"/>
      <c r="I51" s="352"/>
      <c r="J51" s="50"/>
      <c r="K51" s="232"/>
      <c r="L51" s="232"/>
      <c r="M51" s="232"/>
      <c r="N51" s="352"/>
      <c r="O51" s="352"/>
    </row>
    <row r="52" spans="1:15" s="255" customFormat="1">
      <c r="A52" s="352"/>
      <c r="B52" s="50"/>
      <c r="C52" s="232"/>
      <c r="D52" s="232"/>
      <c r="E52" s="232"/>
      <c r="F52" s="352"/>
      <c r="G52" s="352"/>
      <c r="H52" s="352"/>
      <c r="I52" s="352"/>
      <c r="J52" s="50"/>
      <c r="K52" s="232"/>
      <c r="L52" s="232"/>
      <c r="M52" s="232"/>
      <c r="N52" s="352"/>
      <c r="O52" s="352"/>
    </row>
    <row r="53" spans="1:15" s="255" customFormat="1">
      <c r="A53" s="352"/>
      <c r="B53" s="50"/>
      <c r="C53" s="232"/>
      <c r="D53" s="232"/>
      <c r="E53" s="232"/>
      <c r="F53" s="352"/>
      <c r="G53" s="352"/>
      <c r="H53" s="352"/>
      <c r="I53" s="352"/>
      <c r="J53" s="50"/>
      <c r="K53" s="232"/>
      <c r="L53" s="232"/>
      <c r="M53" s="232"/>
      <c r="N53" s="352"/>
      <c r="O53" s="352"/>
    </row>
    <row r="54" spans="1:15" s="255" customFormat="1">
      <c r="A54" s="352"/>
      <c r="B54" s="50"/>
      <c r="C54" s="232"/>
      <c r="D54" s="232"/>
      <c r="E54" s="232"/>
      <c r="F54" s="352"/>
      <c r="G54" s="352"/>
      <c r="H54" s="352"/>
      <c r="I54" s="352"/>
      <c r="J54" s="50"/>
      <c r="K54" s="232"/>
      <c r="L54" s="232"/>
      <c r="M54" s="232"/>
      <c r="N54" s="352"/>
      <c r="O54" s="352"/>
    </row>
    <row r="55" spans="1:15" s="255" customFormat="1">
      <c r="A55" s="352"/>
      <c r="B55" s="50"/>
      <c r="C55" s="232"/>
      <c r="D55" s="232"/>
      <c r="E55" s="232"/>
      <c r="F55" s="352"/>
      <c r="G55" s="352"/>
      <c r="H55" s="352"/>
      <c r="I55" s="352"/>
      <c r="J55" s="50"/>
      <c r="K55" s="232"/>
      <c r="L55" s="232"/>
      <c r="M55" s="232"/>
      <c r="N55" s="352"/>
      <c r="O55" s="352"/>
    </row>
    <row r="56" spans="1:15" s="255" customFormat="1">
      <c r="A56" s="352"/>
      <c r="B56" s="50"/>
      <c r="C56" s="232"/>
      <c r="D56" s="232"/>
      <c r="E56" s="232"/>
      <c r="F56" s="352"/>
      <c r="G56" s="352"/>
      <c r="H56" s="352"/>
      <c r="I56" s="352"/>
      <c r="J56" s="50"/>
      <c r="K56" s="232"/>
      <c r="L56" s="232"/>
      <c r="M56" s="232"/>
      <c r="N56" s="352"/>
      <c r="O56" s="352"/>
    </row>
    <row r="57" spans="1:15" s="255" customFormat="1">
      <c r="A57" s="352"/>
      <c r="B57" s="50"/>
      <c r="C57" s="232"/>
      <c r="D57" s="232"/>
      <c r="E57" s="232"/>
      <c r="F57" s="352"/>
      <c r="G57" s="352"/>
      <c r="H57" s="352"/>
      <c r="I57" s="352"/>
      <c r="J57" s="50"/>
      <c r="K57" s="232"/>
      <c r="L57" s="232"/>
      <c r="M57" s="232"/>
      <c r="N57" s="352"/>
      <c r="O57" s="352"/>
    </row>
    <row r="58" spans="1:15" s="255" customFormat="1">
      <c r="A58" s="352"/>
      <c r="B58" s="50"/>
      <c r="C58" s="232"/>
      <c r="D58" s="232"/>
      <c r="E58" s="232"/>
      <c r="F58" s="352"/>
      <c r="G58" s="352"/>
      <c r="H58" s="352"/>
      <c r="I58" s="352"/>
      <c r="J58" s="50"/>
      <c r="K58" s="232"/>
      <c r="L58" s="232"/>
      <c r="M58" s="232"/>
      <c r="N58" s="352"/>
      <c r="O58" s="352"/>
    </row>
    <row r="59" spans="1:15" s="255" customFormat="1">
      <c r="A59" s="352"/>
      <c r="B59" s="50"/>
      <c r="C59" s="232"/>
      <c r="D59" s="232"/>
      <c r="E59" s="232"/>
      <c r="F59" s="352"/>
      <c r="G59" s="352"/>
      <c r="H59" s="352"/>
      <c r="I59" s="352"/>
      <c r="J59" s="50"/>
      <c r="K59" s="232"/>
      <c r="L59" s="232"/>
      <c r="M59" s="232"/>
      <c r="N59" s="352"/>
      <c r="O59" s="352"/>
    </row>
    <row r="60" spans="1:15" s="255" customFormat="1">
      <c r="A60" s="352"/>
      <c r="B60" s="50"/>
      <c r="C60" s="232"/>
      <c r="D60" s="232"/>
      <c r="E60" s="232"/>
      <c r="F60" s="352"/>
      <c r="G60" s="352"/>
      <c r="H60" s="352"/>
      <c r="I60" s="352"/>
      <c r="J60" s="50"/>
      <c r="K60" s="232"/>
      <c r="L60" s="232"/>
      <c r="M60" s="232"/>
      <c r="N60" s="352"/>
      <c r="O60" s="352"/>
    </row>
    <row r="61" spans="1:15" s="255" customFormat="1">
      <c r="A61" s="352"/>
      <c r="B61" s="50"/>
      <c r="C61" s="232"/>
      <c r="D61" s="232"/>
      <c r="E61" s="232"/>
      <c r="F61" s="352"/>
      <c r="G61" s="352"/>
      <c r="H61" s="352"/>
      <c r="I61" s="352"/>
      <c r="J61" s="50"/>
      <c r="K61" s="232"/>
      <c r="L61" s="232"/>
      <c r="M61" s="232"/>
      <c r="N61" s="352"/>
      <c r="O61" s="352"/>
    </row>
    <row r="62" spans="1:15" s="255" customFormat="1">
      <c r="A62" s="352"/>
      <c r="B62" s="50"/>
      <c r="C62" s="232"/>
      <c r="D62" s="232"/>
      <c r="E62" s="232"/>
      <c r="F62" s="352"/>
      <c r="G62" s="352"/>
      <c r="H62" s="352"/>
      <c r="I62" s="352"/>
      <c r="J62" s="50"/>
      <c r="K62" s="232"/>
      <c r="L62" s="232"/>
      <c r="M62" s="232"/>
      <c r="N62" s="352"/>
      <c r="O62" s="352"/>
    </row>
    <row r="63" spans="1:15" s="255" customFormat="1">
      <c r="A63" s="352"/>
      <c r="B63" s="50"/>
      <c r="C63" s="232"/>
      <c r="D63" s="232"/>
      <c r="E63" s="232"/>
      <c r="F63" s="352"/>
      <c r="G63" s="352"/>
      <c r="H63" s="352"/>
      <c r="I63" s="352"/>
      <c r="J63" s="50"/>
      <c r="K63" s="232"/>
      <c r="L63" s="232"/>
      <c r="M63" s="232"/>
      <c r="N63" s="352"/>
      <c r="O63" s="352"/>
    </row>
    <row r="64" spans="1:15" s="255" customFormat="1">
      <c r="A64" s="352"/>
      <c r="B64" s="50"/>
      <c r="C64" s="232"/>
      <c r="D64" s="232"/>
      <c r="E64" s="232"/>
      <c r="F64" s="352"/>
      <c r="G64" s="352"/>
      <c r="H64" s="352"/>
      <c r="I64" s="352"/>
      <c r="J64" s="50"/>
      <c r="K64" s="232"/>
      <c r="L64" s="232"/>
      <c r="M64" s="232"/>
      <c r="N64" s="352"/>
      <c r="O64" s="352"/>
    </row>
    <row r="65" spans="1:15" s="255" customFormat="1">
      <c r="A65" s="352"/>
      <c r="B65" s="50"/>
      <c r="C65" s="232"/>
      <c r="D65" s="232"/>
      <c r="E65" s="232"/>
      <c r="F65" s="352"/>
      <c r="G65" s="352"/>
      <c r="H65" s="352"/>
      <c r="I65" s="352"/>
      <c r="J65" s="50"/>
      <c r="K65" s="232"/>
      <c r="L65" s="232"/>
      <c r="M65" s="232"/>
      <c r="N65" s="352"/>
      <c r="O65" s="352"/>
    </row>
    <row r="66" spans="1:15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</row>
    <row r="67" spans="1:15" ht="26.25">
      <c r="A67" s="46"/>
      <c r="B67" s="624" t="s">
        <v>270</v>
      </c>
      <c r="C67" s="624"/>
      <c r="D67" s="624"/>
      <c r="E67" s="624"/>
      <c r="F67" s="624"/>
      <c r="G67" s="624"/>
      <c r="H67" s="624"/>
      <c r="I67" s="624"/>
      <c r="J67" s="624"/>
      <c r="K67" s="624"/>
      <c r="L67" s="624"/>
      <c r="M67" s="624"/>
      <c r="N67" s="46"/>
      <c r="O67" s="46"/>
    </row>
    <row r="68" spans="1:15">
      <c r="A68" s="46"/>
      <c r="B68" s="650" t="str">
        <f>B6</f>
        <v>Circunferencia Total a malla estirada (a) =</v>
      </c>
      <c r="C68" s="650"/>
      <c r="D68" s="650"/>
      <c r="E68" s="46">
        <f>E6</f>
        <v>44.64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</row>
    <row r="69" spans="1:15">
      <c r="A69" s="46"/>
      <c r="B69" s="650" t="s">
        <v>509</v>
      </c>
      <c r="C69" s="650"/>
      <c r="D69" s="650"/>
      <c r="E69" s="46">
        <f>'Dimensiones de la Red'!F47</f>
        <v>42.68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</row>
    <row r="70" spans="1:15">
      <c r="A70" s="46"/>
      <c r="B70" s="655" t="s">
        <v>510</v>
      </c>
      <c r="C70" s="655"/>
      <c r="D70" s="655"/>
      <c r="E70" s="46">
        <f>'Dimensiones de la Red'!G47</f>
        <v>41.68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</row>
    <row r="71" spans="1:15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</row>
    <row r="72" spans="1:15" ht="18">
      <c r="A72" s="46"/>
      <c r="B72" s="632" t="s">
        <v>8</v>
      </c>
      <c r="C72" s="532"/>
      <c r="D72" s="47" t="s">
        <v>507</v>
      </c>
      <c r="E72" s="47" t="s">
        <v>508</v>
      </c>
      <c r="F72" s="46"/>
      <c r="G72" s="46"/>
      <c r="H72" s="46"/>
      <c r="I72" s="46"/>
      <c r="J72" s="46"/>
      <c r="K72" s="46"/>
      <c r="L72" s="46"/>
      <c r="M72" s="46"/>
      <c r="N72" s="46"/>
      <c r="O72" s="46"/>
    </row>
    <row r="73" spans="1:15">
      <c r="A73" s="46"/>
      <c r="B73" s="47" t="s">
        <v>264</v>
      </c>
      <c r="C73" s="47" t="s">
        <v>88</v>
      </c>
      <c r="D73" s="47" t="s">
        <v>266</v>
      </c>
      <c r="E73" s="47" t="s">
        <v>266</v>
      </c>
      <c r="F73" s="46"/>
      <c r="G73" s="46"/>
      <c r="H73" s="46"/>
      <c r="I73" s="46"/>
      <c r="J73" s="46"/>
      <c r="K73" s="46"/>
      <c r="L73" s="46"/>
      <c r="M73" s="46"/>
      <c r="N73" s="46"/>
      <c r="O73" s="46"/>
    </row>
    <row r="74" spans="1:15">
      <c r="A74" s="46"/>
      <c r="B74" s="47">
        <f t="shared" ref="B74:C82" si="7">B30</f>
        <v>1</v>
      </c>
      <c r="C74" s="70">
        <f t="shared" si="7"/>
        <v>0.51439999999999997</v>
      </c>
      <c r="D74" s="70">
        <f t="shared" ref="D74:D82" si="8">(16*$E$4*$E$68*$E$69*(C74^2))/1000</f>
        <v>0.17163140908512051</v>
      </c>
      <c r="E74" s="70">
        <f>(16*$E$5*$E$68*$E$70*(C74^2))/1000</f>
        <v>0.15330311080230155</v>
      </c>
      <c r="F74" s="46"/>
      <c r="G74" s="46"/>
      <c r="H74" s="46"/>
      <c r="I74" s="46"/>
      <c r="J74" s="46"/>
      <c r="K74" s="46"/>
      <c r="L74" s="46"/>
      <c r="M74" s="46"/>
      <c r="N74" s="46"/>
      <c r="O74" s="46"/>
    </row>
    <row r="75" spans="1:15">
      <c r="A75" s="46"/>
      <c r="B75" s="47">
        <f t="shared" si="7"/>
        <v>1.5</v>
      </c>
      <c r="C75" s="70">
        <f t="shared" si="7"/>
        <v>0.77159999999999995</v>
      </c>
      <c r="D75" s="70">
        <f t="shared" si="8"/>
        <v>0.38617067044152109</v>
      </c>
      <c r="E75" s="70">
        <f>(16*$E$5*$E$68*$E$70*(C75^2))/1000</f>
        <v>0.34493199930517848</v>
      </c>
      <c r="F75" s="46"/>
      <c r="G75" s="46"/>
      <c r="H75" s="46"/>
      <c r="I75" s="46"/>
      <c r="J75" s="46"/>
      <c r="K75" s="46"/>
      <c r="L75" s="46"/>
      <c r="M75" s="46"/>
      <c r="N75" s="46"/>
      <c r="O75" s="46"/>
    </row>
    <row r="76" spans="1:15">
      <c r="A76" s="46"/>
      <c r="B76" s="47">
        <f t="shared" si="7"/>
        <v>2</v>
      </c>
      <c r="C76" s="70">
        <f t="shared" si="7"/>
        <v>1.0287999999999999</v>
      </c>
      <c r="D76" s="70">
        <f t="shared" si="8"/>
        <v>0.68652563634048203</v>
      </c>
      <c r="E76" s="70">
        <f t="shared" ref="E76:E82" si="9">(16*$E$5*$E$68*$E$70*(C76^2))/1000</f>
        <v>0.6132124432092062</v>
      </c>
      <c r="F76" s="46"/>
      <c r="G76" s="46"/>
      <c r="H76" s="46"/>
      <c r="I76" s="46"/>
      <c r="J76" s="46"/>
      <c r="K76" s="46"/>
      <c r="L76" s="46"/>
      <c r="M76" s="46"/>
      <c r="N76" s="46"/>
      <c r="O76" s="46"/>
    </row>
    <row r="77" spans="1:15">
      <c r="A77" s="46"/>
      <c r="B77" s="47">
        <f t="shared" si="7"/>
        <v>2.5</v>
      </c>
      <c r="C77" s="70">
        <f t="shared" si="7"/>
        <v>1.286</v>
      </c>
      <c r="D77" s="70">
        <f t="shared" si="8"/>
        <v>1.0726963067820035</v>
      </c>
      <c r="E77" s="70">
        <f t="shared" si="9"/>
        <v>0.95814444251438491</v>
      </c>
      <c r="F77" s="46"/>
      <c r="G77" s="46"/>
      <c r="H77" s="46"/>
      <c r="I77" s="46"/>
      <c r="J77" s="46"/>
      <c r="K77" s="46"/>
      <c r="L77" s="46"/>
      <c r="M77" s="46"/>
      <c r="N77" s="46"/>
      <c r="O77" s="46"/>
    </row>
    <row r="78" spans="1:15">
      <c r="A78" s="46"/>
      <c r="B78" s="47">
        <f t="shared" si="7"/>
        <v>3</v>
      </c>
      <c r="C78" s="70">
        <f t="shared" si="7"/>
        <v>1.5432000000000001</v>
      </c>
      <c r="D78" s="70">
        <f t="shared" si="8"/>
        <v>1.544682681766085</v>
      </c>
      <c r="E78" s="70">
        <f t="shared" si="9"/>
        <v>1.3797279972207146</v>
      </c>
      <c r="F78" s="46"/>
      <c r="G78" s="46"/>
      <c r="H78" s="46"/>
      <c r="I78" s="46"/>
      <c r="J78" s="46"/>
      <c r="K78" s="46"/>
      <c r="L78" s="46"/>
      <c r="M78" s="46"/>
      <c r="N78" s="46"/>
      <c r="O78" s="46"/>
    </row>
    <row r="79" spans="1:15">
      <c r="A79" s="46"/>
      <c r="B79" s="47">
        <f t="shared" si="7"/>
        <v>3.5</v>
      </c>
      <c r="C79" s="70">
        <f t="shared" si="7"/>
        <v>1.8004</v>
      </c>
      <c r="D79" s="70">
        <f t="shared" si="8"/>
        <v>2.1024847612927267</v>
      </c>
      <c r="E79" s="70">
        <f t="shared" si="9"/>
        <v>1.8779631073281942</v>
      </c>
      <c r="F79" s="46"/>
      <c r="G79" s="46"/>
      <c r="H79" s="46"/>
      <c r="I79" s="46"/>
      <c r="J79" s="46"/>
      <c r="K79" s="46"/>
      <c r="L79" s="46"/>
      <c r="M79" s="46"/>
      <c r="N79" s="46"/>
      <c r="O79" s="46"/>
    </row>
    <row r="80" spans="1:15">
      <c r="A80" s="46"/>
      <c r="B80" s="47">
        <f t="shared" si="7"/>
        <v>4</v>
      </c>
      <c r="C80" s="70">
        <f t="shared" si="7"/>
        <v>2.0575999999999999</v>
      </c>
      <c r="D80" s="70">
        <f t="shared" si="8"/>
        <v>2.7461025453619281</v>
      </c>
      <c r="E80" s="70">
        <f t="shared" si="9"/>
        <v>2.4528497728368248</v>
      </c>
      <c r="F80" s="46"/>
      <c r="G80" s="46"/>
      <c r="H80" s="46"/>
      <c r="I80" s="46"/>
      <c r="J80" s="46"/>
      <c r="K80" s="46"/>
      <c r="L80" s="46"/>
      <c r="M80" s="46"/>
      <c r="N80" s="46"/>
      <c r="O80" s="46"/>
    </row>
    <row r="81" spans="1:15">
      <c r="A81" s="46"/>
      <c r="B81" s="47">
        <f t="shared" si="7"/>
        <v>4.5</v>
      </c>
      <c r="C81" s="70">
        <f t="shared" si="7"/>
        <v>2.3148</v>
      </c>
      <c r="D81" s="70">
        <f t="shared" si="8"/>
        <v>3.4755360339736905</v>
      </c>
      <c r="E81" s="70">
        <f t="shared" si="9"/>
        <v>3.1043879937466068</v>
      </c>
      <c r="F81" s="46"/>
      <c r="G81" s="46"/>
      <c r="H81" s="46"/>
      <c r="I81" s="46"/>
      <c r="J81" s="46"/>
      <c r="K81" s="46"/>
      <c r="L81" s="46"/>
      <c r="M81" s="46"/>
      <c r="N81" s="46"/>
      <c r="O81" s="46"/>
    </row>
    <row r="82" spans="1:15">
      <c r="A82" s="46"/>
      <c r="B82" s="47">
        <f t="shared" si="7"/>
        <v>5</v>
      </c>
      <c r="C82" s="70">
        <f t="shared" si="7"/>
        <v>2.5720000000000001</v>
      </c>
      <c r="D82" s="70">
        <f t="shared" si="8"/>
        <v>4.2907852271280138</v>
      </c>
      <c r="E82" s="70">
        <f t="shared" si="9"/>
        <v>3.8325777700575396</v>
      </c>
      <c r="F82" s="46"/>
      <c r="G82" s="46"/>
      <c r="H82" s="46"/>
      <c r="I82" s="46"/>
      <c r="J82" s="46"/>
      <c r="K82" s="46"/>
      <c r="L82" s="46"/>
      <c r="M82" s="46"/>
      <c r="N82" s="46"/>
      <c r="O82" s="46"/>
    </row>
    <row r="83" spans="1:15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</row>
    <row r="84" spans="1:15" ht="26.25">
      <c r="A84" s="46"/>
      <c r="B84" s="624" t="s">
        <v>271</v>
      </c>
      <c r="C84" s="624"/>
      <c r="D84" s="624"/>
      <c r="E84" s="624"/>
      <c r="F84" s="624"/>
      <c r="G84" s="624"/>
      <c r="H84" s="624"/>
      <c r="I84" s="624"/>
      <c r="J84" s="624"/>
      <c r="K84" s="624"/>
      <c r="L84" s="624"/>
      <c r="M84" s="624"/>
      <c r="N84" s="46"/>
      <c r="O84" s="46"/>
    </row>
    <row r="85" spans="1:1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</row>
    <row r="86" spans="1:15">
      <c r="A86" s="651" t="s">
        <v>522</v>
      </c>
      <c r="B86" s="651"/>
      <c r="C86" s="651"/>
      <c r="D86" s="46">
        <f>Largototal</f>
        <v>32.68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</row>
    <row r="87" spans="1:15">
      <c r="A87" s="651" t="s">
        <v>523</v>
      </c>
      <c r="B87" s="651"/>
      <c r="C87" s="651"/>
      <c r="D87" s="46">
        <f>'Dimensiones de la Red'!G48</f>
        <v>32.68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</row>
    <row r="88" spans="1:15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</row>
    <row r="89" spans="1:15">
      <c r="A89" s="46"/>
      <c r="B89" s="47" t="str">
        <f>B72</f>
        <v>Velocidad</v>
      </c>
      <c r="C89" s="47" t="str">
        <f>D72</f>
        <v>RN Estándar</v>
      </c>
      <c r="D89" s="75" t="str">
        <f>E72</f>
        <v>RN Modificada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</row>
    <row r="90" spans="1:15">
      <c r="A90" s="46"/>
      <c r="B90" s="47" t="str">
        <f>B73</f>
        <v>Nudos</v>
      </c>
      <c r="C90" s="47" t="str">
        <f>D73</f>
        <v>Ton</v>
      </c>
      <c r="D90" s="47" t="str">
        <f>E73</f>
        <v>Ton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</row>
    <row r="91" spans="1:15">
      <c r="A91" s="46"/>
      <c r="B91" s="47">
        <f>B74</f>
        <v>1</v>
      </c>
      <c r="C91" s="70">
        <f t="shared" ref="C91:C99" si="10">(8*$E$4*$E$6*$D$86*B91^2)/1000</f>
        <v>0.24832616960000004</v>
      </c>
      <c r="D91" s="70">
        <f>(8*$E$5*$E$6*$D$87*B91^2)/1000</f>
        <v>0.22712941883076929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</row>
    <row r="92" spans="1:15">
      <c r="A92" s="46"/>
      <c r="B92" s="47">
        <f t="shared" ref="B92:B98" si="11">B75</f>
        <v>1.5</v>
      </c>
      <c r="C92" s="70">
        <f t="shared" si="10"/>
        <v>0.55873388160000015</v>
      </c>
      <c r="D92" s="70">
        <f>(8*$E$5*$E$6*$D$87*B92^2)/1000</f>
        <v>0.51104119236923085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</row>
    <row r="93" spans="1:15">
      <c r="A93" s="46"/>
      <c r="B93" s="47">
        <f t="shared" si="11"/>
        <v>2</v>
      </c>
      <c r="C93" s="70">
        <f t="shared" si="10"/>
        <v>0.99330467840000014</v>
      </c>
      <c r="D93" s="70">
        <f t="shared" ref="D93:D99" si="12">(8*$E$5*$E$6*$D$87*B93^2)/1000</f>
        <v>0.90851767532307715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</row>
    <row r="94" spans="1:15">
      <c r="A94" s="46"/>
      <c r="B94" s="47">
        <f t="shared" si="11"/>
        <v>2.5</v>
      </c>
      <c r="C94" s="70">
        <f t="shared" si="10"/>
        <v>1.5520385600000002</v>
      </c>
      <c r="D94" s="70">
        <f t="shared" si="12"/>
        <v>1.4195588676923081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</row>
    <row r="95" spans="1:15">
      <c r="A95" s="46"/>
      <c r="B95" s="47">
        <f t="shared" si="11"/>
        <v>3</v>
      </c>
      <c r="C95" s="70">
        <f t="shared" si="10"/>
        <v>2.2349355264000006</v>
      </c>
      <c r="D95" s="70">
        <f t="shared" si="12"/>
        <v>2.0441647694769234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</row>
    <row r="96" spans="1:15">
      <c r="A96" s="46"/>
      <c r="B96" s="47">
        <f t="shared" si="11"/>
        <v>3.5</v>
      </c>
      <c r="C96" s="70">
        <f t="shared" si="10"/>
        <v>3.0419955776000007</v>
      </c>
      <c r="D96" s="70">
        <f t="shared" si="12"/>
        <v>2.7823353806769235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</row>
    <row r="97" spans="1:15">
      <c r="A97" s="46"/>
      <c r="B97" s="47">
        <f t="shared" si="11"/>
        <v>4</v>
      </c>
      <c r="C97" s="70">
        <f t="shared" si="10"/>
        <v>3.9732187136000006</v>
      </c>
      <c r="D97" s="70">
        <f t="shared" si="12"/>
        <v>3.6340707012923086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</row>
    <row r="98" spans="1:15">
      <c r="A98" s="46"/>
      <c r="B98" s="47">
        <f t="shared" si="11"/>
        <v>4.5</v>
      </c>
      <c r="C98" s="70">
        <f t="shared" si="10"/>
        <v>5.0286049344000014</v>
      </c>
      <c r="D98" s="70">
        <f t="shared" si="12"/>
        <v>4.5993707313230781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</row>
    <row r="99" spans="1:15">
      <c r="A99" s="46"/>
      <c r="B99" s="47">
        <f>B82</f>
        <v>5</v>
      </c>
      <c r="C99" s="70">
        <f t="shared" si="10"/>
        <v>6.2081542400000007</v>
      </c>
      <c r="D99" s="70">
        <f t="shared" si="12"/>
        <v>5.6782354707692324</v>
      </c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</row>
    <row r="100" spans="1:15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</row>
    <row r="101" spans="1:15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</row>
    <row r="102" spans="1:15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</row>
    <row r="103" spans="1:15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</row>
    <row r="104" spans="1:15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</row>
    <row r="105" spans="1:1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</row>
    <row r="106" spans="1:15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</row>
    <row r="107" spans="1:15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</row>
    <row r="108" spans="1:15" ht="26.25">
      <c r="A108" s="624" t="s">
        <v>272</v>
      </c>
      <c r="B108" s="624"/>
      <c r="C108" s="624"/>
      <c r="D108" s="624"/>
      <c r="E108" s="624"/>
      <c r="F108" s="624"/>
      <c r="G108" s="624"/>
      <c r="H108" s="624"/>
      <c r="I108" s="624"/>
      <c r="J108" s="624"/>
      <c r="K108" s="624"/>
      <c r="L108" s="624"/>
      <c r="M108" s="624"/>
      <c r="N108" s="624"/>
      <c r="O108" s="624"/>
    </row>
    <row r="109" spans="1:15">
      <c r="A109" s="46"/>
      <c r="B109" s="46"/>
      <c r="C109" s="46"/>
      <c r="D109" s="227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</row>
    <row r="110" spans="1:15" ht="18">
      <c r="A110" s="651" t="s">
        <v>524</v>
      </c>
      <c r="B110" s="651"/>
      <c r="C110" s="651"/>
      <c r="D110" s="227">
        <f>'Dimensiones de la Red'!F58</f>
        <v>315.56555449711129</v>
      </c>
      <c r="E110" s="227"/>
      <c r="F110" s="46"/>
      <c r="G110" s="46"/>
      <c r="H110" s="46"/>
      <c r="I110" s="46"/>
      <c r="J110" s="46"/>
      <c r="K110" s="46"/>
      <c r="L110" s="46"/>
      <c r="M110" s="46"/>
      <c r="N110" s="46"/>
      <c r="O110" s="46"/>
    </row>
    <row r="111" spans="1:15" ht="18">
      <c r="A111" s="651" t="s">
        <v>525</v>
      </c>
      <c r="B111" s="651"/>
      <c r="C111" s="651"/>
      <c r="D111" s="227">
        <f>'Dimensiones de la Red'!G58</f>
        <v>307.14492526228588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</row>
    <row r="112" spans="1:15" ht="15.75">
      <c r="A112" s="651" t="s">
        <v>273</v>
      </c>
      <c r="B112" s="651"/>
      <c r="C112" s="651"/>
      <c r="D112" s="228">
        <f>'Dimensiones de la Red'!G55</f>
        <v>10.633919691342186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</row>
    <row r="113" spans="1:15">
      <c r="A113" s="651" t="s">
        <v>526</v>
      </c>
      <c r="B113" s="651"/>
      <c r="C113" s="651"/>
      <c r="D113" s="225">
        <f>ABS(SIN(DEGREES(D112)))</f>
        <v>0.18911106886138546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</row>
    <row r="114" spans="1:15">
      <c r="A114" s="46"/>
      <c r="B114" s="46"/>
      <c r="C114" s="46"/>
      <c r="D114" s="228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</row>
    <row r="115" spans="1:15">
      <c r="A115" s="46"/>
      <c r="B115" s="229" t="str">
        <f t="shared" ref="B115:B125" si="13">B89</f>
        <v>Velocidad</v>
      </c>
      <c r="C115" s="46"/>
      <c r="D115" s="229" t="str">
        <f>C89</f>
        <v>RN Estándar</v>
      </c>
      <c r="E115" s="230" t="str">
        <f>D89</f>
        <v>RN Modificada</v>
      </c>
      <c r="F115" s="46"/>
      <c r="G115" s="46"/>
      <c r="H115" s="46"/>
      <c r="I115" s="46"/>
      <c r="J115" s="46"/>
      <c r="K115" s="46"/>
      <c r="L115" s="46"/>
      <c r="M115" s="46"/>
      <c r="N115" s="46"/>
      <c r="O115" s="46"/>
    </row>
    <row r="116" spans="1:15">
      <c r="A116" s="46"/>
      <c r="B116" s="69" t="str">
        <f t="shared" si="13"/>
        <v>Nudos</v>
      </c>
      <c r="C116" s="231" t="str">
        <f t="shared" ref="C116:C125" si="14">C73</f>
        <v>[m/s]</v>
      </c>
      <c r="D116" s="69" t="str">
        <f>C90</f>
        <v>Ton</v>
      </c>
      <c r="E116" s="69" t="str">
        <f>D90</f>
        <v>Ton</v>
      </c>
      <c r="F116" s="46"/>
      <c r="G116" s="46"/>
      <c r="H116" s="46"/>
      <c r="I116" s="46"/>
      <c r="J116" s="46"/>
      <c r="K116" s="46"/>
      <c r="L116" s="46"/>
      <c r="M116" s="46"/>
      <c r="N116" s="46"/>
      <c r="O116" s="46"/>
    </row>
    <row r="117" spans="1:15">
      <c r="A117" s="46"/>
      <c r="B117" s="47">
        <f t="shared" si="13"/>
        <v>1</v>
      </c>
      <c r="C117" s="70">
        <f t="shared" si="14"/>
        <v>0.51439999999999997</v>
      </c>
      <c r="D117" s="70">
        <f t="shared" ref="D117:D125" si="15">(191*$E$4*(C117^2)*$D$110*$D$113)/1000</f>
        <v>6.417532799802525E-2</v>
      </c>
      <c r="E117" s="70">
        <f t="shared" ref="E117:E125" si="16">(191*$E$4*(C117^2)*$D$111*$D$113)/1000</f>
        <v>6.2462857687519198E-2</v>
      </c>
      <c r="F117" s="46"/>
      <c r="G117" s="46"/>
      <c r="H117" s="46"/>
      <c r="I117" s="46"/>
      <c r="J117" s="46"/>
      <c r="K117" s="46"/>
      <c r="L117" s="46"/>
      <c r="M117" s="46"/>
      <c r="N117" s="46"/>
      <c r="O117" s="46"/>
    </row>
    <row r="118" spans="1:15">
      <c r="A118" s="46"/>
      <c r="B118" s="47">
        <f t="shared" si="13"/>
        <v>1.5</v>
      </c>
      <c r="C118" s="70">
        <f t="shared" si="14"/>
        <v>0.77159999999999995</v>
      </c>
      <c r="D118" s="70">
        <f t="shared" si="15"/>
        <v>0.14439448799555679</v>
      </c>
      <c r="E118" s="70">
        <f t="shared" si="16"/>
        <v>0.14054142979691819</v>
      </c>
      <c r="F118" s="46"/>
      <c r="G118" s="46"/>
      <c r="H118" s="46"/>
      <c r="I118" s="46"/>
      <c r="J118" s="46"/>
      <c r="K118" s="46"/>
      <c r="L118" s="46"/>
      <c r="M118" s="46"/>
      <c r="N118" s="46"/>
      <c r="O118" s="46"/>
    </row>
    <row r="119" spans="1:15">
      <c r="A119" s="46"/>
      <c r="B119" s="47">
        <f t="shared" si="13"/>
        <v>2</v>
      </c>
      <c r="C119" s="70">
        <f t="shared" si="14"/>
        <v>1.0287999999999999</v>
      </c>
      <c r="D119" s="70">
        <f t="shared" si="15"/>
        <v>0.256701311992101</v>
      </c>
      <c r="E119" s="70">
        <f t="shared" si="16"/>
        <v>0.24985143075007679</v>
      </c>
      <c r="F119" s="46"/>
      <c r="G119" s="46"/>
      <c r="H119" s="46"/>
      <c r="I119" s="46"/>
      <c r="J119" s="46"/>
      <c r="K119" s="46"/>
      <c r="L119" s="46"/>
      <c r="M119" s="46"/>
      <c r="N119" s="46"/>
      <c r="O119" s="46"/>
    </row>
    <row r="120" spans="1:15">
      <c r="A120" s="46"/>
      <c r="B120" s="47">
        <f t="shared" si="13"/>
        <v>2.5</v>
      </c>
      <c r="C120" s="70">
        <f t="shared" si="14"/>
        <v>1.286</v>
      </c>
      <c r="D120" s="70">
        <f t="shared" si="15"/>
        <v>0.40109579998765793</v>
      </c>
      <c r="E120" s="70">
        <f t="shared" si="16"/>
        <v>0.39039286054699518</v>
      </c>
      <c r="F120" s="46"/>
      <c r="G120" s="46"/>
      <c r="H120" s="46"/>
      <c r="I120" s="46"/>
      <c r="J120" s="46"/>
      <c r="K120" s="46"/>
      <c r="L120" s="46"/>
      <c r="M120" s="46"/>
      <c r="N120" s="46"/>
      <c r="O120" s="46"/>
    </row>
    <row r="121" spans="1:15">
      <c r="A121" s="46"/>
      <c r="B121" s="47">
        <f t="shared" si="13"/>
        <v>3</v>
      </c>
      <c r="C121" s="70">
        <f t="shared" si="14"/>
        <v>1.5432000000000001</v>
      </c>
      <c r="D121" s="70">
        <f t="shared" si="15"/>
        <v>0.57757795198222739</v>
      </c>
      <c r="E121" s="70">
        <f t="shared" si="16"/>
        <v>0.562165719187673</v>
      </c>
      <c r="F121" s="46"/>
      <c r="G121" s="46"/>
      <c r="H121" s="46"/>
      <c r="I121" s="46"/>
      <c r="J121" s="46"/>
      <c r="K121" s="46"/>
      <c r="L121" s="46"/>
      <c r="M121" s="46"/>
      <c r="N121" s="46"/>
      <c r="O121" s="46"/>
    </row>
    <row r="122" spans="1:15">
      <c r="A122" s="46"/>
      <c r="B122" s="47">
        <f t="shared" si="13"/>
        <v>3.5</v>
      </c>
      <c r="C122" s="70">
        <f t="shared" si="14"/>
        <v>1.8004</v>
      </c>
      <c r="D122" s="70">
        <f t="shared" si="15"/>
        <v>0.78614776797580943</v>
      </c>
      <c r="E122" s="70">
        <f t="shared" si="16"/>
        <v>0.76517000667211033</v>
      </c>
      <c r="F122" s="46"/>
      <c r="G122" s="46"/>
      <c r="H122" s="46"/>
      <c r="I122" s="46"/>
      <c r="J122" s="46"/>
      <c r="K122" s="46"/>
      <c r="L122" s="46"/>
      <c r="M122" s="46"/>
      <c r="N122" s="46"/>
      <c r="O122" s="46"/>
    </row>
    <row r="123" spans="1:15">
      <c r="A123" s="46"/>
      <c r="B123" s="47">
        <f t="shared" si="13"/>
        <v>4</v>
      </c>
      <c r="C123" s="70">
        <f t="shared" si="14"/>
        <v>2.0575999999999999</v>
      </c>
      <c r="D123" s="70">
        <f t="shared" si="15"/>
        <v>1.026805247968404</v>
      </c>
      <c r="E123" s="70">
        <f t="shared" si="16"/>
        <v>0.99940572300030717</v>
      </c>
      <c r="F123" s="46"/>
      <c r="G123" s="46"/>
      <c r="H123" s="46"/>
      <c r="I123" s="46"/>
      <c r="J123" s="46"/>
      <c r="K123" s="46"/>
      <c r="L123" s="46"/>
      <c r="M123" s="46"/>
      <c r="N123" s="46"/>
      <c r="O123" s="46"/>
    </row>
    <row r="124" spans="1:15">
      <c r="A124" s="46"/>
      <c r="B124" s="47">
        <f t="shared" si="13"/>
        <v>4.5</v>
      </c>
      <c r="C124" s="70">
        <f t="shared" si="14"/>
        <v>2.3148</v>
      </c>
      <c r="D124" s="70">
        <f t="shared" si="15"/>
        <v>1.2995503919600115</v>
      </c>
      <c r="E124" s="70">
        <f t="shared" si="16"/>
        <v>1.2648728681722641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</row>
    <row r="125" spans="1:15">
      <c r="A125" s="46"/>
      <c r="B125" s="47">
        <f t="shared" si="13"/>
        <v>5</v>
      </c>
      <c r="C125" s="70">
        <f t="shared" si="14"/>
        <v>2.5720000000000001</v>
      </c>
      <c r="D125" s="70">
        <f t="shared" si="15"/>
        <v>1.6043831999506317</v>
      </c>
      <c r="E125" s="70">
        <f t="shared" si="16"/>
        <v>1.5615714421879807</v>
      </c>
      <c r="F125" s="46"/>
      <c r="G125" s="213"/>
      <c r="H125" s="213"/>
      <c r="I125" s="213"/>
      <c r="J125" s="213"/>
      <c r="K125" s="213"/>
      <c r="L125" s="213"/>
      <c r="M125" s="213"/>
      <c r="N125" s="213"/>
      <c r="O125" s="46"/>
    </row>
    <row r="126" spans="1:15">
      <c r="A126" s="46"/>
      <c r="B126" s="46"/>
      <c r="C126" s="46"/>
      <c r="D126" s="46"/>
      <c r="E126" s="232"/>
      <c r="F126" s="213"/>
      <c r="G126" s="46"/>
      <c r="H126" s="46"/>
      <c r="I126" s="46"/>
      <c r="J126" s="46"/>
      <c r="K126" s="46"/>
      <c r="L126" s="46"/>
      <c r="M126" s="46"/>
      <c r="N126" s="46"/>
      <c r="O126" s="46"/>
    </row>
    <row r="127" spans="1:15">
      <c r="A127" s="46"/>
      <c r="B127" s="46"/>
      <c r="C127" s="46"/>
      <c r="D127" s="46"/>
      <c r="E127" s="232"/>
      <c r="F127" s="46"/>
      <c r="G127" s="46"/>
      <c r="H127" s="46"/>
      <c r="I127" s="46"/>
      <c r="J127" s="46"/>
      <c r="K127" s="46"/>
      <c r="L127" s="46"/>
      <c r="M127" s="46"/>
      <c r="N127" s="46"/>
      <c r="O127" s="46"/>
    </row>
    <row r="128" spans="1:15" ht="26.25">
      <c r="A128" s="624" t="s">
        <v>274</v>
      </c>
      <c r="B128" s="624"/>
      <c r="C128" s="624"/>
      <c r="D128" s="624"/>
      <c r="E128" s="624"/>
      <c r="F128" s="624"/>
      <c r="G128" s="624"/>
      <c r="H128" s="624"/>
      <c r="I128" s="624"/>
      <c r="J128" s="624"/>
      <c r="K128" s="624"/>
      <c r="L128" s="624"/>
      <c r="M128" s="624"/>
      <c r="N128" s="624"/>
      <c r="O128" s="624"/>
    </row>
    <row r="129" spans="1:15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</row>
    <row r="130" spans="1:15">
      <c r="A130" s="46"/>
      <c r="B130" s="233" t="str">
        <f>B115</f>
        <v>Velocidad</v>
      </c>
      <c r="C130" s="229"/>
      <c r="D130" s="229" t="s">
        <v>275</v>
      </c>
      <c r="E130" s="234" t="s">
        <v>276</v>
      </c>
      <c r="F130" s="46"/>
      <c r="G130" s="46"/>
      <c r="H130" s="46"/>
      <c r="I130" s="46"/>
      <c r="J130" s="46"/>
      <c r="K130" s="46"/>
      <c r="L130" s="46"/>
      <c r="M130" s="46"/>
      <c r="N130" s="46"/>
      <c r="O130" s="46"/>
    </row>
    <row r="131" spans="1:15">
      <c r="A131" s="46"/>
      <c r="B131" s="235" t="str">
        <f t="shared" ref="B131:C139" si="17">B116</f>
        <v>Nudos</v>
      </c>
      <c r="C131" s="69" t="str">
        <f>C116</f>
        <v>[m/s]</v>
      </c>
      <c r="D131" s="69" t="s">
        <v>266</v>
      </c>
      <c r="E131" s="236" t="s">
        <v>266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</row>
    <row r="132" spans="1:15">
      <c r="A132" s="46"/>
      <c r="B132" s="47">
        <f t="shared" si="17"/>
        <v>1</v>
      </c>
      <c r="C132" s="70">
        <f t="shared" si="17"/>
        <v>0.51439999999999997</v>
      </c>
      <c r="D132" s="70">
        <f>((7.2*150)/C132)/1000</f>
        <v>2.0995334370139971</v>
      </c>
      <c r="E132" s="70">
        <f>((7.2*180)/C132)/1000</f>
        <v>2.5194401244167968</v>
      </c>
      <c r="F132" s="46"/>
      <c r="G132" s="46"/>
      <c r="H132" s="46"/>
      <c r="I132" s="46"/>
      <c r="J132" s="46"/>
      <c r="K132" s="46"/>
      <c r="L132" s="46"/>
      <c r="M132" s="46"/>
      <c r="N132" s="46"/>
      <c r="O132" s="46"/>
    </row>
    <row r="133" spans="1:15">
      <c r="A133" s="46"/>
      <c r="B133" s="47">
        <f t="shared" si="17"/>
        <v>1.5</v>
      </c>
      <c r="C133" s="70">
        <f t="shared" si="17"/>
        <v>0.77159999999999995</v>
      </c>
      <c r="D133" s="70">
        <f t="shared" ref="D133:D140" si="18">((7.2*150)/C133)/1000</f>
        <v>1.3996889580093315</v>
      </c>
      <c r="E133" s="70">
        <f t="shared" ref="E133:E140" si="19">((7.2*180)/C133)/1000</f>
        <v>1.6796267496111974</v>
      </c>
      <c r="F133" s="46"/>
      <c r="G133" s="46"/>
      <c r="H133" s="46"/>
      <c r="I133" s="46"/>
      <c r="J133" s="46"/>
      <c r="K133" s="46"/>
      <c r="L133" s="46"/>
      <c r="M133" s="46"/>
      <c r="N133" s="46"/>
      <c r="O133" s="46"/>
    </row>
    <row r="134" spans="1:15">
      <c r="A134" s="46"/>
      <c r="B134" s="47">
        <f t="shared" si="17"/>
        <v>2</v>
      </c>
      <c r="C134" s="70">
        <f t="shared" si="17"/>
        <v>1.0287999999999999</v>
      </c>
      <c r="D134" s="70">
        <f t="shared" si="18"/>
        <v>1.0497667185069985</v>
      </c>
      <c r="E134" s="70">
        <f t="shared" si="19"/>
        <v>1.2597200622083984</v>
      </c>
      <c r="F134" s="46"/>
      <c r="G134" s="46"/>
      <c r="H134" s="46"/>
      <c r="I134" s="46"/>
      <c r="J134" s="46"/>
      <c r="K134" s="46"/>
      <c r="L134" s="46"/>
      <c r="M134" s="46"/>
      <c r="N134" s="46"/>
      <c r="O134" s="46"/>
    </row>
    <row r="135" spans="1:15">
      <c r="A135" s="46"/>
      <c r="B135" s="47">
        <f t="shared" si="17"/>
        <v>2.5</v>
      </c>
      <c r="C135" s="70">
        <f t="shared" si="17"/>
        <v>1.286</v>
      </c>
      <c r="D135" s="70">
        <f t="shared" si="18"/>
        <v>0.8398133748055987</v>
      </c>
      <c r="E135" s="70">
        <f t="shared" si="19"/>
        <v>1.0077760497667185</v>
      </c>
      <c r="F135" s="46"/>
      <c r="G135" s="46"/>
      <c r="H135" s="46"/>
      <c r="I135" s="46"/>
      <c r="J135" s="46"/>
      <c r="K135" s="46"/>
      <c r="L135" s="46"/>
      <c r="M135" s="46"/>
      <c r="N135" s="46"/>
      <c r="O135" s="46"/>
    </row>
    <row r="136" spans="1:15">
      <c r="A136" s="46"/>
      <c r="B136" s="47">
        <f t="shared" si="17"/>
        <v>3</v>
      </c>
      <c r="C136" s="70">
        <f t="shared" si="17"/>
        <v>1.5432000000000001</v>
      </c>
      <c r="D136" s="70">
        <f t="shared" si="18"/>
        <v>0.69984447900466562</v>
      </c>
      <c r="E136" s="70">
        <f t="shared" si="19"/>
        <v>0.83981337480559859</v>
      </c>
      <c r="F136" s="46"/>
      <c r="G136" s="46"/>
      <c r="H136" s="46"/>
      <c r="I136" s="46"/>
      <c r="J136" s="46"/>
      <c r="K136" s="46"/>
      <c r="L136" s="46"/>
      <c r="M136" s="46"/>
      <c r="N136" s="46"/>
      <c r="O136" s="46"/>
    </row>
    <row r="137" spans="1:15">
      <c r="A137" s="46"/>
      <c r="B137" s="47">
        <f t="shared" si="17"/>
        <v>3.5</v>
      </c>
      <c r="C137" s="70">
        <f t="shared" si="17"/>
        <v>1.8004</v>
      </c>
      <c r="D137" s="70">
        <f t="shared" si="18"/>
        <v>0.59986669628971345</v>
      </c>
      <c r="E137" s="70">
        <f t="shared" si="19"/>
        <v>0.71984003554765608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</row>
    <row r="138" spans="1:15">
      <c r="A138" s="46"/>
      <c r="B138" s="47">
        <f t="shared" si="17"/>
        <v>4</v>
      </c>
      <c r="C138" s="70">
        <f t="shared" si="17"/>
        <v>2.0575999999999999</v>
      </c>
      <c r="D138" s="70">
        <f t="shared" si="18"/>
        <v>0.52488335925349927</v>
      </c>
      <c r="E138" s="70">
        <f t="shared" si="19"/>
        <v>0.62986003110419919</v>
      </c>
      <c r="F138" s="46"/>
      <c r="G138" s="46"/>
      <c r="H138" s="46"/>
      <c r="I138" s="46"/>
      <c r="J138" s="46"/>
      <c r="K138" s="46"/>
      <c r="L138" s="46"/>
      <c r="M138" s="46"/>
      <c r="N138" s="46"/>
      <c r="O138" s="46"/>
    </row>
    <row r="139" spans="1:15">
      <c r="A139" s="46"/>
      <c r="B139" s="47">
        <f t="shared" si="17"/>
        <v>4.5</v>
      </c>
      <c r="C139" s="70">
        <f t="shared" si="17"/>
        <v>2.3148</v>
      </c>
      <c r="D139" s="70">
        <f t="shared" si="18"/>
        <v>0.46656298600311041</v>
      </c>
      <c r="E139" s="70">
        <f t="shared" si="19"/>
        <v>0.55987558320373254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</row>
    <row r="140" spans="1:15">
      <c r="A140" s="46"/>
      <c r="B140" s="47">
        <f>B125</f>
        <v>5</v>
      </c>
      <c r="C140" s="70">
        <f>C125</f>
        <v>2.5720000000000001</v>
      </c>
      <c r="D140" s="70">
        <f t="shared" si="18"/>
        <v>0.41990668740279935</v>
      </c>
      <c r="E140" s="70">
        <f t="shared" si="19"/>
        <v>0.50388802488335926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</row>
    <row r="141" spans="1:15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</row>
    <row r="142" spans="1:15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</row>
    <row r="143" spans="1:15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</row>
    <row r="144" spans="1:15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</row>
    <row r="145" spans="1:1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</row>
    <row r="146" spans="1:15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</row>
    <row r="147" spans="1:15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</row>
    <row r="148" spans="1:15" ht="26.25">
      <c r="A148" s="624" t="s">
        <v>277</v>
      </c>
      <c r="B148" s="624"/>
      <c r="C148" s="624"/>
      <c r="D148" s="624"/>
      <c r="E148" s="624"/>
      <c r="F148" s="624"/>
      <c r="G148" s="624"/>
      <c r="H148" s="624"/>
      <c r="I148" s="624"/>
      <c r="J148" s="624"/>
      <c r="K148" s="624"/>
      <c r="L148" s="624"/>
      <c r="M148" s="624"/>
      <c r="N148" s="624"/>
      <c r="O148" s="624"/>
    </row>
    <row r="149" spans="1:15">
      <c r="A149" s="46"/>
      <c r="B149" s="651" t="s">
        <v>527</v>
      </c>
      <c r="C149" s="651"/>
      <c r="D149" s="651"/>
      <c r="E149" s="651"/>
      <c r="F149" s="227">
        <f>'Dimensiones de la Red'!F57</f>
        <v>40.895060000000001</v>
      </c>
      <c r="G149" s="46"/>
      <c r="H149" s="46"/>
      <c r="I149" s="46"/>
      <c r="J149" s="46"/>
      <c r="K149" s="46"/>
      <c r="L149" s="46"/>
      <c r="M149" s="46"/>
      <c r="N149" s="46"/>
      <c r="O149" s="46"/>
    </row>
    <row r="150" spans="1:15">
      <c r="A150" s="46"/>
      <c r="B150" s="651" t="s">
        <v>528</v>
      </c>
      <c r="C150" s="651"/>
      <c r="D150" s="651"/>
      <c r="E150" s="651"/>
      <c r="F150" s="227">
        <f>'Dimensiones de la Red'!G57</f>
        <v>40.031959999999998</v>
      </c>
      <c r="G150" s="46"/>
      <c r="H150" s="46"/>
      <c r="I150" s="46"/>
      <c r="J150" s="46"/>
      <c r="K150" s="46"/>
      <c r="L150" s="46"/>
      <c r="M150" s="46"/>
      <c r="N150" s="46"/>
      <c r="O150" s="46"/>
    </row>
    <row r="151" spans="1:15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</row>
    <row r="152" spans="1:15">
      <c r="A152" s="46"/>
      <c r="B152" s="233" t="str">
        <f t="shared" ref="B152:B162" si="20">B130</f>
        <v>Velocidad</v>
      </c>
      <c r="C152" s="229" t="s">
        <v>529</v>
      </c>
      <c r="D152" s="237" t="s">
        <v>530</v>
      </c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</row>
    <row r="153" spans="1:15">
      <c r="A153" s="46"/>
      <c r="B153" s="235" t="str">
        <f t="shared" si="20"/>
        <v>Nudos</v>
      </c>
      <c r="C153" s="69" t="s">
        <v>266</v>
      </c>
      <c r="D153" s="69" t="s">
        <v>266</v>
      </c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</row>
    <row r="154" spans="1:15">
      <c r="A154" s="46"/>
      <c r="B154" s="231">
        <f t="shared" si="20"/>
        <v>1</v>
      </c>
      <c r="C154" s="70">
        <f>(($B154^2)*$F$149)/(54.72*$B$154+115.2)</f>
        <v>0.24067243408662897</v>
      </c>
      <c r="D154" s="70">
        <f>(($B154^2)*$F$150)/(54.72*$B$154+115.2)</f>
        <v>0.23559298493408659</v>
      </c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</row>
    <row r="155" spans="1:15">
      <c r="A155" s="46"/>
      <c r="B155" s="47">
        <f t="shared" si="20"/>
        <v>1.5</v>
      </c>
      <c r="C155" s="70">
        <f t="shared" ref="C155:C162" si="21">(($B155^2)*$F$149)/(54.72*$B$154+115.2)</f>
        <v>0.54151297669491516</v>
      </c>
      <c r="D155" s="70">
        <f t="shared" ref="D155:D162" si="22">(($B155^2)*$F$150)/(54.72*$B$154+115.2)</f>
        <v>0.53008421610169487</v>
      </c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</row>
    <row r="156" spans="1:15">
      <c r="A156" s="46"/>
      <c r="B156" s="47">
        <f t="shared" si="20"/>
        <v>2</v>
      </c>
      <c r="C156" s="70">
        <f t="shared" si="21"/>
        <v>0.96268973634651589</v>
      </c>
      <c r="D156" s="70">
        <f t="shared" si="22"/>
        <v>0.94237193973634636</v>
      </c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</row>
    <row r="157" spans="1:15">
      <c r="A157" s="46"/>
      <c r="B157" s="47">
        <f t="shared" si="20"/>
        <v>2.5</v>
      </c>
      <c r="C157" s="70">
        <f t="shared" si="21"/>
        <v>1.5042027130414313</v>
      </c>
      <c r="D157" s="70">
        <f t="shared" si="22"/>
        <v>1.4724561558380413</v>
      </c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</row>
    <row r="158" spans="1:15">
      <c r="A158" s="46"/>
      <c r="B158" s="47">
        <f t="shared" si="20"/>
        <v>3</v>
      </c>
      <c r="C158" s="70">
        <f t="shared" si="21"/>
        <v>2.1660519067796606</v>
      </c>
      <c r="D158" s="70">
        <f t="shared" si="22"/>
        <v>2.1203368644067795</v>
      </c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</row>
    <row r="159" spans="1:15">
      <c r="A159" s="46"/>
      <c r="B159" s="47">
        <f t="shared" si="20"/>
        <v>3.5</v>
      </c>
      <c r="C159" s="70">
        <f t="shared" si="21"/>
        <v>2.9482373175612051</v>
      </c>
      <c r="D159" s="70">
        <f t="shared" si="22"/>
        <v>2.886014065442561</v>
      </c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</row>
    <row r="160" spans="1:15">
      <c r="A160" s="46"/>
      <c r="B160" s="47">
        <f t="shared" si="20"/>
        <v>4</v>
      </c>
      <c r="C160" s="70">
        <f t="shared" si="21"/>
        <v>3.8507589453860636</v>
      </c>
      <c r="D160" s="70">
        <f t="shared" si="22"/>
        <v>3.7694877589453855</v>
      </c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</row>
    <row r="161" spans="1:15">
      <c r="A161" s="46"/>
      <c r="B161" s="47">
        <f t="shared" si="20"/>
        <v>4.5</v>
      </c>
      <c r="C161" s="70">
        <f t="shared" si="21"/>
        <v>4.8736167902542364</v>
      </c>
      <c r="D161" s="70">
        <f t="shared" si="22"/>
        <v>4.7707579449152533</v>
      </c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</row>
    <row r="162" spans="1:15">
      <c r="A162" s="46"/>
      <c r="B162" s="47">
        <f t="shared" si="20"/>
        <v>5</v>
      </c>
      <c r="C162" s="70">
        <f t="shared" si="21"/>
        <v>6.0168108521657251</v>
      </c>
      <c r="D162" s="70">
        <f t="shared" si="22"/>
        <v>5.8898246233521654</v>
      </c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</row>
    <row r="163" spans="1:15">
      <c r="A163" s="46"/>
      <c r="B163" s="46"/>
      <c r="C163" s="46"/>
      <c r="D163" s="46"/>
      <c r="E163" s="46"/>
      <c r="F163" s="46"/>
      <c r="G163" s="213"/>
      <c r="H163" s="213"/>
      <c r="I163" s="213"/>
      <c r="J163" s="213"/>
      <c r="K163" s="213"/>
      <c r="L163" s="213"/>
      <c r="M163" s="213"/>
      <c r="N163" s="213"/>
      <c r="O163" s="46"/>
    </row>
    <row r="164" spans="1:15">
      <c r="A164" s="46"/>
      <c r="B164" s="46"/>
      <c r="C164" s="46"/>
      <c r="D164" s="46"/>
      <c r="E164" s="46"/>
      <c r="F164" s="213"/>
      <c r="G164" s="46"/>
      <c r="H164" s="46"/>
      <c r="I164" s="46"/>
      <c r="J164" s="46"/>
      <c r="K164" s="46"/>
      <c r="L164" s="46"/>
      <c r="M164" s="46"/>
      <c r="N164" s="46"/>
      <c r="O164" s="46"/>
    </row>
    <row r="165" spans="1:1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</row>
    <row r="166" spans="1:15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</row>
    <row r="167" spans="1:15" ht="26.25">
      <c r="A167" s="624" t="s">
        <v>278</v>
      </c>
      <c r="B167" s="624"/>
      <c r="C167" s="624"/>
      <c r="D167" s="624"/>
      <c r="E167" s="624"/>
      <c r="F167" s="624"/>
      <c r="G167" s="624"/>
      <c r="H167" s="624"/>
      <c r="I167" s="624"/>
      <c r="J167" s="624"/>
      <c r="K167" s="624"/>
      <c r="L167" s="624"/>
      <c r="M167" s="624"/>
      <c r="N167" s="624"/>
      <c r="O167" s="624"/>
    </row>
    <row r="168" spans="1:15">
      <c r="A168" s="46"/>
      <c r="B168" s="213"/>
      <c r="C168" s="213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</row>
    <row r="169" spans="1:15">
      <c r="A169" s="46"/>
      <c r="B169" s="651" t="str">
        <f>B149</f>
        <v>Superficie solida ocupada por el hilo (Ss) Estándar=</v>
      </c>
      <c r="C169" s="651"/>
      <c r="D169" s="651"/>
      <c r="E169" s="651"/>
      <c r="F169" s="227">
        <f>F149</f>
        <v>40.895060000000001</v>
      </c>
      <c r="G169" s="46"/>
      <c r="H169" s="46"/>
      <c r="I169" s="46"/>
      <c r="J169" s="46"/>
      <c r="K169" s="46"/>
      <c r="L169" s="46"/>
      <c r="M169" s="46"/>
      <c r="N169" s="46"/>
      <c r="O169" s="46"/>
    </row>
    <row r="170" spans="1:15">
      <c r="A170" s="46"/>
      <c r="B170" s="651" t="str">
        <f>B150</f>
        <v>Superficie solida ocupada por el hilo (Ss) Modificada=</v>
      </c>
      <c r="C170" s="651"/>
      <c r="D170" s="651"/>
      <c r="E170" s="651"/>
      <c r="F170" s="227">
        <f>F150</f>
        <v>40.031959999999998</v>
      </c>
      <c r="G170" s="46"/>
      <c r="H170" s="46"/>
      <c r="I170" s="46"/>
      <c r="J170" s="46"/>
      <c r="K170" s="46"/>
      <c r="L170" s="46"/>
      <c r="M170" s="46"/>
      <c r="N170" s="46"/>
      <c r="O170" s="46"/>
    </row>
    <row r="171" spans="1:15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</row>
    <row r="172" spans="1:15">
      <c r="A172" s="46"/>
      <c r="B172" s="233" t="str">
        <f>B152</f>
        <v>Velocidad</v>
      </c>
      <c r="C172" s="229" t="str">
        <f>C152</f>
        <v>RN Estándar</v>
      </c>
      <c r="D172" s="229" t="str">
        <f>D152</f>
        <v>RN Modificada</v>
      </c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</row>
    <row r="173" spans="1:15">
      <c r="A173" s="46"/>
      <c r="B173" s="235" t="str">
        <f t="shared" ref="B173:B181" si="23">B153</f>
        <v>Nudos</v>
      </c>
      <c r="C173" s="229" t="str">
        <f>C153</f>
        <v>Ton</v>
      </c>
      <c r="D173" s="229" t="str">
        <f>D153</f>
        <v>Ton</v>
      </c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</row>
    <row r="174" spans="1:15">
      <c r="A174" s="46"/>
      <c r="B174" s="47">
        <f t="shared" si="23"/>
        <v>1</v>
      </c>
      <c r="C174" s="70">
        <f>(($B174^2)*$F$169)/((66.18*$B174)+41.5)</f>
        <v>0.37978324665676078</v>
      </c>
      <c r="D174" s="70">
        <f>(($B174^2)*$F$170)/((66.18*$B174)+41.5)</f>
        <v>0.37176783060921242</v>
      </c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</row>
    <row r="175" spans="1:15">
      <c r="A175" s="46"/>
      <c r="B175" s="47">
        <f t="shared" si="23"/>
        <v>1.5</v>
      </c>
      <c r="C175" s="70">
        <f t="shared" ref="C175:C182" si="24">(($B175^2)*$F$169)/((66.18*$B175)+41.5)</f>
        <v>0.65364697733892163</v>
      </c>
      <c r="D175" s="70">
        <f t="shared" ref="D175:D182" si="25">(($B175^2)*$F$170)/((66.18*$B175)+41.5)</f>
        <v>0.63985160190381474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</row>
    <row r="176" spans="1:15">
      <c r="A176" s="46"/>
      <c r="B176" s="47">
        <f t="shared" si="23"/>
        <v>2</v>
      </c>
      <c r="C176" s="70">
        <f t="shared" si="24"/>
        <v>0.94087334637064302</v>
      </c>
      <c r="D176" s="70">
        <f t="shared" si="25"/>
        <v>0.92101598987691236</v>
      </c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</row>
    <row r="177" spans="1:15">
      <c r="A177" s="46"/>
      <c r="B177" s="47">
        <f t="shared" si="23"/>
        <v>2.5</v>
      </c>
      <c r="C177" s="70">
        <f t="shared" si="24"/>
        <v>1.2350525489248612</v>
      </c>
      <c r="D177" s="70">
        <f t="shared" si="25"/>
        <v>1.2089864701618747</v>
      </c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</row>
    <row r="178" spans="1:15">
      <c r="A178" s="46"/>
      <c r="B178" s="47">
        <f t="shared" si="23"/>
        <v>3</v>
      </c>
      <c r="C178" s="70">
        <f t="shared" si="24"/>
        <v>1.533309198466922</v>
      </c>
      <c r="D178" s="70">
        <f t="shared" si="25"/>
        <v>1.5009483419430094</v>
      </c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</row>
    <row r="179" spans="1:15">
      <c r="A179" s="46"/>
      <c r="B179" s="47">
        <f t="shared" si="23"/>
        <v>3.5</v>
      </c>
      <c r="C179" s="70">
        <f t="shared" si="24"/>
        <v>1.834161333430967</v>
      </c>
      <c r="D179" s="70">
        <f t="shared" si="25"/>
        <v>1.7954509208069418</v>
      </c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</row>
    <row r="180" spans="1:15">
      <c r="A180" s="46"/>
      <c r="B180" s="47">
        <f t="shared" si="23"/>
        <v>4</v>
      </c>
      <c r="C180" s="70">
        <f t="shared" si="24"/>
        <v>2.13676755273986</v>
      </c>
      <c r="D180" s="70">
        <f t="shared" si="25"/>
        <v>2.091670563647051</v>
      </c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</row>
    <row r="181" spans="1:15">
      <c r="A181" s="46"/>
      <c r="B181" s="47">
        <f t="shared" si="23"/>
        <v>4.5</v>
      </c>
      <c r="C181" s="70">
        <f t="shared" si="24"/>
        <v>2.4406146738970258</v>
      </c>
      <c r="D181" s="70">
        <f t="shared" si="25"/>
        <v>2.3891049188058111</v>
      </c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</row>
    <row r="182" spans="1:15">
      <c r="A182" s="46"/>
      <c r="B182" s="47">
        <f>B162</f>
        <v>5</v>
      </c>
      <c r="C182" s="70">
        <f t="shared" si="24"/>
        <v>2.7453719119226636</v>
      </c>
      <c r="D182" s="70">
        <f t="shared" si="25"/>
        <v>2.6874301825993552</v>
      </c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</row>
    <row r="183" spans="1:15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</row>
    <row r="184" spans="1:15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</row>
    <row r="185" spans="1:1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</row>
    <row r="186" spans="1:15">
      <c r="A186" s="46"/>
      <c r="B186" s="46"/>
      <c r="C186" s="46"/>
      <c r="D186" s="46"/>
      <c r="E186" s="46"/>
      <c r="F186" s="46"/>
      <c r="G186" s="213"/>
      <c r="H186" s="213"/>
      <c r="I186" s="213"/>
      <c r="J186" s="213"/>
      <c r="K186" s="213"/>
      <c r="L186" s="213"/>
      <c r="M186" s="213"/>
      <c r="N186" s="213"/>
      <c r="O186" s="46"/>
    </row>
    <row r="187" spans="1:15">
      <c r="A187" s="46"/>
      <c r="B187" s="46"/>
      <c r="C187" s="46"/>
      <c r="D187" s="46"/>
      <c r="E187" s="46"/>
      <c r="F187" s="213"/>
      <c r="G187" s="46"/>
      <c r="H187" s="46"/>
      <c r="I187" s="46"/>
      <c r="J187" s="46"/>
      <c r="K187" s="46"/>
      <c r="L187" s="46"/>
      <c r="M187" s="46"/>
      <c r="N187" s="46"/>
      <c r="O187" s="46"/>
    </row>
    <row r="188" spans="1:15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</row>
    <row r="189" spans="1:15" ht="26.25">
      <c r="A189" s="624" t="s">
        <v>279</v>
      </c>
      <c r="B189" s="624"/>
      <c r="C189" s="624"/>
      <c r="D189" s="624"/>
      <c r="E189" s="624"/>
      <c r="F189" s="624"/>
      <c r="G189" s="624"/>
      <c r="H189" s="624"/>
      <c r="I189" s="624"/>
      <c r="J189" s="624"/>
      <c r="K189" s="624"/>
      <c r="L189" s="624"/>
      <c r="M189" s="624"/>
      <c r="N189" s="624"/>
      <c r="O189" s="624"/>
    </row>
    <row r="190" spans="1:15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</row>
    <row r="191" spans="1:15">
      <c r="A191" s="46"/>
      <c r="B191" s="651" t="str">
        <f>B169</f>
        <v>Superficie solida ocupada por el hilo (Ss) Estándar=</v>
      </c>
      <c r="C191" s="651"/>
      <c r="D191" s="651"/>
      <c r="E191" s="651"/>
      <c r="F191" s="227">
        <f>F169</f>
        <v>40.895060000000001</v>
      </c>
      <c r="G191" s="46"/>
      <c r="H191" s="46"/>
      <c r="I191" s="46"/>
      <c r="J191" s="46"/>
      <c r="K191" s="46"/>
      <c r="L191" s="46"/>
      <c r="M191" s="46"/>
      <c r="N191" s="46"/>
      <c r="O191" s="46"/>
    </row>
    <row r="192" spans="1:15">
      <c r="A192" s="46"/>
      <c r="B192" s="651" t="str">
        <f>B170</f>
        <v>Superficie solida ocupada por el hilo (Ss) Modificada=</v>
      </c>
      <c r="C192" s="651"/>
      <c r="D192" s="651"/>
      <c r="E192" s="651"/>
      <c r="F192" s="227">
        <f>F170</f>
        <v>40.031959999999998</v>
      </c>
      <c r="G192" s="46"/>
      <c r="H192" s="46"/>
      <c r="I192" s="46"/>
      <c r="J192" s="46"/>
      <c r="K192" s="46"/>
      <c r="L192" s="46"/>
      <c r="M192" s="46"/>
      <c r="N192" s="46"/>
      <c r="O192" s="46"/>
    </row>
    <row r="193" spans="1:15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</row>
    <row r="194" spans="1:15">
      <c r="A194" s="46"/>
      <c r="B194" s="234" t="str">
        <f t="shared" ref="B194:D195" si="26">B172</f>
        <v>Velocidad</v>
      </c>
      <c r="C194" s="234" t="str">
        <f t="shared" si="26"/>
        <v>RN Estándar</v>
      </c>
      <c r="D194" s="238" t="str">
        <f t="shared" si="26"/>
        <v>RN Modificada</v>
      </c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</row>
    <row r="195" spans="1:15">
      <c r="A195" s="46"/>
      <c r="B195" s="234" t="str">
        <f t="shared" si="26"/>
        <v>Nudos</v>
      </c>
      <c r="C195" s="234" t="str">
        <f t="shared" si="26"/>
        <v>Ton</v>
      </c>
      <c r="D195" s="234" t="str">
        <f t="shared" si="26"/>
        <v>Ton</v>
      </c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</row>
    <row r="196" spans="1:15">
      <c r="A196" s="46"/>
      <c r="B196" s="47">
        <f t="shared" ref="B196:B204" si="27">B174</f>
        <v>1</v>
      </c>
      <c r="C196" s="70">
        <f>($F$191*(61.2+46.6*($B196^2))/(1+(0.0641*$B196)))/9807</f>
        <v>0.42244579552739364</v>
      </c>
      <c r="D196" s="70">
        <f>($F$192*(61.2+46.6*($B196^2))/(1+(0.0641*$B196)))/9807</f>
        <v>0.4135299762054585</v>
      </c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</row>
    <row r="197" spans="1:15">
      <c r="A197" s="46"/>
      <c r="B197" s="47">
        <f t="shared" si="27"/>
        <v>1.5</v>
      </c>
      <c r="C197" s="70">
        <f t="shared" ref="C197:C204" si="28">($F$191*(61.2+46.6*($B197^2))/(1+(0.0641*$B197)))/9807</f>
        <v>0.63168936629854988</v>
      </c>
      <c r="D197" s="70">
        <f t="shared" ref="D197:D204" si="29">($F$192*(61.2+46.6*($B197^2))/(1+(0.0641*$B197)))/9807</f>
        <v>0.61835741148414747</v>
      </c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</row>
    <row r="198" spans="1:15">
      <c r="A198" s="46"/>
      <c r="B198" s="47">
        <f t="shared" si="27"/>
        <v>2</v>
      </c>
      <c r="C198" s="70">
        <f t="shared" si="28"/>
        <v>0.91516461430118201</v>
      </c>
      <c r="D198" s="70">
        <f t="shared" si="29"/>
        <v>0.89584984673259682</v>
      </c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</row>
    <row r="199" spans="1:15">
      <c r="A199" s="46"/>
      <c r="B199" s="47">
        <f t="shared" si="27"/>
        <v>2.5</v>
      </c>
      <c r="C199" s="70">
        <f t="shared" si="28"/>
        <v>1.2667199551648474</v>
      </c>
      <c r="D199" s="70">
        <f t="shared" si="29"/>
        <v>1.2399855282364414</v>
      </c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</row>
    <row r="200" spans="1:15">
      <c r="A200" s="46"/>
      <c r="B200" s="47">
        <f t="shared" si="27"/>
        <v>3</v>
      </c>
      <c r="C200" s="70">
        <f t="shared" si="28"/>
        <v>1.6808652430130147</v>
      </c>
      <c r="D200" s="70">
        <f t="shared" si="29"/>
        <v>1.6453901809579758</v>
      </c>
      <c r="E200" s="46"/>
      <c r="F200" s="46"/>
      <c r="G200" s="213"/>
      <c r="H200" s="213"/>
      <c r="I200" s="213"/>
      <c r="J200" s="213"/>
      <c r="K200" s="213"/>
      <c r="L200" s="213"/>
      <c r="M200" s="213"/>
      <c r="N200" s="213"/>
      <c r="O200" s="46"/>
    </row>
    <row r="201" spans="1:15">
      <c r="A201" s="46"/>
      <c r="B201" s="47">
        <f t="shared" si="27"/>
        <v>3.5</v>
      </c>
      <c r="C201" s="70">
        <f t="shared" si="28"/>
        <v>2.1526851975724286</v>
      </c>
      <c r="D201" s="70">
        <f t="shared" si="29"/>
        <v>2.1072522627870347</v>
      </c>
      <c r="E201" s="46"/>
      <c r="F201" s="213"/>
      <c r="G201" s="46"/>
      <c r="H201" s="46"/>
      <c r="I201" s="46"/>
      <c r="J201" s="46"/>
      <c r="K201" s="46"/>
      <c r="L201" s="46"/>
      <c r="M201" s="46"/>
      <c r="N201" s="46"/>
      <c r="O201" s="46"/>
    </row>
    <row r="202" spans="1:15">
      <c r="A202" s="46"/>
      <c r="B202" s="47">
        <f t="shared" si="27"/>
        <v>4</v>
      </c>
      <c r="C202" s="70">
        <f t="shared" si="28"/>
        <v>2.6777660818132532</v>
      </c>
      <c r="D202" s="70">
        <f t="shared" si="29"/>
        <v>2.6212511896670372</v>
      </c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</row>
    <row r="203" spans="1:15">
      <c r="A203" s="46"/>
      <c r="B203" s="47">
        <f t="shared" si="27"/>
        <v>4.5</v>
      </c>
      <c r="C203" s="70">
        <f t="shared" si="28"/>
        <v>3.2521333228852658</v>
      </c>
      <c r="D203" s="70">
        <f t="shared" si="29"/>
        <v>3.1834962730562082</v>
      </c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</row>
    <row r="204" spans="1:15">
      <c r="A204" s="46"/>
      <c r="B204" s="47">
        <f t="shared" si="27"/>
        <v>5</v>
      </c>
      <c r="C204" s="70">
        <f t="shared" si="28"/>
        <v>3.87219821710856</v>
      </c>
      <c r="D204" s="70">
        <f t="shared" si="29"/>
        <v>3.7904745497221715</v>
      </c>
      <c r="E204" s="213"/>
      <c r="F204" s="46"/>
      <c r="G204" s="46"/>
      <c r="H204" s="46"/>
      <c r="I204" s="46"/>
      <c r="J204" s="46"/>
      <c r="K204" s="46"/>
      <c r="L204" s="46"/>
      <c r="M204" s="46"/>
      <c r="N204" s="46"/>
      <c r="O204" s="46"/>
    </row>
    <row r="205" spans="1:15">
      <c r="A205" s="46"/>
      <c r="B205" s="46"/>
      <c r="C205" s="46"/>
      <c r="D205" s="213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</row>
    <row r="206" spans="1:15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</row>
    <row r="207" spans="1:15" ht="26.25">
      <c r="A207" s="624" t="s">
        <v>280</v>
      </c>
      <c r="B207" s="624"/>
      <c r="C207" s="624"/>
      <c r="D207" s="624"/>
      <c r="E207" s="624"/>
      <c r="F207" s="624"/>
      <c r="G207" s="624"/>
      <c r="H207" s="624"/>
      <c r="I207" s="624"/>
      <c r="J207" s="624"/>
      <c r="K207" s="624"/>
      <c r="L207" s="624"/>
      <c r="M207" s="624"/>
      <c r="N207" s="624"/>
      <c r="O207" s="624"/>
    </row>
    <row r="208" spans="1:15" ht="18.75">
      <c r="A208" s="46"/>
      <c r="B208" s="242"/>
      <c r="C208" s="242"/>
      <c r="D208" s="242"/>
      <c r="E208" s="242"/>
      <c r="F208" s="242"/>
      <c r="G208" s="46"/>
      <c r="H208" s="46"/>
      <c r="I208" s="46"/>
      <c r="J208" s="46"/>
      <c r="K208" s="46"/>
      <c r="L208" s="46"/>
      <c r="M208" s="46"/>
      <c r="N208" s="46"/>
      <c r="O208" s="46"/>
    </row>
    <row r="209" spans="1:15">
      <c r="A209" s="46"/>
      <c r="B209" s="651" t="str">
        <f>B191</f>
        <v>Superficie solida ocupada por el hilo (Ss) Estándar=</v>
      </c>
      <c r="C209" s="651"/>
      <c r="D209" s="651"/>
      <c r="E209" s="651"/>
      <c r="F209" s="227">
        <f>F191</f>
        <v>40.895060000000001</v>
      </c>
      <c r="G209" s="46"/>
      <c r="H209" s="46"/>
      <c r="I209" s="46"/>
      <c r="J209" s="46"/>
      <c r="K209" s="46"/>
      <c r="L209" s="46"/>
      <c r="M209" s="46"/>
      <c r="N209" s="46"/>
      <c r="O209" s="46"/>
    </row>
    <row r="210" spans="1:15">
      <c r="A210" s="46"/>
      <c r="B210" s="651" t="str">
        <f>B192</f>
        <v>Superficie solida ocupada por el hilo (Ss) Modificada=</v>
      </c>
      <c r="C210" s="651"/>
      <c r="D210" s="651"/>
      <c r="E210" s="651"/>
      <c r="F210" s="227">
        <f>F192</f>
        <v>40.031959999999998</v>
      </c>
      <c r="G210" s="46"/>
      <c r="H210" s="46"/>
      <c r="I210" s="46"/>
      <c r="J210" s="46"/>
      <c r="K210" s="46"/>
      <c r="L210" s="46"/>
      <c r="M210" s="46"/>
      <c r="N210" s="46"/>
      <c r="O210" s="46"/>
    </row>
    <row r="211" spans="1:15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</row>
    <row r="212" spans="1:15">
      <c r="A212" s="46"/>
      <c r="B212" s="229" t="str">
        <f t="shared" ref="B212:D213" si="30">B194</f>
        <v>Velocidad</v>
      </c>
      <c r="C212" s="229" t="str">
        <f t="shared" si="30"/>
        <v>RN Estándar</v>
      </c>
      <c r="D212" s="237" t="str">
        <f t="shared" si="30"/>
        <v>RN Modificada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</row>
    <row r="213" spans="1:15">
      <c r="A213" s="46"/>
      <c r="B213" s="69" t="str">
        <f t="shared" si="30"/>
        <v>Nudos</v>
      </c>
      <c r="C213" s="69" t="str">
        <f t="shared" si="30"/>
        <v>Ton</v>
      </c>
      <c r="D213" s="69" t="str">
        <f t="shared" si="30"/>
        <v>Ton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</row>
    <row r="214" spans="1:15">
      <c r="A214" s="46"/>
      <c r="B214" s="47">
        <f t="shared" ref="B214:B222" si="31">B196</f>
        <v>1</v>
      </c>
      <c r="C214" s="70">
        <f t="shared" ref="C214:C222" si="32">$F$209*(((0.00624+0.00475*($B214^2))/(1+0.0641*$B214)))</f>
        <v>0.42236322657644959</v>
      </c>
      <c r="D214" s="70">
        <f>$F$210*(((0.00624+0.00475*($B214^2))/(1+0.0641*$B214)))</f>
        <v>0.41344914989192738</v>
      </c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</row>
    <row r="215" spans="1:15">
      <c r="A215" s="46"/>
      <c r="B215" s="47">
        <f t="shared" si="31"/>
        <v>1.5</v>
      </c>
      <c r="C215" s="70">
        <f t="shared" si="32"/>
        <v>0.6315295608721434</v>
      </c>
      <c r="D215" s="70">
        <f t="shared" ref="D215:D222" si="33">$F$210*(((0.00624+0.00475*($B215^2))/(1+0.0641*$B215)))</f>
        <v>0.61820097878939917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</row>
    <row r="216" spans="1:15">
      <c r="A216" s="46"/>
      <c r="B216" s="47">
        <f t="shared" si="31"/>
        <v>2</v>
      </c>
      <c r="C216" s="70">
        <f t="shared" si="32"/>
        <v>0.91490100549547948</v>
      </c>
      <c r="D216" s="70">
        <f t="shared" si="33"/>
        <v>0.89559180145364281</v>
      </c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</row>
    <row r="217" spans="1:15">
      <c r="A217" s="46"/>
      <c r="B217" s="47">
        <f t="shared" si="31"/>
        <v>2.5</v>
      </c>
      <c r="C217" s="70">
        <f t="shared" si="32"/>
        <v>1.2663281776772248</v>
      </c>
      <c r="D217" s="70">
        <f t="shared" si="33"/>
        <v>1.2396020193061839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</row>
    <row r="218" spans="1:15">
      <c r="A218" s="46"/>
      <c r="B218" s="47">
        <f t="shared" si="31"/>
        <v>3</v>
      </c>
      <c r="C218" s="70">
        <f t="shared" si="32"/>
        <v>1.6803228964186867</v>
      </c>
      <c r="D218" s="70">
        <f t="shared" si="33"/>
        <v>1.6448592807179403</v>
      </c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</row>
    <row r="219" spans="1:15">
      <c r="A219" s="46"/>
      <c r="B219" s="47">
        <f t="shared" si="31"/>
        <v>3.5</v>
      </c>
      <c r="C219" s="70">
        <f t="shared" si="32"/>
        <v>2.1519716405847999</v>
      </c>
      <c r="D219" s="70">
        <f t="shared" si="33"/>
        <v>2.1065537655899047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</row>
    <row r="220" spans="1:15">
      <c r="A220" s="46"/>
      <c r="B220" s="47">
        <f t="shared" si="31"/>
        <v>4</v>
      </c>
      <c r="C220" s="70">
        <f t="shared" si="32"/>
        <v>2.6768622527857371</v>
      </c>
      <c r="D220" s="70">
        <f t="shared" si="33"/>
        <v>2.620366436166826</v>
      </c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</row>
    <row r="221" spans="1:15">
      <c r="A221" s="46"/>
      <c r="B221" s="47">
        <f t="shared" si="31"/>
        <v>4.5</v>
      </c>
      <c r="C221" s="70">
        <f t="shared" si="32"/>
        <v>3.2510215826380531</v>
      </c>
      <c r="D221" s="70">
        <f t="shared" si="33"/>
        <v>3.1824079963522052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</row>
    <row r="222" spans="1:15">
      <c r="A222" s="46"/>
      <c r="B222" s="47">
        <f t="shared" si="31"/>
        <v>5</v>
      </c>
      <c r="C222" s="70">
        <f t="shared" si="32"/>
        <v>3.8708622108292312</v>
      </c>
      <c r="D222" s="70">
        <f t="shared" si="33"/>
        <v>3.789166740174176</v>
      </c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</row>
    <row r="223" spans="1:15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</row>
    <row r="224" spans="1:15">
      <c r="A224" s="46"/>
      <c r="B224" s="46"/>
      <c r="C224" s="46"/>
      <c r="D224" s="46"/>
      <c r="E224" s="46"/>
      <c r="F224" s="46"/>
      <c r="G224" s="213"/>
      <c r="H224" s="213"/>
      <c r="I224" s="213"/>
      <c r="J224" s="213"/>
      <c r="K224" s="213"/>
      <c r="L224" s="213"/>
      <c r="M224" s="213"/>
      <c r="N224" s="213"/>
      <c r="O224" s="46"/>
    </row>
    <row r="225" spans="1:1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</row>
    <row r="226" spans="1:15">
      <c r="A226" s="46"/>
      <c r="B226" s="46"/>
      <c r="C226" s="46"/>
      <c r="D226" s="46"/>
      <c r="E226" s="46"/>
      <c r="F226" s="213"/>
      <c r="G226" s="46"/>
      <c r="H226" s="46"/>
      <c r="I226" s="46"/>
      <c r="J226" s="46"/>
      <c r="K226" s="46"/>
      <c r="L226" s="46"/>
      <c r="M226" s="46"/>
      <c r="N226" s="46"/>
      <c r="O226" s="46"/>
    </row>
    <row r="227" spans="1:15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</row>
    <row r="228" spans="1:15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</row>
    <row r="229" spans="1:15" ht="26.25">
      <c r="A229" s="624" t="s">
        <v>281</v>
      </c>
      <c r="B229" s="624"/>
      <c r="C229" s="624"/>
      <c r="D229" s="624"/>
      <c r="E229" s="624"/>
      <c r="F229" s="624"/>
      <c r="G229" s="624"/>
      <c r="H229" s="624"/>
      <c r="I229" s="624"/>
      <c r="J229" s="624"/>
      <c r="K229" s="624"/>
      <c r="L229" s="624"/>
      <c r="M229" s="624"/>
      <c r="N229" s="624"/>
      <c r="O229" s="624"/>
    </row>
    <row r="230" spans="1:15">
      <c r="A230" s="46"/>
      <c r="B230" s="213"/>
      <c r="C230" s="213"/>
      <c r="D230" s="213"/>
      <c r="E230" s="213"/>
      <c r="F230" s="213"/>
      <c r="G230" s="46"/>
      <c r="H230" s="46"/>
      <c r="I230" s="46"/>
      <c r="J230" s="46"/>
      <c r="K230" s="46"/>
      <c r="L230" s="46"/>
      <c r="M230" s="46"/>
      <c r="N230" s="46"/>
      <c r="O230" s="46"/>
    </row>
    <row r="231" spans="1:15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</row>
    <row r="232" spans="1:15">
      <c r="A232" s="46"/>
      <c r="B232" s="656" t="str">
        <f>B191</f>
        <v>Superficie solida ocupada por el hilo (Ss) Estándar=</v>
      </c>
      <c r="C232" s="656"/>
      <c r="D232" s="656"/>
      <c r="E232" s="656"/>
      <c r="F232" s="227">
        <f>F209</f>
        <v>40.895060000000001</v>
      </c>
      <c r="G232" s="46"/>
      <c r="H232" s="46"/>
      <c r="I232" s="46"/>
      <c r="J232" s="46"/>
      <c r="K232" s="46"/>
      <c r="L232" s="46"/>
      <c r="M232" s="46"/>
      <c r="N232" s="46"/>
      <c r="O232" s="46"/>
    </row>
    <row r="233" spans="1:15">
      <c r="A233" s="46"/>
      <c r="B233" s="656" t="str">
        <f>B192</f>
        <v>Superficie solida ocupada por el hilo (Ss) Modificada=</v>
      </c>
      <c r="C233" s="656"/>
      <c r="D233" s="656"/>
      <c r="E233" s="656"/>
      <c r="F233" s="227">
        <f>F210</f>
        <v>40.031959999999998</v>
      </c>
      <c r="G233" s="46"/>
      <c r="H233" s="46"/>
      <c r="I233" s="46"/>
      <c r="J233" s="46"/>
      <c r="K233" s="46"/>
      <c r="L233" s="46"/>
      <c r="M233" s="46"/>
      <c r="N233" s="46"/>
      <c r="O233" s="46"/>
    </row>
    <row r="234" spans="1:15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</row>
    <row r="235" spans="1:15">
      <c r="A235" s="46"/>
      <c r="B235" s="229" t="str">
        <f t="shared" ref="B235:D236" si="34">B212</f>
        <v>Velocidad</v>
      </c>
      <c r="C235" s="229" t="str">
        <f t="shared" si="34"/>
        <v>RN Estándar</v>
      </c>
      <c r="D235" s="229" t="str">
        <f t="shared" si="34"/>
        <v>RN Modificada</v>
      </c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</row>
    <row r="236" spans="1:15">
      <c r="A236" s="46"/>
      <c r="B236" s="229" t="str">
        <f t="shared" si="34"/>
        <v>Nudos</v>
      </c>
      <c r="C236" s="229" t="str">
        <f t="shared" si="34"/>
        <v>Ton</v>
      </c>
      <c r="D236" s="229" t="str">
        <f t="shared" si="34"/>
        <v>Ton</v>
      </c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</row>
    <row r="237" spans="1:15">
      <c r="A237" s="46"/>
      <c r="B237" s="47">
        <f t="shared" ref="B237:B245" si="35">B214</f>
        <v>1</v>
      </c>
      <c r="C237" s="70">
        <f t="shared" ref="C237:C245" si="36">$F$232*((0.00868*($B237^2))/(1+0.00475*$B237))</f>
        <v>0.35329098860413038</v>
      </c>
      <c r="D237" s="70">
        <f>$F$233*((0.00868*($B237^2))/(1+0.00475*$B237))</f>
        <v>0.34583469798457328</v>
      </c>
      <c r="E237" s="46"/>
      <c r="F237" s="46"/>
      <c r="G237" s="213"/>
      <c r="H237" s="213"/>
      <c r="I237" s="213"/>
      <c r="J237" s="213"/>
      <c r="K237" s="213"/>
      <c r="L237" s="213"/>
      <c r="M237" s="213"/>
      <c r="N237" s="213"/>
      <c r="O237" s="46"/>
    </row>
    <row r="238" spans="1:15">
      <c r="A238" s="46"/>
      <c r="B238" s="47">
        <f t="shared" si="35"/>
        <v>1.5</v>
      </c>
      <c r="C238" s="70">
        <f t="shared" si="36"/>
        <v>0.79303018175499551</v>
      </c>
      <c r="D238" s="70">
        <f t="shared" ref="D238:D245" si="37">$F$233*((0.00868*($B238^2))/(1+0.00475*$B238))</f>
        <v>0.77629309052997375</v>
      </c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</row>
    <row r="239" spans="1:15">
      <c r="A239" s="46"/>
      <c r="B239" s="47">
        <f t="shared" si="35"/>
        <v>2</v>
      </c>
      <c r="C239" s="70">
        <f t="shared" si="36"/>
        <v>1.4065145945517583</v>
      </c>
      <c r="D239" s="70">
        <f t="shared" si="37"/>
        <v>1.376829768400198</v>
      </c>
      <c r="E239" s="46"/>
      <c r="F239" s="213"/>
      <c r="G239" s="46"/>
      <c r="H239" s="46"/>
      <c r="I239" s="46"/>
      <c r="J239" s="46"/>
      <c r="K239" s="46"/>
      <c r="L239" s="46"/>
      <c r="M239" s="46"/>
      <c r="N239" s="46"/>
      <c r="O239" s="46"/>
    </row>
    <row r="240" spans="1:15">
      <c r="A240" s="46"/>
      <c r="B240" s="47">
        <f t="shared" si="35"/>
        <v>2.5</v>
      </c>
      <c r="C240" s="70">
        <f t="shared" si="36"/>
        <v>2.1925208202594191</v>
      </c>
      <c r="D240" s="70">
        <f t="shared" si="37"/>
        <v>2.1462471451513276</v>
      </c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</row>
    <row r="241" spans="1:15">
      <c r="A241" s="46"/>
      <c r="B241" s="47">
        <f t="shared" si="35"/>
        <v>3</v>
      </c>
      <c r="C241" s="70">
        <f t="shared" si="36"/>
        <v>3.1498369112151834</v>
      </c>
      <c r="D241" s="70">
        <f t="shared" si="37"/>
        <v>3.0833588515651953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</row>
    <row r="242" spans="1:15">
      <c r="A242" s="46"/>
      <c r="B242" s="47">
        <f t="shared" si="35"/>
        <v>3.5</v>
      </c>
      <c r="C242" s="70">
        <f t="shared" si="36"/>
        <v>4.2772622449772539</v>
      </c>
      <c r="D242" s="70">
        <f t="shared" si="37"/>
        <v>4.1869896046231405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</row>
    <row r="243" spans="1:15">
      <c r="A243" s="46"/>
      <c r="B243" s="47">
        <f t="shared" si="35"/>
        <v>4</v>
      </c>
      <c r="C243" s="70">
        <f t="shared" si="36"/>
        <v>5.5736073923454379</v>
      </c>
      <c r="D243" s="70">
        <f t="shared" si="37"/>
        <v>5.4559750783120711</v>
      </c>
      <c r="E243" s="213"/>
      <c r="F243" s="46"/>
      <c r="G243" s="46"/>
      <c r="H243" s="46"/>
      <c r="I243" s="46"/>
      <c r="J243" s="46"/>
      <c r="K243" s="46"/>
      <c r="L243" s="46"/>
      <c r="M243" s="46"/>
      <c r="N243" s="46"/>
      <c r="O243" s="46"/>
    </row>
    <row r="244" spans="1:15">
      <c r="A244" s="46"/>
      <c r="B244" s="47">
        <f t="shared" si="35"/>
        <v>4.5</v>
      </c>
      <c r="C244" s="70">
        <f t="shared" si="36"/>
        <v>7.0376939872231068</v>
      </c>
      <c r="D244" s="70">
        <f t="shared" si="37"/>
        <v>6.8891617762330197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</row>
    <row r="245" spans="1:15">
      <c r="A245" s="46"/>
      <c r="B245" s="47">
        <f t="shared" si="35"/>
        <v>5</v>
      </c>
      <c r="C245" s="70">
        <f t="shared" si="36"/>
        <v>8.6683545982906001</v>
      </c>
      <c r="D245" s="70">
        <f t="shared" si="37"/>
        <v>8.4854069059829058</v>
      </c>
      <c r="E245" s="227"/>
      <c r="F245" s="46"/>
      <c r="G245" s="46"/>
      <c r="H245" s="46"/>
      <c r="I245" s="46"/>
      <c r="J245" s="46"/>
      <c r="K245" s="46"/>
      <c r="L245" s="46"/>
      <c r="M245" s="46"/>
      <c r="N245" s="46"/>
      <c r="O245" s="46"/>
    </row>
    <row r="246" spans="1:15">
      <c r="A246" s="46"/>
      <c r="B246" s="50"/>
      <c r="C246" s="232"/>
      <c r="D246" s="232"/>
      <c r="E246" s="227"/>
      <c r="F246" s="46"/>
      <c r="G246" s="46"/>
      <c r="H246" s="46"/>
      <c r="I246" s="46"/>
      <c r="J246" s="46"/>
      <c r="K246" s="46"/>
      <c r="L246" s="46"/>
      <c r="M246" s="46"/>
      <c r="N246" s="46"/>
      <c r="O246" s="46"/>
    </row>
    <row r="247" spans="1:15">
      <c r="A247" s="46"/>
      <c r="B247" s="50"/>
      <c r="C247" s="232"/>
      <c r="D247" s="232"/>
      <c r="E247" s="227"/>
      <c r="F247" s="46"/>
      <c r="G247" s="46"/>
      <c r="H247" s="46"/>
      <c r="I247" s="46"/>
      <c r="J247" s="46"/>
      <c r="K247" s="46"/>
      <c r="L247" s="46"/>
      <c r="M247" s="46"/>
      <c r="N247" s="46"/>
      <c r="O247" s="46"/>
    </row>
    <row r="248" spans="1:15" ht="26.25">
      <c r="A248" s="624" t="s">
        <v>282</v>
      </c>
      <c r="B248" s="624"/>
      <c r="C248" s="624"/>
      <c r="D248" s="624"/>
      <c r="E248" s="624"/>
      <c r="F248" s="624"/>
      <c r="G248" s="624"/>
      <c r="H248" s="624"/>
      <c r="I248" s="624"/>
      <c r="J248" s="624"/>
      <c r="K248" s="624"/>
      <c r="L248" s="624"/>
      <c r="M248" s="624"/>
      <c r="N248" s="624"/>
      <c r="O248" s="624"/>
    </row>
    <row r="249" spans="1:15">
      <c r="A249" s="46"/>
      <c r="B249" s="213"/>
      <c r="C249" s="213"/>
      <c r="D249" s="213"/>
      <c r="E249" s="213"/>
      <c r="F249" s="213"/>
      <c r="G249" s="46"/>
      <c r="H249" s="46"/>
      <c r="I249" s="46"/>
      <c r="J249" s="46"/>
      <c r="K249" s="46"/>
      <c r="L249" s="46"/>
      <c r="M249" s="46"/>
      <c r="N249" s="46"/>
      <c r="O249" s="46"/>
    </row>
    <row r="250" spans="1:15">
      <c r="A250" s="46"/>
      <c r="B250" s="657" t="str">
        <f>B4</f>
        <v xml:space="preserve">Indice de filtración (Ø Hilo/ mL) estándar = </v>
      </c>
      <c r="C250" s="657"/>
      <c r="D250" s="657"/>
      <c r="E250" s="657"/>
      <c r="F250" s="225">
        <f>E4</f>
        <v>2.1277777777777781E-2</v>
      </c>
      <c r="G250" s="46"/>
      <c r="H250" s="46"/>
      <c r="I250" s="46"/>
      <c r="J250" s="46"/>
      <c r="K250" s="46"/>
      <c r="L250" s="46"/>
      <c r="M250" s="46"/>
      <c r="N250" s="46"/>
      <c r="O250" s="46"/>
    </row>
    <row r="251" spans="1:15">
      <c r="A251" s="46"/>
      <c r="B251" s="657" t="str">
        <f>B5</f>
        <v xml:space="preserve">Indice de filtración (Ø Hilo/ mL) modif = </v>
      </c>
      <c r="C251" s="657"/>
      <c r="D251" s="657"/>
      <c r="E251" s="657"/>
      <c r="F251" s="225">
        <f>E5</f>
        <v>1.9461538461538464E-2</v>
      </c>
      <c r="G251" s="46"/>
      <c r="H251" s="46"/>
      <c r="I251" s="46"/>
      <c r="J251" s="46"/>
      <c r="K251" s="46"/>
      <c r="L251" s="46"/>
      <c r="M251" s="46"/>
      <c r="N251" s="46"/>
      <c r="O251" s="46"/>
    </row>
    <row r="252" spans="1:15">
      <c r="A252" s="46"/>
      <c r="B252" s="657" t="str">
        <f>A110</f>
        <v>Superficie de Trabajo (ST) Estándar=</v>
      </c>
      <c r="C252" s="657"/>
      <c r="D252" s="657"/>
      <c r="E252" s="657"/>
      <c r="F252" s="227">
        <f>D110</f>
        <v>315.56555449711129</v>
      </c>
      <c r="G252" s="46"/>
      <c r="H252" s="46"/>
      <c r="I252" s="46"/>
      <c r="J252" s="46"/>
      <c r="K252" s="46"/>
      <c r="L252" s="46"/>
      <c r="M252" s="46"/>
      <c r="N252" s="46"/>
      <c r="O252" s="46"/>
    </row>
    <row r="253" spans="1:15">
      <c r="A253" s="46"/>
      <c r="B253" s="657" t="str">
        <f>A111</f>
        <v>Superficie de Trabajo (ST) Modificada=</v>
      </c>
      <c r="C253" s="657"/>
      <c r="D253" s="657"/>
      <c r="E253" s="657"/>
      <c r="F253" s="227">
        <f>D111</f>
        <v>307.14492526228588</v>
      </c>
      <c r="G253" s="46"/>
      <c r="H253" s="46"/>
      <c r="I253" s="46"/>
      <c r="J253" s="46"/>
      <c r="K253" s="46"/>
      <c r="L253" s="46"/>
      <c r="M253" s="46"/>
      <c r="N253" s="46"/>
      <c r="O253" s="46"/>
    </row>
    <row r="254" spans="1:15">
      <c r="A254" s="46"/>
      <c r="B254" s="657" t="str">
        <f>A112</f>
        <v xml:space="preserve">Angulo de ataque horizontal (α)= </v>
      </c>
      <c r="C254" s="657"/>
      <c r="D254" s="657"/>
      <c r="E254" s="657"/>
      <c r="F254" s="228">
        <f>D112</f>
        <v>10.633919691342186</v>
      </c>
      <c r="G254" s="46"/>
      <c r="H254" s="46"/>
      <c r="I254" s="46"/>
      <c r="J254" s="46"/>
      <c r="K254" s="46"/>
      <c r="L254" s="46"/>
      <c r="M254" s="46"/>
      <c r="N254" s="46"/>
      <c r="O254" s="46"/>
    </row>
    <row r="255" spans="1:15">
      <c r="A255" s="46"/>
      <c r="B255" s="239"/>
      <c r="C255" s="239"/>
      <c r="D255" s="239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</row>
    <row r="256" spans="1:15">
      <c r="A256" s="46"/>
      <c r="B256" s="47" t="str">
        <f>B235</f>
        <v>Velocidad</v>
      </c>
      <c r="C256" s="47"/>
      <c r="D256" s="47" t="str">
        <f>C235</f>
        <v>RN Estándar</v>
      </c>
      <c r="E256" s="240" t="str">
        <f>D235</f>
        <v>RN Modificada</v>
      </c>
      <c r="F256" s="46"/>
      <c r="G256" s="46"/>
      <c r="H256" s="46"/>
      <c r="I256" s="46"/>
      <c r="J256" s="46"/>
      <c r="K256" s="46"/>
      <c r="L256" s="46"/>
      <c r="M256" s="46"/>
      <c r="N256" s="46"/>
      <c r="O256" s="46"/>
    </row>
    <row r="257" spans="1:15">
      <c r="A257" s="46"/>
      <c r="B257" s="47" t="str">
        <f t="shared" ref="B257:B266" si="38">B236</f>
        <v>Nudos</v>
      </c>
      <c r="C257" s="47" t="str">
        <f t="shared" ref="C257:C266" si="39">C116</f>
        <v>[m/s]</v>
      </c>
      <c r="D257" s="47" t="str">
        <f>C236</f>
        <v>Ton</v>
      </c>
      <c r="E257" s="47" t="str">
        <f>D236</f>
        <v>Ton</v>
      </c>
      <c r="F257" s="46"/>
      <c r="G257" s="46"/>
      <c r="H257" s="46"/>
      <c r="I257" s="46"/>
      <c r="J257" s="46"/>
      <c r="K257" s="46"/>
      <c r="L257" s="46"/>
      <c r="M257" s="46"/>
      <c r="N257" s="46"/>
      <c r="O257" s="46"/>
    </row>
    <row r="258" spans="1:15">
      <c r="A258" s="46"/>
      <c r="B258" s="47">
        <f t="shared" si="38"/>
        <v>1</v>
      </c>
      <c r="C258" s="241">
        <f t="shared" si="39"/>
        <v>0.51439999999999997</v>
      </c>
      <c r="D258" s="70">
        <f t="shared" ref="D258:D266" si="40">((1.8+(2*$F$254)*($F$250-0.01))*$F$252*($C258^2))/1000</f>
        <v>0.17032978134673898</v>
      </c>
      <c r="E258" s="70">
        <f>((1.8+(2*$F$254)*($F$251-0.01))*$F$253*($C258^2))/1000</f>
        <v>0.16264529512087136</v>
      </c>
      <c r="F258" s="46"/>
      <c r="G258" s="46"/>
      <c r="H258" s="46"/>
      <c r="I258" s="46"/>
      <c r="J258" s="46"/>
      <c r="K258" s="46"/>
      <c r="L258" s="46"/>
      <c r="M258" s="46"/>
      <c r="N258" s="46"/>
      <c r="O258" s="46"/>
    </row>
    <row r="259" spans="1:15">
      <c r="A259" s="46"/>
      <c r="B259" s="47">
        <f t="shared" si="38"/>
        <v>1.5</v>
      </c>
      <c r="C259" s="241">
        <f t="shared" si="39"/>
        <v>0.77159999999999995</v>
      </c>
      <c r="D259" s="70">
        <f t="shared" si="40"/>
        <v>0.38324200803016273</v>
      </c>
      <c r="E259" s="70">
        <f t="shared" ref="E259:E266" si="41">((1.8+(2*$F$254)*($F$251-0.01))*$F$253*($C259^2))/1000</f>
        <v>0.36595191402196053</v>
      </c>
      <c r="F259" s="46"/>
      <c r="G259" s="46"/>
      <c r="H259" s="46"/>
      <c r="I259" s="46"/>
      <c r="J259" s="46"/>
      <c r="K259" s="46"/>
      <c r="L259" s="46"/>
      <c r="M259" s="46"/>
      <c r="N259" s="46"/>
      <c r="O259" s="46"/>
    </row>
    <row r="260" spans="1:15">
      <c r="A260" s="46"/>
      <c r="B260" s="47">
        <f t="shared" si="38"/>
        <v>2</v>
      </c>
      <c r="C260" s="241">
        <f t="shared" si="39"/>
        <v>1.0287999999999999</v>
      </c>
      <c r="D260" s="70">
        <f t="shared" si="40"/>
        <v>0.68131912538695594</v>
      </c>
      <c r="E260" s="70">
        <f t="shared" si="41"/>
        <v>0.65058118048348546</v>
      </c>
      <c r="F260" s="46"/>
      <c r="G260" s="46"/>
      <c r="H260" s="46"/>
      <c r="I260" s="46"/>
      <c r="J260" s="46"/>
      <c r="K260" s="46"/>
      <c r="L260" s="46"/>
      <c r="M260" s="46"/>
      <c r="N260" s="46"/>
      <c r="O260" s="46"/>
    </row>
    <row r="261" spans="1:15">
      <c r="A261" s="46"/>
      <c r="B261" s="47">
        <f t="shared" si="38"/>
        <v>2.5</v>
      </c>
      <c r="C261" s="241">
        <f t="shared" si="39"/>
        <v>1.286</v>
      </c>
      <c r="D261" s="70">
        <f t="shared" si="40"/>
        <v>1.064561133417119</v>
      </c>
      <c r="E261" s="70">
        <f t="shared" si="41"/>
        <v>1.0165330945054463</v>
      </c>
      <c r="F261" s="46"/>
      <c r="G261" s="46"/>
      <c r="H261" s="46"/>
      <c r="I261" s="46"/>
      <c r="J261" s="46"/>
      <c r="K261" s="46"/>
      <c r="L261" s="46"/>
      <c r="M261" s="46"/>
      <c r="N261" s="46"/>
      <c r="O261" s="46"/>
    </row>
    <row r="262" spans="1:15">
      <c r="A262" s="46"/>
      <c r="B262" s="47">
        <f t="shared" si="38"/>
        <v>3</v>
      </c>
      <c r="C262" s="241">
        <f t="shared" si="39"/>
        <v>1.5432000000000001</v>
      </c>
      <c r="D262" s="70">
        <f t="shared" si="40"/>
        <v>1.5329680321206516</v>
      </c>
      <c r="E262" s="70">
        <f t="shared" si="41"/>
        <v>1.4638076560878428</v>
      </c>
      <c r="F262" s="46"/>
      <c r="G262" s="46"/>
      <c r="H262" s="46"/>
      <c r="I262" s="46"/>
      <c r="J262" s="46"/>
      <c r="K262" s="46"/>
      <c r="L262" s="46"/>
      <c r="M262" s="46"/>
      <c r="N262" s="46"/>
      <c r="O262" s="46"/>
    </row>
    <row r="263" spans="1:15">
      <c r="A263" s="46"/>
      <c r="B263" s="47">
        <f t="shared" si="38"/>
        <v>3.5</v>
      </c>
      <c r="C263" s="241">
        <f t="shared" si="39"/>
        <v>1.8004</v>
      </c>
      <c r="D263" s="70">
        <f t="shared" si="40"/>
        <v>2.0865398214975532</v>
      </c>
      <c r="E263" s="70">
        <f t="shared" si="41"/>
        <v>1.9924048652306745</v>
      </c>
      <c r="F263" s="46"/>
      <c r="G263" s="46"/>
      <c r="H263" s="46"/>
      <c r="I263" s="46"/>
      <c r="J263" s="46"/>
      <c r="K263" s="46"/>
      <c r="L263" s="46"/>
      <c r="M263" s="46"/>
      <c r="N263" s="46"/>
      <c r="O263" s="46"/>
    </row>
    <row r="264" spans="1:15">
      <c r="A264" s="46"/>
      <c r="B264" s="47">
        <f t="shared" si="38"/>
        <v>4</v>
      </c>
      <c r="C264" s="241">
        <f t="shared" si="39"/>
        <v>2.0575999999999999</v>
      </c>
      <c r="D264" s="70">
        <f t="shared" si="40"/>
        <v>2.7252765015478237</v>
      </c>
      <c r="E264" s="70">
        <f t="shared" si="41"/>
        <v>2.6023247219339418</v>
      </c>
      <c r="F264" s="46"/>
      <c r="G264" s="46"/>
      <c r="H264" s="46"/>
      <c r="I264" s="46"/>
      <c r="J264" s="46"/>
      <c r="K264" s="46"/>
      <c r="L264" s="46"/>
      <c r="M264" s="46"/>
      <c r="N264" s="46"/>
      <c r="O264" s="46"/>
    </row>
    <row r="265" spans="1:15">
      <c r="A265" s="46"/>
      <c r="B265" s="47">
        <f t="shared" si="38"/>
        <v>4.5</v>
      </c>
      <c r="C265" s="241">
        <f t="shared" si="39"/>
        <v>2.3148</v>
      </c>
      <c r="D265" s="70">
        <f t="shared" si="40"/>
        <v>3.4491780722714647</v>
      </c>
      <c r="E265" s="70">
        <f t="shared" si="41"/>
        <v>3.293567226197645</v>
      </c>
      <c r="F265" s="46"/>
      <c r="G265" s="46"/>
      <c r="H265" s="46"/>
      <c r="I265" s="46"/>
      <c r="J265" s="46"/>
      <c r="K265" s="46"/>
      <c r="L265" s="46"/>
      <c r="M265" s="46"/>
      <c r="N265" s="46"/>
      <c r="O265" s="46"/>
    </row>
    <row r="266" spans="1:15">
      <c r="A266" s="46"/>
      <c r="B266" s="47">
        <f t="shared" si="38"/>
        <v>5</v>
      </c>
      <c r="C266" s="241">
        <f t="shared" si="39"/>
        <v>2.5720000000000001</v>
      </c>
      <c r="D266" s="70">
        <f t="shared" si="40"/>
        <v>4.258244533668476</v>
      </c>
      <c r="E266" s="70">
        <f t="shared" si="41"/>
        <v>4.0661323780217851</v>
      </c>
      <c r="F266" s="46"/>
      <c r="G266" s="46"/>
      <c r="H266" s="46"/>
      <c r="I266" s="46"/>
      <c r="J266" s="46"/>
      <c r="K266" s="46"/>
      <c r="L266" s="46"/>
      <c r="M266" s="46"/>
      <c r="N266" s="46"/>
      <c r="O266" s="46"/>
    </row>
    <row r="267" spans="1:15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</row>
    <row r="268" spans="1:15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</row>
    <row r="269" spans="1:15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</row>
    <row r="270" spans="1:15" ht="26.25">
      <c r="A270" s="624" t="s">
        <v>531</v>
      </c>
      <c r="B270" s="624"/>
      <c r="C270" s="624"/>
      <c r="D270" s="624"/>
      <c r="E270" s="624"/>
      <c r="F270" s="624"/>
      <c r="G270" s="624"/>
      <c r="H270" s="624"/>
      <c r="I270" s="624"/>
      <c r="J270" s="624"/>
      <c r="K270" s="624"/>
      <c r="L270" s="624"/>
      <c r="M270" s="624"/>
      <c r="N270" s="624"/>
      <c r="O270" s="624"/>
    </row>
    <row r="271" spans="1:15">
      <c r="A271" s="352"/>
      <c r="B271" s="658" t="str">
        <f>B250</f>
        <v xml:space="preserve">Indice de filtración (Ø Hilo/ mL) estándar = </v>
      </c>
      <c r="C271" s="658"/>
      <c r="D271" s="658"/>
      <c r="E271" s="658"/>
      <c r="F271" s="224">
        <f>F250</f>
        <v>2.1277777777777781E-2</v>
      </c>
      <c r="G271" s="352"/>
      <c r="H271" s="352"/>
      <c r="I271" s="352"/>
      <c r="J271" s="352"/>
      <c r="K271" s="352"/>
      <c r="L271" s="352"/>
      <c r="M271" s="352"/>
      <c r="N271" s="352"/>
      <c r="O271" s="352"/>
    </row>
    <row r="272" spans="1:15">
      <c r="A272" s="352"/>
      <c r="B272" s="658" t="str">
        <f>B251</f>
        <v xml:space="preserve">Indice de filtración (Ø Hilo/ mL) modif = </v>
      </c>
      <c r="C272" s="658"/>
      <c r="D272" s="658"/>
      <c r="E272" s="658"/>
      <c r="F272" s="224">
        <f>F251</f>
        <v>1.9461538461538464E-2</v>
      </c>
      <c r="G272" s="352"/>
      <c r="H272" s="352"/>
      <c r="I272" s="352"/>
      <c r="J272" s="352"/>
      <c r="K272" s="352"/>
      <c r="L272" s="352"/>
      <c r="M272" s="352"/>
      <c r="N272" s="352"/>
      <c r="O272" s="352"/>
    </row>
    <row r="273" spans="1:15" ht="17.25">
      <c r="A273" s="352"/>
      <c r="B273" s="658" t="str">
        <f>B252</f>
        <v>Superficie de Trabajo (ST) Estándar=</v>
      </c>
      <c r="C273" s="658"/>
      <c r="D273" s="658"/>
      <c r="E273" s="658"/>
      <c r="F273" s="224">
        <f>F252</f>
        <v>315.56555449711129</v>
      </c>
      <c r="G273" s="352" t="s">
        <v>534</v>
      </c>
      <c r="H273" s="352"/>
      <c r="I273" s="352"/>
      <c r="J273" s="352"/>
      <c r="K273" s="352"/>
      <c r="L273" s="352"/>
      <c r="M273" s="352"/>
      <c r="N273" s="352"/>
      <c r="O273" s="352"/>
    </row>
    <row r="274" spans="1:15" ht="17.25">
      <c r="A274" s="352"/>
      <c r="B274" s="658" t="str">
        <f>B253</f>
        <v>Superficie de Trabajo (ST) Modificada=</v>
      </c>
      <c r="C274" s="658"/>
      <c r="D274" s="658"/>
      <c r="E274" s="658"/>
      <c r="F274" s="224">
        <f>F253</f>
        <v>307.14492526228588</v>
      </c>
      <c r="G274" s="352" t="s">
        <v>534</v>
      </c>
      <c r="H274" s="352"/>
      <c r="I274" s="352"/>
      <c r="J274" s="352"/>
      <c r="K274" s="352"/>
      <c r="L274" s="352"/>
      <c r="M274" s="352"/>
      <c r="N274" s="352"/>
      <c r="O274" s="352"/>
    </row>
    <row r="275" spans="1:15" ht="17.25">
      <c r="A275" s="352"/>
      <c r="B275" s="658" t="s">
        <v>532</v>
      </c>
      <c r="C275" s="658"/>
      <c r="D275" s="658"/>
      <c r="E275" s="658"/>
      <c r="F275" s="47">
        <v>10.76</v>
      </c>
      <c r="G275" s="352" t="s">
        <v>533</v>
      </c>
      <c r="H275" s="352"/>
      <c r="I275" s="352"/>
      <c r="J275" s="352"/>
      <c r="K275" s="352"/>
      <c r="L275" s="352"/>
      <c r="M275" s="352"/>
      <c r="N275" s="352"/>
      <c r="O275" s="352"/>
    </row>
    <row r="276" spans="1:15" ht="17.25">
      <c r="A276" s="352"/>
      <c r="B276" s="658" t="str">
        <f>B273</f>
        <v>Superficie de Trabajo (ST) Estándar=</v>
      </c>
      <c r="C276" s="658"/>
      <c r="D276" s="658"/>
      <c r="E276" s="658"/>
      <c r="F276" s="224">
        <f>F273*$F$275</f>
        <v>3395.4853663889176</v>
      </c>
      <c r="G276" s="352" t="s">
        <v>533</v>
      </c>
      <c r="H276" s="352"/>
      <c r="I276" s="352"/>
      <c r="J276" s="352"/>
      <c r="K276" s="352"/>
      <c r="L276" s="352"/>
      <c r="M276" s="352"/>
      <c r="N276" s="352"/>
      <c r="O276" s="352"/>
    </row>
    <row r="277" spans="1:15" ht="17.25">
      <c r="A277" s="352"/>
      <c r="B277" s="658" t="str">
        <f>B274</f>
        <v>Superficie de Trabajo (ST) Modificada=</v>
      </c>
      <c r="C277" s="658"/>
      <c r="D277" s="658"/>
      <c r="E277" s="658"/>
      <c r="F277" s="224">
        <f>F274*$F$275</f>
        <v>3304.8793958221959</v>
      </c>
      <c r="G277" s="352" t="s">
        <v>533</v>
      </c>
      <c r="H277" s="352"/>
      <c r="I277" s="352"/>
      <c r="J277" s="352"/>
      <c r="K277" s="352"/>
      <c r="L277" s="352"/>
      <c r="M277" s="352"/>
      <c r="N277" s="352"/>
      <c r="O277" s="352"/>
    </row>
    <row r="278" spans="1:15">
      <c r="A278" s="352"/>
      <c r="B278" s="352"/>
      <c r="C278" s="352"/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</row>
    <row r="279" spans="1:15">
      <c r="A279" s="352"/>
      <c r="B279" s="352"/>
      <c r="C279" s="352"/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</row>
    <row r="280" spans="1:15">
      <c r="A280" s="352"/>
      <c r="B280" s="47" t="str">
        <f>B256</f>
        <v>Velocidad</v>
      </c>
      <c r="C280" s="47" t="s">
        <v>634</v>
      </c>
      <c r="D280" s="47" t="s">
        <v>635</v>
      </c>
      <c r="E280" s="47" t="s">
        <v>636</v>
      </c>
      <c r="F280" s="47" t="s">
        <v>530</v>
      </c>
      <c r="G280" s="352"/>
      <c r="H280" s="352"/>
      <c r="I280" s="352"/>
      <c r="J280" s="352"/>
      <c r="K280" s="352"/>
      <c r="L280" s="352"/>
      <c r="M280" s="352"/>
      <c r="N280" s="352"/>
      <c r="O280" s="352"/>
    </row>
    <row r="281" spans="1:15">
      <c r="A281" s="352"/>
      <c r="B281" s="47" t="str">
        <f t="shared" ref="B281:B290" si="42">B257</f>
        <v>Nudos</v>
      </c>
      <c r="C281" s="47" t="s">
        <v>560</v>
      </c>
      <c r="D281" s="47" t="s">
        <v>560</v>
      </c>
      <c r="E281" s="47" t="s">
        <v>266</v>
      </c>
      <c r="F281" s="47" t="s">
        <v>266</v>
      </c>
      <c r="G281" s="352"/>
      <c r="H281" s="352"/>
      <c r="I281" s="352"/>
      <c r="J281" s="352"/>
      <c r="K281" s="352"/>
      <c r="L281" s="352"/>
      <c r="M281" s="352"/>
      <c r="N281" s="352"/>
      <c r="O281" s="352"/>
    </row>
    <row r="282" spans="1:15">
      <c r="A282" s="352"/>
      <c r="B282" s="47">
        <f t="shared" si="42"/>
        <v>1</v>
      </c>
      <c r="C282" s="314">
        <f>'Mecánica de la Red'!P164</f>
        <v>5.7830121092076698</v>
      </c>
      <c r="D282" s="70">
        <f>'Mecánica de la Red'!O272</f>
        <v>4.6092533312720754</v>
      </c>
      <c r="E282" s="224">
        <f>(1/125)*$F$276*($F$271*(((1+(6.6*2*$C282*$D282))/$F$273)))</f>
        <v>0.64627849019750483</v>
      </c>
      <c r="F282" s="224">
        <f>(1/125)*$F$277*($F$272*(((1+(6.6*2*$C282*$D282))/$F$274)))</f>
        <v>0.59111312399265648</v>
      </c>
      <c r="G282" s="352"/>
      <c r="H282" s="352"/>
      <c r="I282" s="352"/>
      <c r="J282" s="352"/>
      <c r="K282" s="352"/>
      <c r="L282" s="352"/>
      <c r="M282" s="352"/>
      <c r="N282" s="352"/>
      <c r="O282" s="352"/>
    </row>
    <row r="283" spans="1:15">
      <c r="A283" s="352"/>
      <c r="B283" s="47">
        <f t="shared" si="42"/>
        <v>1.5</v>
      </c>
      <c r="C283" s="314">
        <f>'Mecánica de la Red'!P165</f>
        <v>8.6706847003464844</v>
      </c>
      <c r="D283" s="70">
        <f>'Mecánica de la Red'!O273</f>
        <v>3.3019400470820126</v>
      </c>
      <c r="E283" s="224">
        <f t="shared" ref="E283:E290" si="43">(1/125)*$F$276*($F$271*(((1+(6.6*2*$C283*$D283))/$F$273)))</f>
        <v>0.69402113694812462</v>
      </c>
      <c r="F283" s="224">
        <f t="shared" ref="F283:F290" si="44">(1/125)*$F$277*($F$272*(((1+(6.6*2*$C283*$D283))/$F$274)))</f>
        <v>0.63478052975733268</v>
      </c>
      <c r="G283" s="352"/>
      <c r="H283" s="352"/>
      <c r="I283" s="352"/>
      <c r="J283" s="352"/>
      <c r="K283" s="352"/>
      <c r="L283" s="352"/>
      <c r="M283" s="352"/>
      <c r="N283" s="352"/>
      <c r="O283" s="352"/>
    </row>
    <row r="284" spans="1:15">
      <c r="A284" s="352"/>
      <c r="B284" s="47">
        <f t="shared" si="42"/>
        <v>2</v>
      </c>
      <c r="C284" s="314">
        <f>'Mecánica de la Red'!P166</f>
        <v>10.614187572880988</v>
      </c>
      <c r="D284" s="70">
        <f>'Mecánica de la Red'!O274</f>
        <v>2.4711871177448623</v>
      </c>
      <c r="E284" s="224">
        <f t="shared" si="43"/>
        <v>0.63598575426356518</v>
      </c>
      <c r="F284" s="224">
        <f t="shared" si="44"/>
        <v>0.58169896061785009</v>
      </c>
      <c r="G284" s="352"/>
      <c r="H284" s="352"/>
      <c r="I284" s="352"/>
      <c r="J284" s="352"/>
      <c r="K284" s="352"/>
      <c r="L284" s="352"/>
      <c r="M284" s="352"/>
      <c r="N284" s="352"/>
      <c r="O284" s="352"/>
    </row>
    <row r="285" spans="1:15">
      <c r="A285" s="352"/>
      <c r="B285" s="47">
        <f t="shared" si="42"/>
        <v>2.5</v>
      </c>
      <c r="C285" s="314">
        <f>'Mecánica de la Red'!P167</f>
        <v>11.961772722750663</v>
      </c>
      <c r="D285" s="70">
        <f>'Mecánica de la Red'!O275</f>
        <v>1.9538376611766393</v>
      </c>
      <c r="E285" s="224">
        <f t="shared" si="43"/>
        <v>0.56688107347934535</v>
      </c>
      <c r="F285" s="224">
        <f t="shared" si="44"/>
        <v>0.51849295212390822</v>
      </c>
      <c r="G285" s="352"/>
      <c r="H285" s="352"/>
      <c r="I285" s="352"/>
      <c r="J285" s="352"/>
      <c r="K285" s="352"/>
      <c r="L285" s="352"/>
      <c r="M285" s="352"/>
      <c r="N285" s="352"/>
      <c r="O285" s="352"/>
    </row>
    <row r="286" spans="1:15">
      <c r="A286" s="352"/>
      <c r="B286" s="47">
        <f t="shared" si="42"/>
        <v>3</v>
      </c>
      <c r="C286" s="314">
        <f>'Mecánica de la Red'!P168</f>
        <v>12.964647941710439</v>
      </c>
      <c r="D286" s="70">
        <f>'Mecánica de la Red'!O276</f>
        <v>1.6209723283539148</v>
      </c>
      <c r="E286" s="224">
        <f t="shared" si="43"/>
        <v>0.50991941499490612</v>
      </c>
      <c r="F286" s="224">
        <f t="shared" si="44"/>
        <v>0.46639345569126384</v>
      </c>
      <c r="G286" s="352"/>
      <c r="H286" s="352"/>
      <c r="I286" s="352"/>
      <c r="J286" s="352"/>
      <c r="K286" s="352"/>
      <c r="L286" s="352"/>
      <c r="M286" s="352"/>
      <c r="N286" s="352"/>
      <c r="O286" s="352"/>
    </row>
    <row r="287" spans="1:15">
      <c r="A287" s="352"/>
      <c r="B287" s="47">
        <f t="shared" si="42"/>
        <v>3.5</v>
      </c>
      <c r="C287" s="314">
        <f>'Mecánica de la Red'!P169</f>
        <v>13.764819077382977</v>
      </c>
      <c r="D287" s="70">
        <f>'Mecánica de la Red'!O277</f>
        <v>1.3974823765680311</v>
      </c>
      <c r="E287" s="224">
        <f t="shared" si="43"/>
        <v>0.46690264056000036</v>
      </c>
      <c r="F287" s="224">
        <f t="shared" si="44"/>
        <v>0.42704852884318967</v>
      </c>
      <c r="G287" s="352"/>
      <c r="H287" s="352"/>
      <c r="I287" s="352"/>
      <c r="J287" s="352"/>
      <c r="K287" s="352"/>
      <c r="L287" s="352"/>
      <c r="M287" s="352"/>
      <c r="N287" s="352"/>
      <c r="O287" s="352"/>
    </row>
    <row r="288" spans="1:15">
      <c r="A288" s="352"/>
      <c r="B288" s="47">
        <f>B264</f>
        <v>4</v>
      </c>
      <c r="C288" s="314">
        <f>'Mecánica de la Red'!P170</f>
        <v>14.440852561888859</v>
      </c>
      <c r="D288" s="70">
        <f>'Mecánica de la Red'!O278</f>
        <v>1.2412317979054239</v>
      </c>
      <c r="E288" s="224">
        <f t="shared" si="43"/>
        <v>0.43519095507175959</v>
      </c>
      <c r="F288" s="224">
        <f t="shared" si="44"/>
        <v>0.3980437054422159</v>
      </c>
      <c r="G288" s="352"/>
      <c r="H288" s="352"/>
      <c r="I288" s="352"/>
      <c r="J288" s="352"/>
      <c r="K288" s="352"/>
      <c r="L288" s="352"/>
      <c r="M288" s="352"/>
      <c r="N288" s="352"/>
      <c r="O288" s="352"/>
    </row>
    <row r="289" spans="1:21">
      <c r="A289" s="352"/>
      <c r="B289" s="47">
        <f t="shared" si="42"/>
        <v>4.5</v>
      </c>
      <c r="C289" s="314">
        <f>'Mecánica de la Red'!P171</f>
        <v>15.037491532001072</v>
      </c>
      <c r="D289" s="70">
        <f>'Mecánica de la Red'!O279</f>
        <v>1.1280442621851567</v>
      </c>
      <c r="E289" s="224">
        <f t="shared" si="43"/>
        <v>0.41194502453276</v>
      </c>
      <c r="F289" s="224">
        <f t="shared" si="44"/>
        <v>0.37678201279819012</v>
      </c>
      <c r="G289" s="352"/>
      <c r="H289" s="352"/>
      <c r="I289" s="352"/>
      <c r="J289" s="352"/>
      <c r="K289" s="352"/>
      <c r="L289" s="352"/>
      <c r="M289" s="352"/>
      <c r="N289" s="352"/>
      <c r="O289" s="352"/>
    </row>
    <row r="290" spans="1:21">
      <c r="A290" s="352"/>
      <c r="B290" s="47">
        <f t="shared" si="42"/>
        <v>5</v>
      </c>
      <c r="C290" s="314">
        <f>'Mecánica de la Red'!P172</f>
        <v>15.581266869808893</v>
      </c>
      <c r="D290" s="70">
        <f>'Mecánica de la Red'!O280</f>
        <v>1.0435197186674827</v>
      </c>
      <c r="E290" s="224">
        <f t="shared" si="43"/>
        <v>0.39493416234260759</v>
      </c>
      <c r="F290" s="224">
        <f t="shared" si="44"/>
        <v>0.36122317238566676</v>
      </c>
      <c r="G290" s="352"/>
      <c r="H290" s="352"/>
      <c r="I290" s="352"/>
      <c r="J290" s="352"/>
      <c r="K290" s="352"/>
      <c r="L290" s="352"/>
      <c r="M290" s="352"/>
      <c r="N290" s="352"/>
      <c r="O290" s="352"/>
    </row>
    <row r="291" spans="1:21">
      <c r="A291" s="352"/>
      <c r="B291" s="352"/>
      <c r="C291" s="352"/>
      <c r="D291" s="352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</row>
    <row r="292" spans="1:21">
      <c r="A292" s="352"/>
      <c r="B292" s="352"/>
      <c r="C292" s="352"/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</row>
    <row r="295" spans="1:21">
      <c r="A295" s="525" t="s">
        <v>620</v>
      </c>
      <c r="B295" s="525"/>
      <c r="C295" s="525"/>
      <c r="D295" s="525"/>
      <c r="E295" s="525"/>
      <c r="F295" s="525"/>
      <c r="G295" s="525"/>
      <c r="H295" s="525"/>
      <c r="I295" s="525"/>
      <c r="J295" s="525"/>
      <c r="K295" s="525"/>
      <c r="L295" s="525"/>
      <c r="M295" s="525"/>
      <c r="N295" s="525"/>
      <c r="O295" s="525"/>
    </row>
    <row r="296" spans="1:21">
      <c r="A296" s="525"/>
      <c r="B296" s="525"/>
      <c r="C296" s="525"/>
      <c r="D296" s="525"/>
      <c r="E296" s="525"/>
      <c r="F296" s="525"/>
      <c r="G296" s="525"/>
      <c r="H296" s="525"/>
      <c r="I296" s="525"/>
      <c r="J296" s="525"/>
      <c r="K296" s="525"/>
      <c r="L296" s="525"/>
      <c r="M296" s="525"/>
      <c r="N296" s="525"/>
      <c r="O296" s="525"/>
    </row>
    <row r="297" spans="1:21" s="223" customFormat="1" ht="29.25" thickBot="1">
      <c r="A297" s="220"/>
      <c r="B297" s="525" t="s">
        <v>621</v>
      </c>
      <c r="C297" s="525"/>
      <c r="D297" s="525"/>
      <c r="E297" s="525"/>
      <c r="F297" s="525"/>
      <c r="G297" s="525"/>
      <c r="H297" s="525"/>
      <c r="I297" s="525"/>
      <c r="J297" s="525"/>
      <c r="K297" s="525"/>
      <c r="L297" s="525"/>
      <c r="M297" s="525"/>
      <c r="N297" s="220"/>
      <c r="O297" s="220"/>
    </row>
    <row r="298" spans="1:21">
      <c r="C298" s="258" t="s">
        <v>631</v>
      </c>
      <c r="D298" s="644" t="s">
        <v>622</v>
      </c>
      <c r="E298" s="645"/>
      <c r="F298" s="244" t="s">
        <v>100</v>
      </c>
      <c r="G298" s="248" t="s">
        <v>100</v>
      </c>
      <c r="H298" s="244" t="s">
        <v>633</v>
      </c>
      <c r="I298" s="642" t="str">
        <f t="array" ref="I298">A128</f>
        <v>Dr. NOMURA (1981)</v>
      </c>
      <c r="J298" s="642"/>
      <c r="K298" s="648" t="s">
        <v>623</v>
      </c>
      <c r="L298" s="648" t="s">
        <v>624</v>
      </c>
      <c r="M298" s="248" t="s">
        <v>627</v>
      </c>
      <c r="N298" s="244" t="s">
        <v>625</v>
      </c>
      <c r="O298" s="248" t="s">
        <v>625</v>
      </c>
      <c r="P298" s="648" t="s">
        <v>98</v>
      </c>
      <c r="Q298" s="642" t="s">
        <v>630</v>
      </c>
      <c r="R298" s="450" t="s">
        <v>371</v>
      </c>
      <c r="S298" s="766" t="s">
        <v>979</v>
      </c>
    </row>
    <row r="299" spans="1:21">
      <c r="C299" s="259" t="s">
        <v>632</v>
      </c>
      <c r="D299" s="646"/>
      <c r="E299" s="647"/>
      <c r="F299" s="200">
        <v>1974</v>
      </c>
      <c r="G299" s="260">
        <v>1984</v>
      </c>
      <c r="H299" s="199"/>
      <c r="I299" s="643"/>
      <c r="J299" s="643"/>
      <c r="K299" s="649"/>
      <c r="L299" s="649"/>
      <c r="M299" s="260" t="s">
        <v>628</v>
      </c>
      <c r="N299" s="200" t="s">
        <v>626</v>
      </c>
      <c r="O299" s="260" t="s">
        <v>629</v>
      </c>
      <c r="P299" s="649"/>
      <c r="Q299" s="643"/>
      <c r="R299" s="451" t="s">
        <v>950</v>
      </c>
      <c r="S299" s="767"/>
    </row>
    <row r="300" spans="1:21" ht="15.75" thickBot="1">
      <c r="A300" s="474" t="str">
        <f t="array" ref="A300">B9:C19</f>
        <v>Velocidad</v>
      </c>
      <c r="B300" s="474"/>
      <c r="C300" s="474" t="str">
        <f t="array" ref="C300">D9</f>
        <v>RN estándar</v>
      </c>
      <c r="D300" s="474"/>
      <c r="E300" s="474"/>
      <c r="F300" s="474"/>
      <c r="G300" s="474"/>
      <c r="H300" s="474"/>
      <c r="I300" s="195" t="str">
        <f>D130</f>
        <v>NHP 150 HP</v>
      </c>
      <c r="J300" s="195" t="str">
        <f>E130</f>
        <v>NHP 180 HP</v>
      </c>
      <c r="K300" s="474" t="str">
        <f>C152</f>
        <v>RN Estándar</v>
      </c>
      <c r="L300" s="474"/>
      <c r="M300" s="474"/>
      <c r="N300" s="474"/>
      <c r="O300" s="474"/>
      <c r="P300" s="474"/>
      <c r="Q300" s="526"/>
      <c r="R300" s="452"/>
      <c r="S300" s="768"/>
    </row>
    <row r="301" spans="1:21" ht="15.75" thickBot="1">
      <c r="A301" s="195" t="str">
        <f t="array" ref="A301">B10:C20</f>
        <v>Nudos</v>
      </c>
      <c r="B301" s="195" t="str">
        <f t="array" ref="B301">C10:D20</f>
        <v>[m/s]</v>
      </c>
      <c r="C301" s="761" t="str">
        <f t="array" ref="C301">D10</f>
        <v>Ton</v>
      </c>
      <c r="D301" s="762"/>
      <c r="E301" s="762"/>
      <c r="F301" s="762"/>
      <c r="G301" s="762"/>
      <c r="H301" s="762"/>
      <c r="I301" s="762"/>
      <c r="J301" s="762"/>
      <c r="K301" s="762"/>
      <c r="L301" s="762"/>
      <c r="M301" s="762"/>
      <c r="N301" s="762"/>
      <c r="O301" s="762"/>
      <c r="P301" s="762"/>
      <c r="Q301" s="762"/>
      <c r="R301" s="762"/>
      <c r="S301" s="610"/>
    </row>
    <row r="302" spans="1:21">
      <c r="A302" s="195">
        <f t="array" ref="A302">B11:C21</f>
        <v>1</v>
      </c>
      <c r="B302" s="252">
        <f t="array" ref="B302">C11:D21</f>
        <v>0.51439999999999997</v>
      </c>
      <c r="C302" s="252">
        <f t="array" ref="C302">D11</f>
        <v>0.43664128534237878</v>
      </c>
      <c r="D302" s="252">
        <f t="array" ref="D302">D30</f>
        <v>0.11592349328944201</v>
      </c>
      <c r="E302" s="252">
        <f t="shared" ref="E302:E310" si="45">L30</f>
        <v>0.15608338115255999</v>
      </c>
      <c r="F302" s="252">
        <f t="shared" ref="F302:F310" si="46">D74</f>
        <v>0.17163140908512051</v>
      </c>
      <c r="G302" s="252">
        <f t="shared" ref="G302:G310" si="47">C91</f>
        <v>0.24832616960000004</v>
      </c>
      <c r="H302" s="252">
        <f t="shared" ref="H302:H310" si="48">D117</f>
        <v>6.417532799802525E-2</v>
      </c>
      <c r="I302" s="252">
        <f t="shared" ref="I302:I310" si="49">D132</f>
        <v>2.0995334370139971</v>
      </c>
      <c r="J302" s="252">
        <f t="shared" ref="J302:J310" si="50">E132</f>
        <v>2.5194401244167968</v>
      </c>
      <c r="K302" s="252">
        <f t="shared" ref="K302:K310" si="51">C154</f>
        <v>0.24067243408662897</v>
      </c>
      <c r="L302" s="252">
        <f t="array" ref="L302">C174</f>
        <v>0.37978324665676078</v>
      </c>
      <c r="M302" s="252">
        <f t="shared" ref="M302:M310" si="52">C196</f>
        <v>0.42244579552739364</v>
      </c>
      <c r="N302" s="252">
        <f t="shared" ref="N302:N310" si="53">C214</f>
        <v>0.42236322657644959</v>
      </c>
      <c r="O302" s="252">
        <f t="shared" ref="O302:O310" si="54">C237</f>
        <v>0.35329098860413038</v>
      </c>
      <c r="P302" s="252">
        <f t="shared" ref="P302:P310" si="55">D258</f>
        <v>0.17032978134673898</v>
      </c>
      <c r="Q302" s="423">
        <f>E282</f>
        <v>0.64627849019750483</v>
      </c>
      <c r="R302" s="759">
        <f>AVERAGE(B302:P302)</f>
        <v>0.55433600671309491</v>
      </c>
      <c r="S302" s="763">
        <f>330.6/1000</f>
        <v>0.3306</v>
      </c>
      <c r="T302" s="765"/>
      <c r="U302" s="765"/>
    </row>
    <row r="303" spans="1:21">
      <c r="A303" s="195">
        <f t="array" ref="A303">B12:C22</f>
        <v>1.5</v>
      </c>
      <c r="B303" s="252">
        <f t="array" ref="B303">C12:D22</f>
        <v>0.77159999999999995</v>
      </c>
      <c r="C303" s="252">
        <f t="array" ref="C303">D12</f>
        <v>0.78606257987739081</v>
      </c>
      <c r="D303" s="252">
        <f t="array" ref="D303">D31</f>
        <v>0.26082785990124457</v>
      </c>
      <c r="E303" s="252">
        <f t="shared" si="45"/>
        <v>0.35118760759325995</v>
      </c>
      <c r="F303" s="252">
        <f t="shared" si="46"/>
        <v>0.38617067044152109</v>
      </c>
      <c r="G303" s="252">
        <f t="shared" si="47"/>
        <v>0.55873388160000015</v>
      </c>
      <c r="H303" s="252">
        <f t="shared" si="48"/>
        <v>0.14439448799555679</v>
      </c>
      <c r="I303" s="252">
        <f t="shared" si="49"/>
        <v>1.3996889580093315</v>
      </c>
      <c r="J303" s="252">
        <f t="shared" si="50"/>
        <v>1.6796267496111974</v>
      </c>
      <c r="K303" s="252">
        <f t="shared" si="51"/>
        <v>0.54151297669491516</v>
      </c>
      <c r="L303" s="252">
        <f t="array" ref="L303">C175</f>
        <v>0.65364697733892163</v>
      </c>
      <c r="M303" s="252">
        <f t="shared" si="52"/>
        <v>0.63168936629854988</v>
      </c>
      <c r="N303" s="252">
        <f t="shared" si="53"/>
        <v>0.6315295608721434</v>
      </c>
      <c r="O303" s="252">
        <f t="shared" si="54"/>
        <v>0.79303018175499551</v>
      </c>
      <c r="P303" s="252">
        <f t="shared" si="55"/>
        <v>0.38324200803016273</v>
      </c>
      <c r="Q303" s="423">
        <f t="shared" ref="Q303:Q310" si="56">E283</f>
        <v>0.69402113694812462</v>
      </c>
      <c r="R303" s="759">
        <f t="shared" ref="R303:R325" si="57">AVERAGE(C303:Q303)</f>
        <v>0.65969100019782101</v>
      </c>
      <c r="S303" s="452">
        <f>0.476</f>
        <v>0.47599999999999998</v>
      </c>
      <c r="T303" s="765"/>
      <c r="U303" s="255"/>
    </row>
    <row r="304" spans="1:21">
      <c r="A304" s="195">
        <f t="array" ref="A304">B13:C23</f>
        <v>2</v>
      </c>
      <c r="B304" s="252">
        <f t="array" ref="B304">C13:D23</f>
        <v>1.0287999999999999</v>
      </c>
      <c r="C304" s="252">
        <f t="array" ref="C304">D13</f>
        <v>1.1929391470773452</v>
      </c>
      <c r="D304" s="252">
        <f t="array" ref="D304">D32</f>
        <v>0.46369397315776806</v>
      </c>
      <c r="E304" s="252">
        <f t="shared" si="45"/>
        <v>0.62433352461023994</v>
      </c>
      <c r="F304" s="252">
        <f t="shared" si="46"/>
        <v>0.68652563634048203</v>
      </c>
      <c r="G304" s="252">
        <f t="shared" si="47"/>
        <v>0.99330467840000014</v>
      </c>
      <c r="H304" s="252">
        <f t="shared" si="48"/>
        <v>0.256701311992101</v>
      </c>
      <c r="I304" s="252">
        <f t="shared" si="49"/>
        <v>1.0497667185069985</v>
      </c>
      <c r="J304" s="252">
        <f t="shared" si="50"/>
        <v>1.2597200622083984</v>
      </c>
      <c r="K304" s="252">
        <f t="shared" si="51"/>
        <v>0.96268973634651589</v>
      </c>
      <c r="L304" s="252">
        <f t="array" ref="L304">C176</f>
        <v>0.94087334637064302</v>
      </c>
      <c r="M304" s="252">
        <f t="shared" si="52"/>
        <v>0.91516461430118201</v>
      </c>
      <c r="N304" s="252">
        <f t="shared" si="53"/>
        <v>0.91490100549547948</v>
      </c>
      <c r="O304" s="252">
        <f t="shared" si="54"/>
        <v>1.4065145945517583</v>
      </c>
      <c r="P304" s="252">
        <f t="shared" si="55"/>
        <v>0.68131912538695594</v>
      </c>
      <c r="Q304" s="423">
        <f t="shared" si="56"/>
        <v>0.63598575426356518</v>
      </c>
      <c r="R304" s="759">
        <f t="shared" si="57"/>
        <v>0.86562888193396215</v>
      </c>
      <c r="S304" s="452">
        <v>0.70430000000000004</v>
      </c>
      <c r="T304" s="765"/>
      <c r="U304" s="255"/>
    </row>
    <row r="305" spans="1:21">
      <c r="A305" s="195">
        <f t="array" ref="A305">B14:C24</f>
        <v>2.5</v>
      </c>
      <c r="B305" s="252">
        <f t="array" ref="B305">C14:D24</f>
        <v>1.286</v>
      </c>
      <c r="C305" s="252">
        <f t="array" ref="C305">D14</f>
        <v>1.6486854656491878</v>
      </c>
      <c r="D305" s="252">
        <f t="array" ref="D305">D33</f>
        <v>0.72452183305901285</v>
      </c>
      <c r="E305" s="252">
        <f t="shared" si="45"/>
        <v>0.97552113220350012</v>
      </c>
      <c r="F305" s="252">
        <f t="shared" si="46"/>
        <v>1.0726963067820035</v>
      </c>
      <c r="G305" s="252">
        <f t="shared" si="47"/>
        <v>1.5520385600000002</v>
      </c>
      <c r="H305" s="252">
        <f t="shared" si="48"/>
        <v>0.40109579998765793</v>
      </c>
      <c r="I305" s="252">
        <f t="shared" si="49"/>
        <v>0.8398133748055987</v>
      </c>
      <c r="J305" s="252">
        <f t="shared" si="50"/>
        <v>1.0077760497667185</v>
      </c>
      <c r="K305" s="252">
        <f t="shared" si="51"/>
        <v>1.5042027130414313</v>
      </c>
      <c r="L305" s="252">
        <f t="array" ref="L305">C177</f>
        <v>1.2350525489248612</v>
      </c>
      <c r="M305" s="252">
        <f t="shared" si="52"/>
        <v>1.2667199551648474</v>
      </c>
      <c r="N305" s="252">
        <f t="shared" si="53"/>
        <v>1.2663281776772248</v>
      </c>
      <c r="O305" s="252">
        <f t="shared" si="54"/>
        <v>2.1925208202594191</v>
      </c>
      <c r="P305" s="252">
        <f t="shared" si="55"/>
        <v>1.064561133417119</v>
      </c>
      <c r="Q305" s="423">
        <f t="shared" si="56"/>
        <v>0.56688107347934535</v>
      </c>
      <c r="R305" s="759">
        <f t="shared" si="57"/>
        <v>1.1545609962811951</v>
      </c>
      <c r="S305" s="452">
        <v>0.96730000000000005</v>
      </c>
      <c r="T305" s="765"/>
      <c r="U305" s="255"/>
    </row>
    <row r="306" spans="1:21">
      <c r="A306" s="195">
        <f t="array" ref="A306">B15:C25</f>
        <v>3</v>
      </c>
      <c r="B306" s="252">
        <f t="array" ref="B306">C15:D25</f>
        <v>1.5432000000000001</v>
      </c>
      <c r="C306" s="252">
        <f t="array" ref="C306">D15</f>
        <v>2.1475862568814672</v>
      </c>
      <c r="D306" s="252">
        <f t="array" ref="D306">D34</f>
        <v>1.0433114396049785</v>
      </c>
      <c r="E306" s="252">
        <f t="shared" si="45"/>
        <v>1.4047504303730403</v>
      </c>
      <c r="F306" s="252">
        <f t="shared" si="46"/>
        <v>1.544682681766085</v>
      </c>
      <c r="G306" s="252">
        <f t="shared" si="47"/>
        <v>2.2349355264000006</v>
      </c>
      <c r="H306" s="252">
        <f t="shared" si="48"/>
        <v>0.57757795198222739</v>
      </c>
      <c r="I306" s="252">
        <f t="shared" si="49"/>
        <v>0.69984447900466562</v>
      </c>
      <c r="J306" s="252">
        <f t="shared" si="50"/>
        <v>0.83981337480559859</v>
      </c>
      <c r="K306" s="252">
        <f t="shared" si="51"/>
        <v>2.1660519067796606</v>
      </c>
      <c r="L306" s="252">
        <f t="array" ref="L306">C178</f>
        <v>1.533309198466922</v>
      </c>
      <c r="M306" s="252">
        <f t="shared" si="52"/>
        <v>1.6808652430130147</v>
      </c>
      <c r="N306" s="252">
        <f t="shared" si="53"/>
        <v>1.6803228964186867</v>
      </c>
      <c r="O306" s="252">
        <f t="shared" si="54"/>
        <v>3.1498369112151834</v>
      </c>
      <c r="P306" s="252">
        <f t="shared" si="55"/>
        <v>1.5329680321206516</v>
      </c>
      <c r="Q306" s="423">
        <f t="shared" si="56"/>
        <v>0.50991941499490612</v>
      </c>
      <c r="R306" s="759">
        <f t="shared" si="57"/>
        <v>1.5163850495884728</v>
      </c>
      <c r="S306" s="452">
        <v>1.3312999999999999</v>
      </c>
      <c r="T306" s="765"/>
      <c r="U306" s="255"/>
    </row>
    <row r="307" spans="1:21">
      <c r="A307" s="195">
        <f t="array" ref="A307">B16:C26</f>
        <v>3.5</v>
      </c>
      <c r="B307" s="252">
        <f t="array" ref="B307">C16:D26</f>
        <v>1.8004</v>
      </c>
      <c r="C307" s="252">
        <f t="array" ref="C307">D16</f>
        <v>2.6854895148627609</v>
      </c>
      <c r="D307" s="252">
        <f t="array" ref="D307">D35</f>
        <v>1.4200627927956651</v>
      </c>
      <c r="E307" s="252">
        <f t="shared" si="45"/>
        <v>1.91202141911886</v>
      </c>
      <c r="F307" s="252">
        <f t="shared" si="46"/>
        <v>2.1024847612927267</v>
      </c>
      <c r="G307" s="252">
        <f t="shared" si="47"/>
        <v>3.0419955776000007</v>
      </c>
      <c r="H307" s="252">
        <f t="shared" si="48"/>
        <v>0.78614776797580943</v>
      </c>
      <c r="I307" s="252">
        <f t="shared" si="49"/>
        <v>0.59986669628971345</v>
      </c>
      <c r="J307" s="252">
        <f t="shared" si="50"/>
        <v>0.71984003554765608</v>
      </c>
      <c r="K307" s="252">
        <f t="shared" si="51"/>
        <v>2.9482373175612051</v>
      </c>
      <c r="L307" s="252">
        <f t="array" ref="L307">C179</f>
        <v>1.834161333430967</v>
      </c>
      <c r="M307" s="252">
        <f t="shared" si="52"/>
        <v>2.1526851975724286</v>
      </c>
      <c r="N307" s="252">
        <f t="shared" si="53"/>
        <v>2.1519716405847999</v>
      </c>
      <c r="O307" s="252">
        <f t="shared" si="54"/>
        <v>4.2772622449772539</v>
      </c>
      <c r="P307" s="252">
        <f t="shared" si="55"/>
        <v>2.0865398214975532</v>
      </c>
      <c r="Q307" s="423">
        <f t="shared" si="56"/>
        <v>0.46690264056000036</v>
      </c>
      <c r="R307" s="759">
        <f t="shared" si="57"/>
        <v>1.9457112507778267</v>
      </c>
      <c r="S307" s="452">
        <v>1.7519</v>
      </c>
      <c r="T307" s="765"/>
      <c r="U307" s="255"/>
    </row>
    <row r="308" spans="1:21">
      <c r="A308" s="195">
        <f t="array" ref="A308">B17:C27</f>
        <v>4</v>
      </c>
      <c r="B308" s="252">
        <f t="array" ref="B308">C17:D27</f>
        <v>2.0575999999999999</v>
      </c>
      <c r="C308" s="252">
        <f t="array" ref="C308">D17</f>
        <v>3.2592057975318118</v>
      </c>
      <c r="D308" s="252">
        <f t="array" ref="D308">D36</f>
        <v>1.8547758926310722</v>
      </c>
      <c r="E308" s="252">
        <f t="shared" si="45"/>
        <v>2.4973340984409598</v>
      </c>
      <c r="F308" s="252">
        <f t="shared" si="46"/>
        <v>2.7461025453619281</v>
      </c>
      <c r="G308" s="252">
        <f t="shared" si="47"/>
        <v>3.9732187136000006</v>
      </c>
      <c r="H308" s="252">
        <f t="shared" si="48"/>
        <v>1.026805247968404</v>
      </c>
      <c r="I308" s="252">
        <f t="shared" si="49"/>
        <v>0.52488335925349927</v>
      </c>
      <c r="J308" s="252">
        <f t="shared" si="50"/>
        <v>0.62986003110419919</v>
      </c>
      <c r="K308" s="252">
        <f t="shared" si="51"/>
        <v>3.8507589453860636</v>
      </c>
      <c r="L308" s="252">
        <f t="array" ref="L308">C180</f>
        <v>2.13676755273986</v>
      </c>
      <c r="M308" s="252">
        <f t="shared" si="52"/>
        <v>2.6777660818132532</v>
      </c>
      <c r="N308" s="252">
        <f t="shared" si="53"/>
        <v>2.6768622527857371</v>
      </c>
      <c r="O308" s="252">
        <f t="shared" si="54"/>
        <v>5.5736073923454379</v>
      </c>
      <c r="P308" s="252">
        <f t="shared" si="55"/>
        <v>2.7252765015478237</v>
      </c>
      <c r="Q308" s="423">
        <f t="shared" si="56"/>
        <v>0.43519095507175959</v>
      </c>
      <c r="R308" s="759">
        <f t="shared" si="57"/>
        <v>2.4392276911721211</v>
      </c>
      <c r="S308" s="452">
        <v>2.2086999999999999</v>
      </c>
      <c r="T308" s="765"/>
      <c r="U308" s="255"/>
    </row>
    <row r="309" spans="1:21">
      <c r="A309" s="195">
        <f t="array" ref="A309">B18:C28</f>
        <v>4.5</v>
      </c>
      <c r="B309" s="252">
        <f t="array" ref="B309">C18:D28</f>
        <v>2.3148</v>
      </c>
      <c r="C309" s="252">
        <f t="array" ref="C309">D18</f>
        <v>3.8661877615850591</v>
      </c>
      <c r="D309" s="252">
        <f t="array" ref="D309">D37</f>
        <v>2.3474507391112009</v>
      </c>
      <c r="E309" s="252">
        <f t="shared" si="45"/>
        <v>3.1606884683393401</v>
      </c>
      <c r="F309" s="252">
        <f t="shared" si="46"/>
        <v>3.4755360339736905</v>
      </c>
      <c r="G309" s="252">
        <f t="shared" si="47"/>
        <v>5.0286049344000014</v>
      </c>
      <c r="H309" s="252">
        <f t="shared" si="48"/>
        <v>1.2995503919600115</v>
      </c>
      <c r="I309" s="252">
        <f t="shared" si="49"/>
        <v>0.46656298600311041</v>
      </c>
      <c r="J309" s="252">
        <f t="shared" si="50"/>
        <v>0.55987558320373254</v>
      </c>
      <c r="K309" s="252">
        <f t="shared" si="51"/>
        <v>4.8736167902542364</v>
      </c>
      <c r="L309" s="252">
        <f t="array" ref="L309">C181</f>
        <v>2.4406146738970258</v>
      </c>
      <c r="M309" s="252">
        <f t="shared" si="52"/>
        <v>3.2521333228852658</v>
      </c>
      <c r="N309" s="252">
        <f t="shared" si="53"/>
        <v>3.2510215826380531</v>
      </c>
      <c r="O309" s="252">
        <f t="shared" si="54"/>
        <v>7.0376939872231068</v>
      </c>
      <c r="P309" s="252">
        <f t="shared" si="55"/>
        <v>3.4491780722714647</v>
      </c>
      <c r="Q309" s="423">
        <f t="shared" si="56"/>
        <v>0.41194502453276</v>
      </c>
      <c r="R309" s="759">
        <f t="shared" si="57"/>
        <v>2.9947106901518707</v>
      </c>
      <c r="S309" s="452">
        <v>2.7845</v>
      </c>
      <c r="T309" s="765"/>
      <c r="U309" s="255"/>
    </row>
    <row r="310" spans="1:21" ht="15.75" thickBot="1">
      <c r="A310" s="195">
        <f t="array" ref="A310">B19:C29</f>
        <v>5</v>
      </c>
      <c r="B310" s="252">
        <f t="array" ref="B310">C19:D29</f>
        <v>2.5720000000000001</v>
      </c>
      <c r="C310" s="252">
        <f t="array" ref="C310">D19</f>
        <v>4.5043414336053118</v>
      </c>
      <c r="D310" s="252">
        <f t="array" ref="D310">D38</f>
        <v>2.8980873322360514</v>
      </c>
      <c r="E310" s="252">
        <f t="shared" si="45"/>
        <v>3.9020845288140005</v>
      </c>
      <c r="F310" s="252">
        <f t="shared" si="46"/>
        <v>4.2907852271280138</v>
      </c>
      <c r="G310" s="252">
        <f t="shared" si="47"/>
        <v>6.2081542400000007</v>
      </c>
      <c r="H310" s="252">
        <f t="shared" si="48"/>
        <v>1.6043831999506317</v>
      </c>
      <c r="I310" s="252">
        <f t="shared" si="49"/>
        <v>0.41990668740279935</v>
      </c>
      <c r="J310" s="252">
        <f t="shared" si="50"/>
        <v>0.50388802488335926</v>
      </c>
      <c r="K310" s="252">
        <f t="shared" si="51"/>
        <v>6.0168108521657251</v>
      </c>
      <c r="L310" s="252">
        <f t="array" ref="L310">C182</f>
        <v>2.7453719119226636</v>
      </c>
      <c r="M310" s="252">
        <f t="shared" si="52"/>
        <v>3.87219821710856</v>
      </c>
      <c r="N310" s="252">
        <f t="shared" si="53"/>
        <v>3.8708622108292312</v>
      </c>
      <c r="O310" s="252">
        <f t="shared" si="54"/>
        <v>8.6683545982906001</v>
      </c>
      <c r="P310" s="252">
        <f t="shared" si="55"/>
        <v>4.258244533668476</v>
      </c>
      <c r="Q310" s="423">
        <f t="shared" si="56"/>
        <v>0.39493416234260759</v>
      </c>
      <c r="R310" s="760">
        <f t="shared" si="57"/>
        <v>3.6105604773565352</v>
      </c>
      <c r="S310" s="764">
        <v>3.3717999999999999</v>
      </c>
      <c r="T310" s="765"/>
      <c r="U310" s="255"/>
    </row>
    <row r="312" spans="1:21" ht="15.75" thickBot="1"/>
    <row r="313" spans="1:21">
      <c r="A313" s="223"/>
      <c r="B313" s="223"/>
      <c r="C313" s="258" t="s">
        <v>631</v>
      </c>
      <c r="D313" s="644" t="s">
        <v>622</v>
      </c>
      <c r="E313" s="645"/>
      <c r="F313" s="244" t="s">
        <v>100</v>
      </c>
      <c r="G313" s="248" t="s">
        <v>100</v>
      </c>
      <c r="H313" s="244" t="s">
        <v>633</v>
      </c>
      <c r="I313" s="642" t="str">
        <f>I298</f>
        <v>Dr. NOMURA (1981)</v>
      </c>
      <c r="J313" s="642"/>
      <c r="K313" s="648" t="s">
        <v>623</v>
      </c>
      <c r="L313" s="648" t="s">
        <v>624</v>
      </c>
      <c r="M313" s="248" t="s">
        <v>627</v>
      </c>
      <c r="N313" s="244" t="s">
        <v>625</v>
      </c>
      <c r="O313" s="248" t="s">
        <v>625</v>
      </c>
      <c r="P313" s="648" t="s">
        <v>98</v>
      </c>
      <c r="Q313" s="642" t="s">
        <v>630</v>
      </c>
      <c r="R313" s="455" t="s">
        <v>951</v>
      </c>
      <c r="S313" s="766" t="s">
        <v>979</v>
      </c>
    </row>
    <row r="314" spans="1:21">
      <c r="A314" s="223"/>
      <c r="B314" s="223"/>
      <c r="C314" s="259" t="s">
        <v>632</v>
      </c>
      <c r="D314" s="646"/>
      <c r="E314" s="647"/>
      <c r="F314" s="200">
        <v>1974</v>
      </c>
      <c r="G314" s="260">
        <v>1984</v>
      </c>
      <c r="H314" s="199"/>
      <c r="I314" s="643"/>
      <c r="J314" s="643"/>
      <c r="K314" s="649"/>
      <c r="L314" s="649"/>
      <c r="M314" s="260" t="s">
        <v>628</v>
      </c>
      <c r="N314" s="200" t="s">
        <v>626</v>
      </c>
      <c r="O314" s="260" t="s">
        <v>629</v>
      </c>
      <c r="P314" s="649"/>
      <c r="Q314" s="643"/>
      <c r="R314" s="456" t="s">
        <v>952</v>
      </c>
      <c r="S314" s="767"/>
    </row>
    <row r="315" spans="1:21" ht="15.75" thickBot="1">
      <c r="A315" s="474" t="str">
        <f>A300</f>
        <v>Velocidad</v>
      </c>
      <c r="B315" s="474"/>
      <c r="C315" s="474" t="str">
        <f>C300</f>
        <v>RN estándar</v>
      </c>
      <c r="D315" s="474"/>
      <c r="E315" s="474"/>
      <c r="F315" s="474"/>
      <c r="G315" s="474"/>
      <c r="H315" s="474"/>
      <c r="I315" s="195" t="str">
        <f>I300</f>
        <v>NHP 150 HP</v>
      </c>
      <c r="J315" s="195" t="str">
        <f>J300</f>
        <v>NHP 180 HP</v>
      </c>
      <c r="K315" s="474" t="str">
        <f>K300</f>
        <v>RN Estándar</v>
      </c>
      <c r="L315" s="474"/>
      <c r="M315" s="474"/>
      <c r="N315" s="474"/>
      <c r="O315" s="474"/>
      <c r="P315" s="474"/>
      <c r="Q315" s="526"/>
      <c r="R315" s="449"/>
      <c r="S315" s="768"/>
    </row>
    <row r="316" spans="1:21" ht="15.75" thickBot="1">
      <c r="A316" s="195" t="str">
        <f>A301</f>
        <v>Nudos</v>
      </c>
      <c r="B316" s="195" t="str">
        <f>B301</f>
        <v>[m/s]</v>
      </c>
      <c r="C316" s="474" t="str">
        <f>C301</f>
        <v>Ton</v>
      </c>
      <c r="D316" s="474"/>
      <c r="E316" s="474"/>
      <c r="F316" s="474"/>
      <c r="G316" s="474"/>
      <c r="H316" s="474"/>
      <c r="I316" s="474"/>
      <c r="J316" s="474"/>
      <c r="K316" s="474"/>
      <c r="L316" s="474"/>
      <c r="M316" s="474"/>
      <c r="N316" s="474"/>
      <c r="O316" s="474"/>
      <c r="P316" s="474"/>
      <c r="Q316" s="526"/>
      <c r="R316" s="456"/>
    </row>
    <row r="317" spans="1:21">
      <c r="A317" s="195">
        <f t="shared" ref="A317:B324" si="58">A302</f>
        <v>1</v>
      </c>
      <c r="B317" s="195">
        <f t="shared" si="58"/>
        <v>0.51439999999999997</v>
      </c>
      <c r="C317" s="197">
        <f>E11</f>
        <v>0.39937023768812874</v>
      </c>
      <c r="D317" s="197">
        <f>E30</f>
        <v>0.10602843712394434</v>
      </c>
      <c r="E317" s="197">
        <f>M30</f>
        <v>0.14276033696902152</v>
      </c>
      <c r="F317" s="197">
        <f>E74</f>
        <v>0.15330311080230155</v>
      </c>
      <c r="G317" s="197">
        <f>D91</f>
        <v>0.22712941883076929</v>
      </c>
      <c r="H317" s="197">
        <f>E117</f>
        <v>6.2462857687519198E-2</v>
      </c>
      <c r="I317" s="252">
        <f>I302</f>
        <v>2.0995334370139971</v>
      </c>
      <c r="J317" s="252">
        <f>J302</f>
        <v>2.5194401244167968</v>
      </c>
      <c r="K317" s="197">
        <f>D154</f>
        <v>0.23559298493408659</v>
      </c>
      <c r="L317" s="197">
        <f>D174</f>
        <v>0.37176783060921242</v>
      </c>
      <c r="M317" s="197">
        <f>D196</f>
        <v>0.4135299762054585</v>
      </c>
      <c r="N317" s="197">
        <f>D214</f>
        <v>0.41344914989192738</v>
      </c>
      <c r="O317" s="197">
        <f>D237</f>
        <v>0.34583469798457328</v>
      </c>
      <c r="P317" s="197">
        <f>E258</f>
        <v>0.16264529512087136</v>
      </c>
      <c r="Q317" s="423">
        <f>F282</f>
        <v>0.59111312399265648</v>
      </c>
      <c r="R317" s="453">
        <f t="shared" si="57"/>
        <v>0.54959740128475099</v>
      </c>
      <c r="S317" s="763">
        <f>330.6/1000</f>
        <v>0.3306</v>
      </c>
    </row>
    <row r="318" spans="1:21">
      <c r="A318" s="195">
        <f t="shared" si="58"/>
        <v>1.5</v>
      </c>
      <c r="B318" s="195">
        <f t="shared" si="58"/>
        <v>0.77159999999999995</v>
      </c>
      <c r="C318" s="197">
        <f t="shared" ref="C318:C325" si="59">E12</f>
        <v>0.71896545265347211</v>
      </c>
      <c r="D318" s="197">
        <f t="shared" ref="D318:D325" si="60">E31</f>
        <v>0.23856398352887476</v>
      </c>
      <c r="E318" s="197">
        <f t="shared" ref="E318:E325" si="61">M31</f>
        <v>0.32121075818029837</v>
      </c>
      <c r="F318" s="197">
        <f t="shared" ref="F318:F325" si="62">E75</f>
        <v>0.34493199930517848</v>
      </c>
      <c r="G318" s="197">
        <f t="shared" ref="G318:G325" si="63">D92</f>
        <v>0.51104119236923085</v>
      </c>
      <c r="H318" s="197">
        <f t="shared" ref="H318:H325" si="64">E118</f>
        <v>0.14054142979691819</v>
      </c>
      <c r="I318" s="252">
        <f t="shared" ref="I318:J325" si="65">I303</f>
        <v>1.3996889580093315</v>
      </c>
      <c r="J318" s="252">
        <f t="shared" si="65"/>
        <v>1.6796267496111974</v>
      </c>
      <c r="K318" s="197">
        <f t="shared" ref="K318:K325" si="66">D155</f>
        <v>0.53008421610169487</v>
      </c>
      <c r="L318" s="197">
        <f t="shared" ref="L318:L325" si="67">D175</f>
        <v>0.63985160190381474</v>
      </c>
      <c r="M318" s="197">
        <f t="shared" ref="M318:M325" si="68">D197</f>
        <v>0.61835741148414747</v>
      </c>
      <c r="N318" s="197">
        <f t="shared" ref="N318:N325" si="69">D215</f>
        <v>0.61820097878939917</v>
      </c>
      <c r="O318" s="197">
        <f t="shared" ref="O318:O325" si="70">D238</f>
        <v>0.77629309052997375</v>
      </c>
      <c r="P318" s="197">
        <f t="shared" ref="P318:P325" si="71">E259</f>
        <v>0.36595191402196053</v>
      </c>
      <c r="Q318" s="423">
        <f t="shared" ref="Q318:Q325" si="72">F283</f>
        <v>0.63478052975733268</v>
      </c>
      <c r="R318" s="453">
        <f t="shared" si="57"/>
        <v>0.63587268440285505</v>
      </c>
      <c r="S318" s="452">
        <f>0.476</f>
        <v>0.47599999999999998</v>
      </c>
    </row>
    <row r="319" spans="1:21">
      <c r="A319" s="195">
        <f t="shared" si="58"/>
        <v>2</v>
      </c>
      <c r="B319" s="195">
        <f t="shared" si="58"/>
        <v>1.0287999999999999</v>
      </c>
      <c r="C319" s="197">
        <f t="shared" si="59"/>
        <v>1.0911116440631108</v>
      </c>
      <c r="D319" s="197">
        <f t="shared" si="60"/>
        <v>0.42411374849577738</v>
      </c>
      <c r="E319" s="197">
        <f t="shared" si="61"/>
        <v>0.57104134787608607</v>
      </c>
      <c r="F319" s="197">
        <f t="shared" si="62"/>
        <v>0.6132124432092062</v>
      </c>
      <c r="G319" s="197">
        <f t="shared" si="63"/>
        <v>0.90851767532307715</v>
      </c>
      <c r="H319" s="197">
        <f t="shared" si="64"/>
        <v>0.24985143075007679</v>
      </c>
      <c r="I319" s="252">
        <f t="shared" si="65"/>
        <v>1.0497667185069985</v>
      </c>
      <c r="J319" s="252">
        <f t="shared" si="65"/>
        <v>1.2597200622083984</v>
      </c>
      <c r="K319" s="197">
        <f t="shared" si="66"/>
        <v>0.94237193973634636</v>
      </c>
      <c r="L319" s="197">
        <f t="shared" si="67"/>
        <v>0.92101598987691236</v>
      </c>
      <c r="M319" s="197">
        <f t="shared" si="68"/>
        <v>0.89584984673259682</v>
      </c>
      <c r="N319" s="197">
        <f t="shared" si="69"/>
        <v>0.89559180145364281</v>
      </c>
      <c r="O319" s="197">
        <f t="shared" si="70"/>
        <v>1.376829768400198</v>
      </c>
      <c r="P319" s="197">
        <f t="shared" si="71"/>
        <v>0.65058118048348546</v>
      </c>
      <c r="Q319" s="423">
        <f t="shared" si="72"/>
        <v>0.58169896061785009</v>
      </c>
      <c r="R319" s="453">
        <f t="shared" si="57"/>
        <v>0.82875163718225076</v>
      </c>
      <c r="S319" s="452">
        <v>0.70430000000000004</v>
      </c>
    </row>
    <row r="320" spans="1:21">
      <c r="A320" s="195">
        <f t="shared" si="58"/>
        <v>2.5</v>
      </c>
      <c r="B320" s="195">
        <f t="shared" si="58"/>
        <v>1.286</v>
      </c>
      <c r="C320" s="197">
        <f t="shared" si="59"/>
        <v>1.5079561378924284</v>
      </c>
      <c r="D320" s="197">
        <f t="shared" si="60"/>
        <v>0.6626777320246523</v>
      </c>
      <c r="E320" s="197">
        <f t="shared" si="61"/>
        <v>0.89225210605638461</v>
      </c>
      <c r="F320" s="197">
        <f t="shared" si="62"/>
        <v>0.95814444251438491</v>
      </c>
      <c r="G320" s="197">
        <f t="shared" si="63"/>
        <v>1.4195588676923081</v>
      </c>
      <c r="H320" s="197">
        <f t="shared" si="64"/>
        <v>0.39039286054699518</v>
      </c>
      <c r="I320" s="252">
        <f t="shared" si="65"/>
        <v>0.8398133748055987</v>
      </c>
      <c r="J320" s="252">
        <f t="shared" si="65"/>
        <v>1.0077760497667185</v>
      </c>
      <c r="K320" s="197">
        <f t="shared" si="66"/>
        <v>1.4724561558380413</v>
      </c>
      <c r="L320" s="197">
        <f t="shared" si="67"/>
        <v>1.2089864701618747</v>
      </c>
      <c r="M320" s="197">
        <f t="shared" si="68"/>
        <v>1.2399855282364414</v>
      </c>
      <c r="N320" s="197">
        <f t="shared" si="69"/>
        <v>1.2396020193061839</v>
      </c>
      <c r="O320" s="197">
        <f t="shared" si="70"/>
        <v>2.1462471451513276</v>
      </c>
      <c r="P320" s="197">
        <f t="shared" si="71"/>
        <v>1.0165330945054463</v>
      </c>
      <c r="Q320" s="423">
        <f t="shared" si="72"/>
        <v>0.51849295212390822</v>
      </c>
      <c r="R320" s="453">
        <f t="shared" si="57"/>
        <v>1.101391662441513</v>
      </c>
      <c r="S320" s="452">
        <v>0.96730000000000005</v>
      </c>
    </row>
    <row r="321" spans="1:19">
      <c r="A321" s="195">
        <f t="shared" si="58"/>
        <v>3</v>
      </c>
      <c r="B321" s="195">
        <f t="shared" si="58"/>
        <v>1.5432000000000001</v>
      </c>
      <c r="C321" s="197">
        <f t="shared" si="59"/>
        <v>1.9642715030805786</v>
      </c>
      <c r="D321" s="197">
        <f t="shared" si="60"/>
        <v>0.95425593411549947</v>
      </c>
      <c r="E321" s="197">
        <f t="shared" si="61"/>
        <v>1.2848430327211942</v>
      </c>
      <c r="F321" s="197">
        <f t="shared" si="62"/>
        <v>1.3797279972207146</v>
      </c>
      <c r="G321" s="197">
        <f t="shared" si="63"/>
        <v>2.0441647694769234</v>
      </c>
      <c r="H321" s="197">
        <f t="shared" si="64"/>
        <v>0.562165719187673</v>
      </c>
      <c r="I321" s="252">
        <f t="shared" si="65"/>
        <v>0.69984447900466562</v>
      </c>
      <c r="J321" s="252">
        <f t="shared" si="65"/>
        <v>0.83981337480559859</v>
      </c>
      <c r="K321" s="197">
        <f t="shared" si="66"/>
        <v>2.1203368644067795</v>
      </c>
      <c r="L321" s="197">
        <f t="shared" si="67"/>
        <v>1.5009483419430094</v>
      </c>
      <c r="M321" s="197">
        <f t="shared" si="68"/>
        <v>1.6453901809579758</v>
      </c>
      <c r="N321" s="197">
        <f t="shared" si="69"/>
        <v>1.6448592807179403</v>
      </c>
      <c r="O321" s="197">
        <f t="shared" si="70"/>
        <v>3.0833588515651953</v>
      </c>
      <c r="P321" s="197">
        <f t="shared" si="71"/>
        <v>1.4638076560878428</v>
      </c>
      <c r="Q321" s="423">
        <f t="shared" si="72"/>
        <v>0.46639345569126384</v>
      </c>
      <c r="R321" s="453">
        <f t="shared" si="57"/>
        <v>1.4436120960655239</v>
      </c>
      <c r="S321" s="452">
        <v>1.3312999999999999</v>
      </c>
    </row>
    <row r="322" spans="1:19">
      <c r="A322" s="195">
        <f t="shared" si="58"/>
        <v>3.5</v>
      </c>
      <c r="B322" s="195">
        <f t="shared" si="58"/>
        <v>1.8004</v>
      </c>
      <c r="C322" s="197">
        <f t="shared" si="59"/>
        <v>2.4562601427364958</v>
      </c>
      <c r="D322" s="197">
        <f t="shared" si="60"/>
        <v>1.2988483547683183</v>
      </c>
      <c r="E322" s="197">
        <f t="shared" si="61"/>
        <v>1.7488141278705138</v>
      </c>
      <c r="F322" s="197">
        <f t="shared" si="62"/>
        <v>1.8779631073281942</v>
      </c>
      <c r="G322" s="197">
        <f t="shared" si="63"/>
        <v>2.7823353806769235</v>
      </c>
      <c r="H322" s="197">
        <f t="shared" si="64"/>
        <v>0.76517000667211033</v>
      </c>
      <c r="I322" s="252">
        <f t="shared" si="65"/>
        <v>0.59986669628971345</v>
      </c>
      <c r="J322" s="252">
        <f t="shared" si="65"/>
        <v>0.71984003554765608</v>
      </c>
      <c r="K322" s="197">
        <f t="shared" si="66"/>
        <v>2.886014065442561</v>
      </c>
      <c r="L322" s="197">
        <f t="shared" si="67"/>
        <v>1.7954509208069418</v>
      </c>
      <c r="M322" s="197">
        <f t="shared" si="68"/>
        <v>2.1072522627870347</v>
      </c>
      <c r="N322" s="197">
        <f t="shared" si="69"/>
        <v>2.1065537655899047</v>
      </c>
      <c r="O322" s="197">
        <f t="shared" si="70"/>
        <v>4.1869896046231405</v>
      </c>
      <c r="P322" s="197">
        <f t="shared" si="71"/>
        <v>1.9924048652306745</v>
      </c>
      <c r="Q322" s="423">
        <f t="shared" si="72"/>
        <v>0.42704852884318967</v>
      </c>
      <c r="R322" s="453">
        <f t="shared" si="57"/>
        <v>1.8500541243475583</v>
      </c>
      <c r="S322" s="452">
        <v>1.7519</v>
      </c>
    </row>
    <row r="323" spans="1:19">
      <c r="A323" s="195">
        <f t="shared" si="58"/>
        <v>4</v>
      </c>
      <c r="B323" s="195">
        <f t="shared" si="58"/>
        <v>2.0575999999999999</v>
      </c>
      <c r="C323" s="197">
        <f t="shared" si="59"/>
        <v>2.9810048608073649</v>
      </c>
      <c r="D323" s="197">
        <f t="shared" si="60"/>
        <v>1.6964549939831095</v>
      </c>
      <c r="E323" s="197">
        <f t="shared" si="61"/>
        <v>2.2841653915043443</v>
      </c>
      <c r="F323" s="197">
        <f t="shared" si="62"/>
        <v>2.4528497728368248</v>
      </c>
      <c r="G323" s="197">
        <f t="shared" si="63"/>
        <v>3.6340707012923086</v>
      </c>
      <c r="H323" s="197">
        <f t="shared" si="64"/>
        <v>0.99940572300030717</v>
      </c>
      <c r="I323" s="252">
        <f t="shared" si="65"/>
        <v>0.52488335925349927</v>
      </c>
      <c r="J323" s="252">
        <f t="shared" si="65"/>
        <v>0.62986003110419919</v>
      </c>
      <c r="K323" s="197">
        <f t="shared" si="66"/>
        <v>3.7694877589453855</v>
      </c>
      <c r="L323" s="197">
        <f t="shared" si="67"/>
        <v>2.091670563647051</v>
      </c>
      <c r="M323" s="197">
        <f t="shared" si="68"/>
        <v>2.6212511896670372</v>
      </c>
      <c r="N323" s="197">
        <f t="shared" si="69"/>
        <v>2.620366436166826</v>
      </c>
      <c r="O323" s="197">
        <f t="shared" si="70"/>
        <v>5.4559750783120711</v>
      </c>
      <c r="P323" s="197">
        <f t="shared" si="71"/>
        <v>2.6023247219339418</v>
      </c>
      <c r="Q323" s="423">
        <f t="shared" si="72"/>
        <v>0.3980437054422159</v>
      </c>
      <c r="R323" s="453">
        <f t="shared" si="57"/>
        <v>2.3174542858597658</v>
      </c>
      <c r="S323" s="452">
        <v>2.2086999999999999</v>
      </c>
    </row>
    <row r="324" spans="1:19">
      <c r="A324" s="195">
        <f t="shared" si="58"/>
        <v>4.5</v>
      </c>
      <c r="B324" s="195">
        <f t="shared" si="58"/>
        <v>2.3148</v>
      </c>
      <c r="C324" s="197">
        <f t="shared" si="59"/>
        <v>3.5361757514075833</v>
      </c>
      <c r="D324" s="197">
        <f t="shared" si="60"/>
        <v>2.1470758517598734</v>
      </c>
      <c r="E324" s="197">
        <f t="shared" si="61"/>
        <v>2.8908968236226862</v>
      </c>
      <c r="F324" s="197">
        <f t="shared" si="62"/>
        <v>3.1043879937466068</v>
      </c>
      <c r="G324" s="197">
        <f t="shared" si="63"/>
        <v>4.5993707313230781</v>
      </c>
      <c r="H324" s="197">
        <f t="shared" si="64"/>
        <v>1.2648728681722641</v>
      </c>
      <c r="I324" s="252">
        <f t="shared" si="65"/>
        <v>0.46656298600311041</v>
      </c>
      <c r="J324" s="252">
        <f t="shared" si="65"/>
        <v>0.55987558320373254</v>
      </c>
      <c r="K324" s="197">
        <f t="shared" si="66"/>
        <v>4.7707579449152533</v>
      </c>
      <c r="L324" s="197">
        <f t="shared" si="67"/>
        <v>2.3891049188058111</v>
      </c>
      <c r="M324" s="197">
        <f t="shared" si="68"/>
        <v>3.1834962730562082</v>
      </c>
      <c r="N324" s="197">
        <f t="shared" si="69"/>
        <v>3.1824079963522052</v>
      </c>
      <c r="O324" s="197">
        <f t="shared" si="70"/>
        <v>6.8891617762330197</v>
      </c>
      <c r="P324" s="197">
        <f t="shared" si="71"/>
        <v>3.293567226197645</v>
      </c>
      <c r="Q324" s="423">
        <f t="shared" si="72"/>
        <v>0.37678201279819012</v>
      </c>
      <c r="R324" s="453">
        <f t="shared" si="57"/>
        <v>2.8436331158398174</v>
      </c>
      <c r="S324" s="452">
        <v>2.7845</v>
      </c>
    </row>
    <row r="325" spans="1:19" ht="15.75" thickBot="1">
      <c r="A325" s="195">
        <f>A310</f>
        <v>5</v>
      </c>
      <c r="B325" s="195">
        <f>B310</f>
        <v>2.5720000000000001</v>
      </c>
      <c r="C325" s="197">
        <f t="shared" si="59"/>
        <v>4.1198575795618781</v>
      </c>
      <c r="D325" s="197">
        <f t="shared" si="60"/>
        <v>2.6507109280986092</v>
      </c>
      <c r="E325" s="197">
        <f t="shared" si="61"/>
        <v>3.5690084242255384</v>
      </c>
      <c r="F325" s="197">
        <f t="shared" si="62"/>
        <v>3.8325777700575396</v>
      </c>
      <c r="G325" s="197">
        <f t="shared" si="63"/>
        <v>5.6782354707692324</v>
      </c>
      <c r="H325" s="197">
        <f t="shared" si="64"/>
        <v>1.5615714421879807</v>
      </c>
      <c r="I325" s="252">
        <f t="shared" si="65"/>
        <v>0.41990668740279935</v>
      </c>
      <c r="J325" s="252">
        <f t="shared" si="65"/>
        <v>0.50388802488335926</v>
      </c>
      <c r="K325" s="197">
        <f t="shared" si="66"/>
        <v>5.8898246233521654</v>
      </c>
      <c r="L325" s="197">
        <f t="shared" si="67"/>
        <v>2.6874301825993552</v>
      </c>
      <c r="M325" s="197">
        <f t="shared" si="68"/>
        <v>3.7904745497221715</v>
      </c>
      <c r="N325" s="197">
        <f t="shared" si="69"/>
        <v>3.789166740174176</v>
      </c>
      <c r="O325" s="197">
        <f t="shared" si="70"/>
        <v>8.4854069059829058</v>
      </c>
      <c r="P325" s="197">
        <f t="shared" si="71"/>
        <v>4.0661323780217851</v>
      </c>
      <c r="Q325" s="423">
        <f t="shared" si="72"/>
        <v>0.36122317238566676</v>
      </c>
      <c r="R325" s="454">
        <f t="shared" si="57"/>
        <v>3.4270276586283441</v>
      </c>
      <c r="S325" s="764">
        <v>3.3717999999999999</v>
      </c>
    </row>
    <row r="326" spans="1:19">
      <c r="C326" s="219">
        <f>AVERAGE(C317:C325)</f>
        <v>2.0861081455434491</v>
      </c>
      <c r="D326" s="219">
        <f t="shared" ref="D326:S326" si="73">AVERAGE(D317:D325)</f>
        <v>1.1309699959887398</v>
      </c>
      <c r="E326" s="219">
        <f t="shared" si="73"/>
        <v>1.5227769276695631</v>
      </c>
      <c r="F326" s="219">
        <f t="shared" si="73"/>
        <v>1.6352331818912167</v>
      </c>
      <c r="G326" s="219">
        <f t="shared" si="73"/>
        <v>2.4227138008615392</v>
      </c>
      <c r="H326" s="219">
        <f t="shared" si="73"/>
        <v>0.66627048200020489</v>
      </c>
      <c r="I326" s="219">
        <f t="shared" si="73"/>
        <v>0.89998518847663478</v>
      </c>
      <c r="J326" s="219">
        <f t="shared" si="73"/>
        <v>1.0799822261719618</v>
      </c>
      <c r="K326" s="219">
        <f t="shared" si="73"/>
        <v>2.5129918392969239</v>
      </c>
      <c r="L326" s="219">
        <f t="shared" si="73"/>
        <v>1.5118029800393316</v>
      </c>
      <c r="M326" s="219">
        <f t="shared" si="73"/>
        <v>1.8350652465387856</v>
      </c>
      <c r="N326" s="219">
        <f t="shared" si="73"/>
        <v>1.834466463160245</v>
      </c>
      <c r="O326" s="219">
        <f t="shared" si="73"/>
        <v>3.638455213198045</v>
      </c>
      <c r="P326" s="219">
        <f t="shared" si="73"/>
        <v>1.7348831479559612</v>
      </c>
      <c r="Q326" s="219">
        <f t="shared" si="73"/>
        <v>0.48395293796136379</v>
      </c>
      <c r="R326" s="219">
        <f t="shared" si="73"/>
        <v>1.6663771851169311</v>
      </c>
      <c r="S326" s="219">
        <f t="shared" si="73"/>
        <v>1.5473777777777777</v>
      </c>
    </row>
    <row r="391" spans="1:19">
      <c r="C391" s="255" t="s">
        <v>981</v>
      </c>
    </row>
    <row r="392" spans="1:19">
      <c r="A392" s="255"/>
    </row>
    <row r="394" spans="1:19">
      <c r="A394" s="368"/>
      <c r="B394" s="368"/>
      <c r="C394" s="368" t="s">
        <v>631</v>
      </c>
      <c r="D394" s="368" t="s">
        <v>622</v>
      </c>
      <c r="E394" s="368"/>
      <c r="F394" s="368" t="s">
        <v>100</v>
      </c>
      <c r="G394" s="368" t="s">
        <v>100</v>
      </c>
      <c r="H394" s="368" t="s">
        <v>633</v>
      </c>
      <c r="I394" s="368" t="s">
        <v>274</v>
      </c>
      <c r="J394" s="368"/>
      <c r="K394" s="368" t="s">
        <v>623</v>
      </c>
      <c r="L394" s="368" t="s">
        <v>624</v>
      </c>
      <c r="M394" s="368" t="s">
        <v>627</v>
      </c>
      <c r="N394" s="368" t="s">
        <v>625</v>
      </c>
      <c r="O394" s="368" t="s">
        <v>625</v>
      </c>
      <c r="P394" s="368" t="s">
        <v>98</v>
      </c>
      <c r="Q394" s="368" t="s">
        <v>630</v>
      </c>
      <c r="R394" s="368" t="s">
        <v>371</v>
      </c>
      <c r="S394" s="368" t="s">
        <v>979</v>
      </c>
    </row>
    <row r="395" spans="1:19">
      <c r="A395" s="368"/>
      <c r="B395" s="368"/>
      <c r="C395" s="368" t="s">
        <v>632</v>
      </c>
      <c r="D395" s="368"/>
      <c r="E395" s="368"/>
      <c r="F395" s="368">
        <v>1974</v>
      </c>
      <c r="G395" s="368">
        <v>1984</v>
      </c>
      <c r="H395" s="368"/>
      <c r="I395" s="368"/>
      <c r="J395" s="368"/>
      <c r="K395" s="368"/>
      <c r="L395" s="368"/>
      <c r="M395" s="368" t="s">
        <v>628</v>
      </c>
      <c r="N395" s="368" t="s">
        <v>626</v>
      </c>
      <c r="O395" s="368" t="s">
        <v>629</v>
      </c>
      <c r="P395" s="368"/>
      <c r="Q395" s="368"/>
      <c r="R395" s="368" t="s">
        <v>950</v>
      </c>
      <c r="S395" s="368"/>
    </row>
    <row r="396" spans="1:19">
      <c r="A396" s="368" t="s">
        <v>8</v>
      </c>
      <c r="B396" s="368"/>
      <c r="C396" s="368" t="s">
        <v>982</v>
      </c>
      <c r="D396" s="368"/>
      <c r="E396" s="368"/>
      <c r="F396" s="368"/>
      <c r="G396" s="368"/>
      <c r="H396" s="368"/>
      <c r="I396" s="368" t="s">
        <v>275</v>
      </c>
      <c r="J396" s="368" t="s">
        <v>276</v>
      </c>
      <c r="K396" s="368" t="s">
        <v>529</v>
      </c>
      <c r="L396" s="368"/>
      <c r="M396" s="368"/>
      <c r="N396" s="368"/>
      <c r="O396" s="368"/>
      <c r="P396" s="368"/>
      <c r="Q396" s="368"/>
      <c r="R396" s="368"/>
      <c r="S396" s="368"/>
    </row>
    <row r="397" spans="1:19">
      <c r="A397" s="368" t="s">
        <v>264</v>
      </c>
      <c r="B397" s="368" t="s">
        <v>88</v>
      </c>
      <c r="C397" s="368" t="s">
        <v>266</v>
      </c>
      <c r="D397" s="368"/>
      <c r="E397" s="368"/>
      <c r="F397" s="368"/>
      <c r="G397" s="368"/>
      <c r="H397" s="368"/>
      <c r="I397" s="368"/>
      <c r="J397" s="368"/>
      <c r="K397" s="368"/>
      <c r="L397" s="368"/>
      <c r="M397" s="368"/>
      <c r="N397" s="368"/>
      <c r="O397" s="368"/>
      <c r="P397" s="368"/>
      <c r="Q397" s="368"/>
      <c r="R397" s="368"/>
      <c r="S397" s="368"/>
    </row>
    <row r="398" spans="1:19">
      <c r="A398" s="368">
        <v>1</v>
      </c>
      <c r="B398" s="252">
        <v>0.51439999999999997</v>
      </c>
      <c r="C398" s="252">
        <f>C302*1000</f>
        <v>436.64128534237881</v>
      </c>
      <c r="D398" s="252">
        <f t="shared" ref="D398:S406" si="74">D302*1000</f>
        <v>115.92349328944202</v>
      </c>
      <c r="E398" s="252">
        <f t="shared" si="74"/>
        <v>156.08338115255998</v>
      </c>
      <c r="F398" s="252">
        <f t="shared" si="74"/>
        <v>171.63140908512051</v>
      </c>
      <c r="G398" s="252">
        <f t="shared" si="74"/>
        <v>248.32616960000004</v>
      </c>
      <c r="H398" s="252">
        <f t="shared" si="74"/>
        <v>64.175327998025253</v>
      </c>
      <c r="I398" s="252">
        <f t="shared" si="74"/>
        <v>2099.5334370139972</v>
      </c>
      <c r="J398" s="252">
        <f t="shared" si="74"/>
        <v>2519.4401244167966</v>
      </c>
      <c r="K398" s="252">
        <f t="shared" si="74"/>
        <v>240.67243408662898</v>
      </c>
      <c r="L398" s="252">
        <f t="shared" si="74"/>
        <v>379.78324665676075</v>
      </c>
      <c r="M398" s="252">
        <f t="shared" si="74"/>
        <v>422.44579552739361</v>
      </c>
      <c r="N398" s="252">
        <f t="shared" si="74"/>
        <v>422.36322657644956</v>
      </c>
      <c r="O398" s="252">
        <f t="shared" si="74"/>
        <v>353.2909886041304</v>
      </c>
      <c r="P398" s="252">
        <f t="shared" si="74"/>
        <v>170.329781346739</v>
      </c>
      <c r="Q398" s="252">
        <f t="shared" si="74"/>
        <v>646.27849019750488</v>
      </c>
      <c r="R398" s="252">
        <f t="shared" si="74"/>
        <v>554.33600671309489</v>
      </c>
      <c r="S398" s="252">
        <f t="shared" si="74"/>
        <v>330.6</v>
      </c>
    </row>
    <row r="399" spans="1:19">
      <c r="A399" s="368">
        <v>1.5</v>
      </c>
      <c r="B399" s="252">
        <v>0.77159999999999995</v>
      </c>
      <c r="C399" s="252">
        <f t="shared" ref="C399:R406" si="75">C303*1000</f>
        <v>786.06257987739082</v>
      </c>
      <c r="D399" s="252">
        <f t="shared" si="75"/>
        <v>260.82785990124455</v>
      </c>
      <c r="E399" s="252">
        <f t="shared" si="75"/>
        <v>351.18760759325994</v>
      </c>
      <c r="F399" s="252">
        <f t="shared" si="75"/>
        <v>386.17067044152111</v>
      </c>
      <c r="G399" s="252">
        <f t="shared" si="75"/>
        <v>558.73388160000013</v>
      </c>
      <c r="H399" s="252">
        <f t="shared" si="75"/>
        <v>144.3944879955568</v>
      </c>
      <c r="I399" s="252">
        <f t="shared" si="75"/>
        <v>1399.6889580093314</v>
      </c>
      <c r="J399" s="252">
        <f t="shared" si="75"/>
        <v>1679.6267496111975</v>
      </c>
      <c r="K399" s="252">
        <f t="shared" si="75"/>
        <v>541.51297669491521</v>
      </c>
      <c r="L399" s="252">
        <f t="shared" si="75"/>
        <v>653.6469773389216</v>
      </c>
      <c r="M399" s="252">
        <f t="shared" si="75"/>
        <v>631.68936629854988</v>
      </c>
      <c r="N399" s="252">
        <f t="shared" si="75"/>
        <v>631.52956087214341</v>
      </c>
      <c r="O399" s="252">
        <f t="shared" si="75"/>
        <v>793.03018175499551</v>
      </c>
      <c r="P399" s="252">
        <f t="shared" si="75"/>
        <v>383.24200803016271</v>
      </c>
      <c r="Q399" s="252">
        <f t="shared" si="75"/>
        <v>694.02113694812465</v>
      </c>
      <c r="R399" s="252">
        <f t="shared" si="75"/>
        <v>659.69100019782104</v>
      </c>
      <c r="S399" s="252">
        <f t="shared" si="74"/>
        <v>476</v>
      </c>
    </row>
    <row r="400" spans="1:19">
      <c r="A400" s="368">
        <v>2</v>
      </c>
      <c r="B400" s="252">
        <v>1.0287999999999999</v>
      </c>
      <c r="C400" s="252">
        <f t="shared" si="75"/>
        <v>1192.9391470773451</v>
      </c>
      <c r="D400" s="252">
        <f t="shared" si="74"/>
        <v>463.69397315776808</v>
      </c>
      <c r="E400" s="252">
        <f t="shared" si="74"/>
        <v>624.33352461023992</v>
      </c>
      <c r="F400" s="252">
        <f t="shared" si="74"/>
        <v>686.52563634048204</v>
      </c>
      <c r="G400" s="252">
        <f t="shared" si="74"/>
        <v>993.30467840000017</v>
      </c>
      <c r="H400" s="252">
        <f t="shared" si="74"/>
        <v>256.70131199210101</v>
      </c>
      <c r="I400" s="252">
        <f t="shared" si="74"/>
        <v>1049.7667185069986</v>
      </c>
      <c r="J400" s="252">
        <f t="shared" si="74"/>
        <v>1259.7200622083983</v>
      </c>
      <c r="K400" s="252">
        <f t="shared" si="74"/>
        <v>962.68973634651593</v>
      </c>
      <c r="L400" s="252">
        <f t="shared" si="74"/>
        <v>940.87334637064305</v>
      </c>
      <c r="M400" s="252">
        <f t="shared" si="74"/>
        <v>915.16461430118204</v>
      </c>
      <c r="N400" s="252">
        <f t="shared" si="74"/>
        <v>914.90100549547947</v>
      </c>
      <c r="O400" s="252">
        <f t="shared" si="74"/>
        <v>1406.5145945517584</v>
      </c>
      <c r="P400" s="252">
        <f t="shared" si="74"/>
        <v>681.31912538695599</v>
      </c>
      <c r="Q400" s="252">
        <f t="shared" si="74"/>
        <v>635.98575426356524</v>
      </c>
      <c r="R400" s="252">
        <f t="shared" si="74"/>
        <v>865.62888193396213</v>
      </c>
      <c r="S400" s="252">
        <f t="shared" si="74"/>
        <v>704.30000000000007</v>
      </c>
    </row>
    <row r="401" spans="1:19">
      <c r="A401" s="368">
        <v>2.5</v>
      </c>
      <c r="B401" s="252">
        <v>1.286</v>
      </c>
      <c r="C401" s="252">
        <f t="shared" si="75"/>
        <v>1648.6854656491878</v>
      </c>
      <c r="D401" s="252">
        <f t="shared" si="74"/>
        <v>724.52183305901281</v>
      </c>
      <c r="E401" s="252">
        <f t="shared" si="74"/>
        <v>975.52113220350009</v>
      </c>
      <c r="F401" s="252">
        <f t="shared" si="74"/>
        <v>1072.6963067820034</v>
      </c>
      <c r="G401" s="252">
        <f t="shared" si="74"/>
        <v>1552.0385600000002</v>
      </c>
      <c r="H401" s="252">
        <f t="shared" si="74"/>
        <v>401.09579998765793</v>
      </c>
      <c r="I401" s="252">
        <f t="shared" si="74"/>
        <v>839.81337480559876</v>
      </c>
      <c r="J401" s="252">
        <f t="shared" si="74"/>
        <v>1007.7760497667185</v>
      </c>
      <c r="K401" s="252">
        <f t="shared" si="74"/>
        <v>1504.2027130414313</v>
      </c>
      <c r="L401" s="252">
        <f t="shared" si="74"/>
        <v>1235.0525489248612</v>
      </c>
      <c r="M401" s="252">
        <f t="shared" si="74"/>
        <v>1266.7199551648473</v>
      </c>
      <c r="N401" s="252">
        <f t="shared" si="74"/>
        <v>1266.3281776772249</v>
      </c>
      <c r="O401" s="252">
        <f t="shared" si="74"/>
        <v>2192.520820259419</v>
      </c>
      <c r="P401" s="252">
        <f t="shared" si="74"/>
        <v>1064.561133417119</v>
      </c>
      <c r="Q401" s="252">
        <f t="shared" si="74"/>
        <v>566.88107347934533</v>
      </c>
      <c r="R401" s="252">
        <f t="shared" si="74"/>
        <v>1154.5609962811952</v>
      </c>
      <c r="S401" s="252">
        <f t="shared" si="74"/>
        <v>967.30000000000007</v>
      </c>
    </row>
    <row r="402" spans="1:19">
      <c r="A402" s="368">
        <v>3</v>
      </c>
      <c r="B402" s="252">
        <v>1.5432000000000001</v>
      </c>
      <c r="C402" s="252">
        <f t="shared" si="75"/>
        <v>2147.5862568814673</v>
      </c>
      <c r="D402" s="252">
        <f t="shared" si="74"/>
        <v>1043.3114396049784</v>
      </c>
      <c r="E402" s="252">
        <f t="shared" si="74"/>
        <v>1404.7504303730402</v>
      </c>
      <c r="F402" s="252">
        <f t="shared" si="74"/>
        <v>1544.6826817660851</v>
      </c>
      <c r="G402" s="252">
        <f t="shared" si="74"/>
        <v>2234.9355264000005</v>
      </c>
      <c r="H402" s="252">
        <f t="shared" si="74"/>
        <v>577.57795198222743</v>
      </c>
      <c r="I402" s="252">
        <f t="shared" si="74"/>
        <v>699.84447900466557</v>
      </c>
      <c r="J402" s="252">
        <f t="shared" si="74"/>
        <v>839.81337480559864</v>
      </c>
      <c r="K402" s="252">
        <f t="shared" si="74"/>
        <v>2166.0519067796608</v>
      </c>
      <c r="L402" s="252">
        <f t="shared" si="74"/>
        <v>1533.309198466922</v>
      </c>
      <c r="M402" s="252">
        <f t="shared" si="74"/>
        <v>1680.8652430130146</v>
      </c>
      <c r="N402" s="252">
        <f t="shared" si="74"/>
        <v>1680.3228964186867</v>
      </c>
      <c r="O402" s="252">
        <f t="shared" si="74"/>
        <v>3149.8369112151836</v>
      </c>
      <c r="P402" s="252">
        <f t="shared" si="74"/>
        <v>1532.9680321206515</v>
      </c>
      <c r="Q402" s="252">
        <f t="shared" si="74"/>
        <v>509.91941499490611</v>
      </c>
      <c r="R402" s="252">
        <f t="shared" si="74"/>
        <v>1516.3850495884728</v>
      </c>
      <c r="S402" s="252">
        <f t="shared" si="74"/>
        <v>1331.3</v>
      </c>
    </row>
    <row r="403" spans="1:19">
      <c r="A403" s="368">
        <v>3.5</v>
      </c>
      <c r="B403" s="252">
        <v>1.8004</v>
      </c>
      <c r="C403" s="252">
        <f t="shared" si="75"/>
        <v>2685.4895148627611</v>
      </c>
      <c r="D403" s="252">
        <f t="shared" si="74"/>
        <v>1420.062792795665</v>
      </c>
      <c r="E403" s="252">
        <f t="shared" si="74"/>
        <v>1912.02141911886</v>
      </c>
      <c r="F403" s="252">
        <f t="shared" si="74"/>
        <v>2102.4847612927265</v>
      </c>
      <c r="G403" s="252">
        <f t="shared" si="74"/>
        <v>3041.9955776000006</v>
      </c>
      <c r="H403" s="252">
        <f t="shared" si="74"/>
        <v>786.14776797580942</v>
      </c>
      <c r="I403" s="252">
        <f t="shared" si="74"/>
        <v>599.86669628971345</v>
      </c>
      <c r="J403" s="252">
        <f t="shared" si="74"/>
        <v>719.84003554765604</v>
      </c>
      <c r="K403" s="252">
        <f t="shared" si="74"/>
        <v>2948.2373175612051</v>
      </c>
      <c r="L403" s="252">
        <f t="shared" si="74"/>
        <v>1834.161333430967</v>
      </c>
      <c r="M403" s="252">
        <f t="shared" si="74"/>
        <v>2152.6851975724285</v>
      </c>
      <c r="N403" s="252">
        <f t="shared" si="74"/>
        <v>2151.9716405847998</v>
      </c>
      <c r="O403" s="252">
        <f t="shared" si="74"/>
        <v>4277.2622449772543</v>
      </c>
      <c r="P403" s="252">
        <f t="shared" si="74"/>
        <v>2086.539821497553</v>
      </c>
      <c r="Q403" s="252">
        <f t="shared" si="74"/>
        <v>466.90264056000035</v>
      </c>
      <c r="R403" s="252">
        <f t="shared" si="74"/>
        <v>1945.7112507778268</v>
      </c>
      <c r="S403" s="252">
        <f t="shared" si="74"/>
        <v>1751.9</v>
      </c>
    </row>
    <row r="404" spans="1:19">
      <c r="A404" s="368">
        <v>4</v>
      </c>
      <c r="B404" s="252">
        <v>2.0575999999999999</v>
      </c>
      <c r="C404" s="252">
        <f t="shared" si="75"/>
        <v>3259.2057975318116</v>
      </c>
      <c r="D404" s="252">
        <f t="shared" si="74"/>
        <v>1854.7758926310723</v>
      </c>
      <c r="E404" s="252">
        <f t="shared" si="74"/>
        <v>2497.3340984409597</v>
      </c>
      <c r="F404" s="252">
        <f t="shared" si="74"/>
        <v>2746.1025453619282</v>
      </c>
      <c r="G404" s="252">
        <f t="shared" si="74"/>
        <v>3973.2187136000007</v>
      </c>
      <c r="H404" s="252">
        <f t="shared" si="74"/>
        <v>1026.805247968404</v>
      </c>
      <c r="I404" s="252">
        <f t="shared" si="74"/>
        <v>524.88335925349929</v>
      </c>
      <c r="J404" s="252">
        <f t="shared" si="74"/>
        <v>629.86003110419915</v>
      </c>
      <c r="K404" s="252">
        <f t="shared" si="74"/>
        <v>3850.7589453860637</v>
      </c>
      <c r="L404" s="252">
        <f t="shared" si="74"/>
        <v>2136.7675527398601</v>
      </c>
      <c r="M404" s="252">
        <f t="shared" si="74"/>
        <v>2677.7660818132531</v>
      </c>
      <c r="N404" s="252">
        <f t="shared" si="74"/>
        <v>2676.8622527857369</v>
      </c>
      <c r="O404" s="252">
        <f t="shared" si="74"/>
        <v>5573.6073923454378</v>
      </c>
      <c r="P404" s="252">
        <f t="shared" si="74"/>
        <v>2725.276501547824</v>
      </c>
      <c r="Q404" s="252">
        <f t="shared" si="74"/>
        <v>435.19095507175956</v>
      </c>
      <c r="R404" s="252">
        <f t="shared" si="74"/>
        <v>2439.227691172121</v>
      </c>
      <c r="S404" s="252">
        <f t="shared" si="74"/>
        <v>2208.6999999999998</v>
      </c>
    </row>
    <row r="405" spans="1:19">
      <c r="A405" s="368">
        <v>4.5</v>
      </c>
      <c r="B405" s="252">
        <v>2.3148</v>
      </c>
      <c r="C405" s="252">
        <f t="shared" si="75"/>
        <v>3866.187761585059</v>
      </c>
      <c r="D405" s="252">
        <f t="shared" si="74"/>
        <v>2347.4507391112011</v>
      </c>
      <c r="E405" s="252">
        <f t="shared" si="74"/>
        <v>3160.68846833934</v>
      </c>
      <c r="F405" s="252">
        <f t="shared" si="74"/>
        <v>3475.5360339736903</v>
      </c>
      <c r="G405" s="252">
        <f t="shared" si="74"/>
        <v>5028.6049344000012</v>
      </c>
      <c r="H405" s="252">
        <f t="shared" si="74"/>
        <v>1299.5503919600114</v>
      </c>
      <c r="I405" s="252">
        <f t="shared" si="74"/>
        <v>466.56298600311044</v>
      </c>
      <c r="J405" s="252">
        <f t="shared" si="74"/>
        <v>559.8755832037325</v>
      </c>
      <c r="K405" s="252">
        <f t="shared" si="74"/>
        <v>4873.6167902542365</v>
      </c>
      <c r="L405" s="252">
        <f t="shared" si="74"/>
        <v>2440.614673897026</v>
      </c>
      <c r="M405" s="252">
        <f t="shared" si="74"/>
        <v>3252.1333228852659</v>
      </c>
      <c r="N405" s="252">
        <f t="shared" si="74"/>
        <v>3251.0215826380531</v>
      </c>
      <c r="O405" s="252">
        <f t="shared" si="74"/>
        <v>7037.6939872231069</v>
      </c>
      <c r="P405" s="252">
        <f t="shared" si="74"/>
        <v>3449.1780722714648</v>
      </c>
      <c r="Q405" s="252">
        <f t="shared" si="74"/>
        <v>411.94502453275999</v>
      </c>
      <c r="R405" s="252">
        <f t="shared" si="74"/>
        <v>2994.7106901518709</v>
      </c>
      <c r="S405" s="252">
        <f t="shared" si="74"/>
        <v>2784.5</v>
      </c>
    </row>
    <row r="406" spans="1:19">
      <c r="A406" s="368">
        <v>5</v>
      </c>
      <c r="B406" s="252">
        <v>2.5720000000000001</v>
      </c>
      <c r="C406" s="252">
        <f t="shared" si="75"/>
        <v>4504.341433605312</v>
      </c>
      <c r="D406" s="252">
        <f t="shared" si="74"/>
        <v>2898.0873322360512</v>
      </c>
      <c r="E406" s="252">
        <f t="shared" si="74"/>
        <v>3902.0845288140004</v>
      </c>
      <c r="F406" s="252">
        <f t="shared" si="74"/>
        <v>4290.7852271280135</v>
      </c>
      <c r="G406" s="252">
        <f t="shared" si="74"/>
        <v>6208.1542400000008</v>
      </c>
      <c r="H406" s="252">
        <f t="shared" si="74"/>
        <v>1604.3831999506317</v>
      </c>
      <c r="I406" s="252">
        <f t="shared" si="74"/>
        <v>419.90668740279938</v>
      </c>
      <c r="J406" s="252">
        <f t="shared" si="74"/>
        <v>503.88802488335926</v>
      </c>
      <c r="K406" s="252">
        <f t="shared" si="74"/>
        <v>6016.810852165725</v>
      </c>
      <c r="L406" s="252">
        <f t="shared" si="74"/>
        <v>2745.3719119226635</v>
      </c>
      <c r="M406" s="252">
        <f t="shared" si="74"/>
        <v>3872.1982171085601</v>
      </c>
      <c r="N406" s="252">
        <f t="shared" si="74"/>
        <v>3870.8622108292311</v>
      </c>
      <c r="O406" s="252">
        <f t="shared" si="74"/>
        <v>8668.3545982905998</v>
      </c>
      <c r="P406" s="252">
        <f t="shared" si="74"/>
        <v>4258.2445336684759</v>
      </c>
      <c r="Q406" s="252">
        <f t="shared" si="74"/>
        <v>394.93416234260758</v>
      </c>
      <c r="R406" s="252">
        <f t="shared" si="74"/>
        <v>3610.5604773565351</v>
      </c>
      <c r="S406" s="252">
        <f t="shared" si="74"/>
        <v>3371.7999999999997</v>
      </c>
    </row>
    <row r="407" spans="1:19">
      <c r="A407" s="368"/>
      <c r="B407" s="368"/>
      <c r="C407" s="368"/>
      <c r="D407" s="368"/>
      <c r="E407" s="368"/>
      <c r="F407" s="368"/>
      <c r="G407" s="368"/>
      <c r="H407" s="368"/>
      <c r="I407" s="368"/>
      <c r="J407" s="368"/>
      <c r="K407" s="368"/>
      <c r="L407" s="368"/>
      <c r="M407" s="368"/>
      <c r="N407" s="368"/>
      <c r="O407" s="368"/>
      <c r="P407" s="368"/>
      <c r="Q407" s="368"/>
      <c r="R407" s="368"/>
      <c r="S407" s="368"/>
    </row>
    <row r="408" spans="1:19">
      <c r="A408" s="368"/>
      <c r="B408" s="368"/>
      <c r="C408" s="368"/>
      <c r="D408" s="368"/>
      <c r="E408" s="368"/>
      <c r="F408" s="368"/>
      <c r="G408" s="368"/>
      <c r="H408" s="368"/>
      <c r="I408" s="368"/>
      <c r="J408" s="368"/>
      <c r="K408" s="368"/>
      <c r="L408" s="368"/>
      <c r="M408" s="368"/>
      <c r="N408" s="368"/>
      <c r="O408" s="368"/>
      <c r="P408" s="368"/>
      <c r="Q408" s="368"/>
      <c r="R408" s="368"/>
      <c r="S408" s="368"/>
    </row>
    <row r="409" spans="1:19">
      <c r="A409" s="368"/>
      <c r="B409" s="368"/>
      <c r="C409" s="368" t="s">
        <v>631</v>
      </c>
      <c r="D409" s="368" t="s">
        <v>622</v>
      </c>
      <c r="E409" s="368"/>
      <c r="F409" s="368" t="s">
        <v>100</v>
      </c>
      <c r="G409" s="368" t="s">
        <v>100</v>
      </c>
      <c r="H409" s="368" t="s">
        <v>633</v>
      </c>
      <c r="I409" s="368" t="s">
        <v>274</v>
      </c>
      <c r="J409" s="368"/>
      <c r="K409" s="368" t="s">
        <v>623</v>
      </c>
      <c r="L409" s="368" t="s">
        <v>624</v>
      </c>
      <c r="M409" s="368" t="s">
        <v>627</v>
      </c>
      <c r="N409" s="368" t="s">
        <v>625</v>
      </c>
      <c r="O409" s="368" t="s">
        <v>625</v>
      </c>
      <c r="P409" s="368" t="s">
        <v>98</v>
      </c>
      <c r="Q409" s="368" t="s">
        <v>630</v>
      </c>
      <c r="R409" s="252" t="s">
        <v>951</v>
      </c>
      <c r="S409" s="368" t="s">
        <v>979</v>
      </c>
    </row>
    <row r="410" spans="1:19">
      <c r="A410" s="368"/>
      <c r="B410" s="368"/>
      <c r="C410" s="368" t="s">
        <v>632</v>
      </c>
      <c r="D410" s="368"/>
      <c r="E410" s="368"/>
      <c r="F410" s="368">
        <v>1974</v>
      </c>
      <c r="G410" s="368">
        <v>1984</v>
      </c>
      <c r="H410" s="368"/>
      <c r="I410" s="368"/>
      <c r="J410" s="368"/>
      <c r="K410" s="368"/>
      <c r="L410" s="368"/>
      <c r="M410" s="368" t="s">
        <v>628</v>
      </c>
      <c r="N410" s="368" t="s">
        <v>626</v>
      </c>
      <c r="O410" s="368" t="s">
        <v>629</v>
      </c>
      <c r="P410" s="368"/>
      <c r="Q410" s="368"/>
      <c r="R410" s="252" t="s">
        <v>952</v>
      </c>
      <c r="S410" s="368"/>
    </row>
    <row r="411" spans="1:19">
      <c r="A411" s="368" t="s">
        <v>8</v>
      </c>
      <c r="B411" s="368"/>
      <c r="C411" s="368" t="s">
        <v>982</v>
      </c>
      <c r="D411" s="368"/>
      <c r="E411" s="368"/>
      <c r="F411" s="368"/>
      <c r="G411" s="368"/>
      <c r="H411" s="368"/>
      <c r="I411" s="368" t="s">
        <v>275</v>
      </c>
      <c r="J411" s="368" t="s">
        <v>276</v>
      </c>
      <c r="K411" s="368" t="s">
        <v>529</v>
      </c>
      <c r="L411" s="368"/>
      <c r="M411" s="368"/>
      <c r="N411" s="368"/>
      <c r="O411" s="368"/>
      <c r="P411" s="368"/>
      <c r="Q411" s="368"/>
      <c r="R411" s="252"/>
      <c r="S411" s="368"/>
    </row>
    <row r="412" spans="1:19">
      <c r="A412" s="368" t="s">
        <v>264</v>
      </c>
      <c r="B412" s="368" t="s">
        <v>88</v>
      </c>
      <c r="C412" s="368" t="s">
        <v>266</v>
      </c>
      <c r="D412" s="368"/>
      <c r="E412" s="368"/>
      <c r="F412" s="368"/>
      <c r="G412" s="368"/>
      <c r="H412" s="368"/>
      <c r="I412" s="368"/>
      <c r="J412" s="368"/>
      <c r="K412" s="368"/>
      <c r="L412" s="368"/>
      <c r="M412" s="368"/>
      <c r="N412" s="368"/>
      <c r="O412" s="368"/>
      <c r="P412" s="368"/>
      <c r="Q412" s="368"/>
      <c r="R412" s="252"/>
      <c r="S412" s="368"/>
    </row>
    <row r="413" spans="1:19">
      <c r="A413" s="368">
        <v>1</v>
      </c>
      <c r="B413" s="368">
        <v>0.51439999999999997</v>
      </c>
      <c r="C413" s="197">
        <f>C317*1000</f>
        <v>399.37023768812873</v>
      </c>
      <c r="D413" s="197">
        <f t="shared" ref="D413:S413" si="76">D317*1000</f>
        <v>106.02843712394434</v>
      </c>
      <c r="E413" s="197">
        <f t="shared" si="76"/>
        <v>142.76033696902152</v>
      </c>
      <c r="F413" s="197">
        <f t="shared" si="76"/>
        <v>153.30311080230155</v>
      </c>
      <c r="G413" s="197">
        <f t="shared" si="76"/>
        <v>227.12941883076928</v>
      </c>
      <c r="H413" s="197">
        <f t="shared" si="76"/>
        <v>62.462857687519197</v>
      </c>
      <c r="I413" s="197">
        <f t="shared" si="76"/>
        <v>2099.5334370139972</v>
      </c>
      <c r="J413" s="197">
        <f t="shared" si="76"/>
        <v>2519.4401244167966</v>
      </c>
      <c r="K413" s="197">
        <f t="shared" si="76"/>
        <v>235.59298493408659</v>
      </c>
      <c r="L413" s="197">
        <f t="shared" si="76"/>
        <v>371.76783060921241</v>
      </c>
      <c r="M413" s="197">
        <f t="shared" si="76"/>
        <v>413.52997620545852</v>
      </c>
      <c r="N413" s="197">
        <f t="shared" si="76"/>
        <v>413.44914989192739</v>
      </c>
      <c r="O413" s="197">
        <f t="shared" si="76"/>
        <v>345.83469798457327</v>
      </c>
      <c r="P413" s="197">
        <f t="shared" si="76"/>
        <v>162.64529512087137</v>
      </c>
      <c r="Q413" s="197">
        <f t="shared" si="76"/>
        <v>591.11312399265648</v>
      </c>
      <c r="R413" s="197">
        <f t="shared" si="76"/>
        <v>549.59740128475096</v>
      </c>
      <c r="S413" s="197">
        <f t="shared" si="76"/>
        <v>330.6</v>
      </c>
    </row>
    <row r="414" spans="1:19">
      <c r="A414" s="368">
        <v>1.5</v>
      </c>
      <c r="B414" s="368">
        <v>0.77159999999999995</v>
      </c>
      <c r="C414" s="197">
        <f t="shared" ref="C414:S414" si="77">C318*1000</f>
        <v>718.96545265347208</v>
      </c>
      <c r="D414" s="197">
        <f t="shared" si="77"/>
        <v>238.56398352887476</v>
      </c>
      <c r="E414" s="197">
        <f t="shared" si="77"/>
        <v>321.2107581802984</v>
      </c>
      <c r="F414" s="197">
        <f t="shared" si="77"/>
        <v>344.93199930517846</v>
      </c>
      <c r="G414" s="197">
        <f t="shared" si="77"/>
        <v>511.04119236923083</v>
      </c>
      <c r="H414" s="197">
        <f t="shared" si="77"/>
        <v>140.54142979691818</v>
      </c>
      <c r="I414" s="197">
        <f t="shared" si="77"/>
        <v>1399.6889580093314</v>
      </c>
      <c r="J414" s="197">
        <f t="shared" si="77"/>
        <v>1679.6267496111975</v>
      </c>
      <c r="K414" s="197">
        <f t="shared" si="77"/>
        <v>530.08421610169489</v>
      </c>
      <c r="L414" s="197">
        <f t="shared" si="77"/>
        <v>639.85160190381475</v>
      </c>
      <c r="M414" s="197">
        <f t="shared" si="77"/>
        <v>618.35741148414752</v>
      </c>
      <c r="N414" s="197">
        <f t="shared" si="77"/>
        <v>618.20097878939919</v>
      </c>
      <c r="O414" s="197">
        <f t="shared" si="77"/>
        <v>776.29309052997371</v>
      </c>
      <c r="P414" s="197">
        <f t="shared" si="77"/>
        <v>365.95191402196053</v>
      </c>
      <c r="Q414" s="197">
        <f t="shared" si="77"/>
        <v>634.78052975733272</v>
      </c>
      <c r="R414" s="197">
        <f t="shared" si="77"/>
        <v>635.87268440285504</v>
      </c>
      <c r="S414" s="197">
        <f t="shared" si="77"/>
        <v>476</v>
      </c>
    </row>
    <row r="415" spans="1:19">
      <c r="A415" s="368">
        <v>2</v>
      </c>
      <c r="B415" s="368">
        <v>1.0287999999999999</v>
      </c>
      <c r="C415" s="197">
        <f t="shared" ref="C415:S415" si="78">C319*1000</f>
        <v>1091.1116440631108</v>
      </c>
      <c r="D415" s="197">
        <f t="shared" si="78"/>
        <v>424.11374849577737</v>
      </c>
      <c r="E415" s="197">
        <f t="shared" si="78"/>
        <v>571.04134787608609</v>
      </c>
      <c r="F415" s="197">
        <f t="shared" si="78"/>
        <v>613.21244320920619</v>
      </c>
      <c r="G415" s="197">
        <f t="shared" si="78"/>
        <v>908.51767532307713</v>
      </c>
      <c r="H415" s="197">
        <f t="shared" si="78"/>
        <v>249.85143075007679</v>
      </c>
      <c r="I415" s="197">
        <f t="shared" si="78"/>
        <v>1049.7667185069986</v>
      </c>
      <c r="J415" s="197">
        <f t="shared" si="78"/>
        <v>1259.7200622083983</v>
      </c>
      <c r="K415" s="197">
        <f t="shared" si="78"/>
        <v>942.37193973634635</v>
      </c>
      <c r="L415" s="197">
        <f t="shared" si="78"/>
        <v>921.01598987691239</v>
      </c>
      <c r="M415" s="197">
        <f t="shared" si="78"/>
        <v>895.8498467325968</v>
      </c>
      <c r="N415" s="197">
        <f t="shared" si="78"/>
        <v>895.5918014536428</v>
      </c>
      <c r="O415" s="197">
        <f t="shared" si="78"/>
        <v>1376.829768400198</v>
      </c>
      <c r="P415" s="197">
        <f t="shared" si="78"/>
        <v>650.58118048348547</v>
      </c>
      <c r="Q415" s="197">
        <f t="shared" si="78"/>
        <v>581.69896061785005</v>
      </c>
      <c r="R415" s="197">
        <f t="shared" si="78"/>
        <v>828.75163718225076</v>
      </c>
      <c r="S415" s="197">
        <f t="shared" si="78"/>
        <v>704.30000000000007</v>
      </c>
    </row>
    <row r="416" spans="1:19">
      <c r="A416" s="368">
        <v>2.5</v>
      </c>
      <c r="B416" s="368">
        <v>1.286</v>
      </c>
      <c r="C416" s="197">
        <f t="shared" ref="C416:S416" si="79">C320*1000</f>
        <v>1507.9561378924284</v>
      </c>
      <c r="D416" s="197">
        <f t="shared" si="79"/>
        <v>662.6777320246523</v>
      </c>
      <c r="E416" s="197">
        <f t="shared" si="79"/>
        <v>892.2521060563846</v>
      </c>
      <c r="F416" s="197">
        <f t="shared" si="79"/>
        <v>958.14444251438488</v>
      </c>
      <c r="G416" s="197">
        <f t="shared" si="79"/>
        <v>1419.558867692308</v>
      </c>
      <c r="H416" s="197">
        <f t="shared" si="79"/>
        <v>390.39286054699517</v>
      </c>
      <c r="I416" s="197">
        <f t="shared" si="79"/>
        <v>839.81337480559876</v>
      </c>
      <c r="J416" s="197">
        <f t="shared" si="79"/>
        <v>1007.7760497667185</v>
      </c>
      <c r="K416" s="197">
        <f t="shared" si="79"/>
        <v>1472.4561558380412</v>
      </c>
      <c r="L416" s="197">
        <f t="shared" si="79"/>
        <v>1208.9864701618746</v>
      </c>
      <c r="M416" s="197">
        <f t="shared" si="79"/>
        <v>1239.9855282364413</v>
      </c>
      <c r="N416" s="197">
        <f t="shared" si="79"/>
        <v>1239.6020193061838</v>
      </c>
      <c r="O416" s="197">
        <f t="shared" si="79"/>
        <v>2146.2471451513275</v>
      </c>
      <c r="P416" s="197">
        <f t="shared" si="79"/>
        <v>1016.5330945054462</v>
      </c>
      <c r="Q416" s="197">
        <f t="shared" si="79"/>
        <v>518.49295212390825</v>
      </c>
      <c r="R416" s="197">
        <f t="shared" si="79"/>
        <v>1101.3916624415131</v>
      </c>
      <c r="S416" s="197">
        <f t="shared" si="79"/>
        <v>967.30000000000007</v>
      </c>
    </row>
    <row r="417" spans="1:19">
      <c r="A417" s="368">
        <v>3</v>
      </c>
      <c r="B417" s="368">
        <v>1.5432000000000001</v>
      </c>
      <c r="C417" s="197">
        <f t="shared" ref="C417:S417" si="80">C321*1000</f>
        <v>1964.2715030805787</v>
      </c>
      <c r="D417" s="197">
        <f t="shared" si="80"/>
        <v>954.25593411549949</v>
      </c>
      <c r="E417" s="197">
        <f t="shared" si="80"/>
        <v>1284.843032721194</v>
      </c>
      <c r="F417" s="197">
        <f t="shared" si="80"/>
        <v>1379.7279972207145</v>
      </c>
      <c r="G417" s="197">
        <f t="shared" si="80"/>
        <v>2044.1647694769233</v>
      </c>
      <c r="H417" s="197">
        <f t="shared" si="80"/>
        <v>562.16571918767295</v>
      </c>
      <c r="I417" s="197">
        <f t="shared" si="80"/>
        <v>699.84447900466557</v>
      </c>
      <c r="J417" s="197">
        <f t="shared" si="80"/>
        <v>839.81337480559864</v>
      </c>
      <c r="K417" s="197">
        <f t="shared" si="80"/>
        <v>2120.3368644067796</v>
      </c>
      <c r="L417" s="197">
        <f t="shared" si="80"/>
        <v>1500.9483419430094</v>
      </c>
      <c r="M417" s="197">
        <f t="shared" si="80"/>
        <v>1645.3901809579759</v>
      </c>
      <c r="N417" s="197">
        <f t="shared" si="80"/>
        <v>1644.8592807179402</v>
      </c>
      <c r="O417" s="197">
        <f t="shared" si="80"/>
        <v>3083.3588515651954</v>
      </c>
      <c r="P417" s="197">
        <f t="shared" si="80"/>
        <v>1463.8076560878428</v>
      </c>
      <c r="Q417" s="197">
        <f t="shared" si="80"/>
        <v>466.39345569126385</v>
      </c>
      <c r="R417" s="197">
        <f t="shared" si="80"/>
        <v>1443.6120960655239</v>
      </c>
      <c r="S417" s="197">
        <f t="shared" si="80"/>
        <v>1331.3</v>
      </c>
    </row>
    <row r="418" spans="1:19">
      <c r="A418" s="368">
        <v>3.5</v>
      </c>
      <c r="B418" s="368">
        <v>1.8004</v>
      </c>
      <c r="C418" s="197">
        <f t="shared" ref="C418:S418" si="81">C322*1000</f>
        <v>2456.2601427364957</v>
      </c>
      <c r="D418" s="197">
        <f t="shared" si="81"/>
        <v>1298.8483547683184</v>
      </c>
      <c r="E418" s="197">
        <f t="shared" si="81"/>
        <v>1748.8141278705139</v>
      </c>
      <c r="F418" s="197">
        <f t="shared" si="81"/>
        <v>1877.9631073281942</v>
      </c>
      <c r="G418" s="197">
        <f t="shared" si="81"/>
        <v>2782.3353806769237</v>
      </c>
      <c r="H418" s="197">
        <f t="shared" si="81"/>
        <v>765.17000667211028</v>
      </c>
      <c r="I418" s="197">
        <f t="shared" si="81"/>
        <v>599.86669628971345</v>
      </c>
      <c r="J418" s="197">
        <f t="shared" si="81"/>
        <v>719.84003554765604</v>
      </c>
      <c r="K418" s="197">
        <f t="shared" si="81"/>
        <v>2886.0140654425609</v>
      </c>
      <c r="L418" s="197">
        <f t="shared" si="81"/>
        <v>1795.4509208069419</v>
      </c>
      <c r="M418" s="197">
        <f t="shared" si="81"/>
        <v>2107.2522627870349</v>
      </c>
      <c r="N418" s="197">
        <f t="shared" si="81"/>
        <v>2106.5537655899047</v>
      </c>
      <c r="O418" s="197">
        <f t="shared" si="81"/>
        <v>4186.9896046231406</v>
      </c>
      <c r="P418" s="197">
        <f t="shared" si="81"/>
        <v>1992.4048652306744</v>
      </c>
      <c r="Q418" s="197">
        <f t="shared" si="81"/>
        <v>427.04852884318967</v>
      </c>
      <c r="R418" s="197">
        <f t="shared" si="81"/>
        <v>1850.0541243475584</v>
      </c>
      <c r="S418" s="197">
        <f t="shared" si="81"/>
        <v>1751.9</v>
      </c>
    </row>
    <row r="419" spans="1:19">
      <c r="A419" s="368">
        <v>4</v>
      </c>
      <c r="B419" s="368">
        <v>2.0575999999999999</v>
      </c>
      <c r="C419" s="197">
        <f t="shared" ref="C419:S419" si="82">C323*1000</f>
        <v>2981.0048608073648</v>
      </c>
      <c r="D419" s="197">
        <f t="shared" si="82"/>
        <v>1696.4549939831095</v>
      </c>
      <c r="E419" s="197">
        <f t="shared" si="82"/>
        <v>2284.1653915043444</v>
      </c>
      <c r="F419" s="197">
        <f t="shared" si="82"/>
        <v>2452.8497728368247</v>
      </c>
      <c r="G419" s="197">
        <f t="shared" si="82"/>
        <v>3634.0707012923085</v>
      </c>
      <c r="H419" s="197">
        <f t="shared" si="82"/>
        <v>999.40572300030715</v>
      </c>
      <c r="I419" s="197">
        <f t="shared" si="82"/>
        <v>524.88335925349929</v>
      </c>
      <c r="J419" s="197">
        <f t="shared" si="82"/>
        <v>629.86003110419915</v>
      </c>
      <c r="K419" s="197">
        <f t="shared" si="82"/>
        <v>3769.4877589453854</v>
      </c>
      <c r="L419" s="197">
        <f t="shared" si="82"/>
        <v>2091.670563647051</v>
      </c>
      <c r="M419" s="197">
        <f t="shared" si="82"/>
        <v>2621.2511896670371</v>
      </c>
      <c r="N419" s="197">
        <f t="shared" si="82"/>
        <v>2620.3664361668261</v>
      </c>
      <c r="O419" s="197">
        <f t="shared" si="82"/>
        <v>5455.9750783120708</v>
      </c>
      <c r="P419" s="197">
        <f t="shared" si="82"/>
        <v>2602.3247219339419</v>
      </c>
      <c r="Q419" s="197">
        <f t="shared" si="82"/>
        <v>398.04370544221592</v>
      </c>
      <c r="R419" s="197">
        <f t="shared" si="82"/>
        <v>2317.4542858597656</v>
      </c>
      <c r="S419" s="197">
        <f t="shared" si="82"/>
        <v>2208.6999999999998</v>
      </c>
    </row>
    <row r="420" spans="1:19">
      <c r="A420" s="368">
        <v>4.5</v>
      </c>
      <c r="B420" s="368">
        <v>2.3148</v>
      </c>
      <c r="C420" s="197">
        <f t="shared" ref="C420:S420" si="83">C324*1000</f>
        <v>3536.1757514075834</v>
      </c>
      <c r="D420" s="197">
        <f t="shared" si="83"/>
        <v>2147.0758517598733</v>
      </c>
      <c r="E420" s="197">
        <f t="shared" si="83"/>
        <v>2890.896823622686</v>
      </c>
      <c r="F420" s="197">
        <f t="shared" si="83"/>
        <v>3104.3879937466068</v>
      </c>
      <c r="G420" s="197">
        <f t="shared" si="83"/>
        <v>4599.370731323078</v>
      </c>
      <c r="H420" s="197">
        <f t="shared" si="83"/>
        <v>1264.8728681722641</v>
      </c>
      <c r="I420" s="197">
        <f t="shared" si="83"/>
        <v>466.56298600311044</v>
      </c>
      <c r="J420" s="197">
        <f t="shared" si="83"/>
        <v>559.8755832037325</v>
      </c>
      <c r="K420" s="197">
        <f t="shared" si="83"/>
        <v>4770.7579449152536</v>
      </c>
      <c r="L420" s="197">
        <f t="shared" si="83"/>
        <v>2389.1049188058109</v>
      </c>
      <c r="M420" s="197">
        <f t="shared" si="83"/>
        <v>3183.4962730562083</v>
      </c>
      <c r="N420" s="197">
        <f t="shared" si="83"/>
        <v>3182.4079963522054</v>
      </c>
      <c r="O420" s="197">
        <f t="shared" si="83"/>
        <v>6889.1617762330197</v>
      </c>
      <c r="P420" s="197">
        <f t="shared" si="83"/>
        <v>3293.5672261976451</v>
      </c>
      <c r="Q420" s="197">
        <f t="shared" si="83"/>
        <v>376.78201279819012</v>
      </c>
      <c r="R420" s="197">
        <f t="shared" si="83"/>
        <v>2843.6331158398175</v>
      </c>
      <c r="S420" s="197">
        <f t="shared" si="83"/>
        <v>2784.5</v>
      </c>
    </row>
    <row r="421" spans="1:19">
      <c r="A421" s="368">
        <v>5</v>
      </c>
      <c r="B421" s="368">
        <v>2.5720000000000001</v>
      </c>
      <c r="C421" s="197">
        <f t="shared" ref="C421:S421" si="84">C325*1000</f>
        <v>4119.8575795618781</v>
      </c>
      <c r="D421" s="197">
        <f t="shared" si="84"/>
        <v>2650.7109280986092</v>
      </c>
      <c r="E421" s="197">
        <f t="shared" si="84"/>
        <v>3569.0084242255384</v>
      </c>
      <c r="F421" s="197">
        <f t="shared" si="84"/>
        <v>3832.5777700575395</v>
      </c>
      <c r="G421" s="197">
        <f t="shared" si="84"/>
        <v>5678.2354707692321</v>
      </c>
      <c r="H421" s="197">
        <f t="shared" si="84"/>
        <v>1561.5714421879807</v>
      </c>
      <c r="I421" s="197">
        <f t="shared" si="84"/>
        <v>419.90668740279938</v>
      </c>
      <c r="J421" s="197">
        <f t="shared" si="84"/>
        <v>503.88802488335926</v>
      </c>
      <c r="K421" s="197">
        <f t="shared" si="84"/>
        <v>5889.824623352165</v>
      </c>
      <c r="L421" s="197">
        <f t="shared" si="84"/>
        <v>2687.4301825993552</v>
      </c>
      <c r="M421" s="197">
        <f t="shared" si="84"/>
        <v>3790.4745497221716</v>
      </c>
      <c r="N421" s="197">
        <f t="shared" si="84"/>
        <v>3789.1667401741761</v>
      </c>
      <c r="O421" s="197">
        <f t="shared" si="84"/>
        <v>8485.4069059829053</v>
      </c>
      <c r="P421" s="197">
        <f t="shared" si="84"/>
        <v>4066.1323780217849</v>
      </c>
      <c r="Q421" s="197">
        <f t="shared" si="84"/>
        <v>361.22317238566677</v>
      </c>
      <c r="R421" s="197">
        <f t="shared" si="84"/>
        <v>3427.0276586283439</v>
      </c>
      <c r="S421" s="197">
        <f t="shared" si="84"/>
        <v>3371.7999999999997</v>
      </c>
    </row>
    <row r="422" spans="1:19">
      <c r="A422" s="368"/>
      <c r="B422" s="368"/>
      <c r="C422" s="197">
        <f t="shared" ref="C422:S422" si="85">C326*1000</f>
        <v>2086.1081455434492</v>
      </c>
      <c r="D422" s="197">
        <f t="shared" si="85"/>
        <v>1130.9699959887398</v>
      </c>
      <c r="E422" s="197">
        <f t="shared" si="85"/>
        <v>1522.7769276695631</v>
      </c>
      <c r="F422" s="197">
        <f t="shared" si="85"/>
        <v>1635.2331818912166</v>
      </c>
      <c r="G422" s="197">
        <f t="shared" si="85"/>
        <v>2422.7138008615393</v>
      </c>
      <c r="H422" s="197">
        <f t="shared" si="85"/>
        <v>666.27048200020488</v>
      </c>
      <c r="I422" s="197">
        <f t="shared" si="85"/>
        <v>899.98518847663479</v>
      </c>
      <c r="J422" s="197">
        <f t="shared" si="85"/>
        <v>1079.9822261719619</v>
      </c>
      <c r="K422" s="197">
        <f t="shared" si="85"/>
        <v>2512.9918392969239</v>
      </c>
      <c r="L422" s="197">
        <f t="shared" si="85"/>
        <v>1511.8029800393315</v>
      </c>
      <c r="M422" s="197">
        <f t="shared" si="85"/>
        <v>1835.0652465387855</v>
      </c>
      <c r="N422" s="197">
        <f t="shared" si="85"/>
        <v>1834.466463160245</v>
      </c>
      <c r="O422" s="197">
        <f t="shared" si="85"/>
        <v>3638.4552131980449</v>
      </c>
      <c r="P422" s="197">
        <f t="shared" si="85"/>
        <v>1734.8831479559612</v>
      </c>
      <c r="Q422" s="197">
        <f t="shared" si="85"/>
        <v>483.95293796136377</v>
      </c>
      <c r="R422" s="197">
        <f t="shared" si="85"/>
        <v>1666.3771851169311</v>
      </c>
      <c r="S422" s="197">
        <f t="shared" si="85"/>
        <v>1547.3777777777777</v>
      </c>
    </row>
    <row r="423" spans="1:19">
      <c r="A423" s="368"/>
      <c r="B423" s="368"/>
      <c r="C423" s="368"/>
      <c r="D423" s="368"/>
      <c r="E423" s="368"/>
      <c r="F423" s="368"/>
      <c r="G423" s="368"/>
      <c r="H423" s="368"/>
      <c r="I423" s="368"/>
      <c r="J423" s="368"/>
      <c r="K423" s="368"/>
      <c r="L423" s="368"/>
      <c r="M423" s="368"/>
      <c r="N423" s="368"/>
      <c r="O423" s="368"/>
      <c r="P423" s="368"/>
      <c r="Q423" s="368"/>
      <c r="R423" s="368"/>
      <c r="S423" s="368"/>
    </row>
  </sheetData>
  <mergeCells count="79">
    <mergeCell ref="S313:S315"/>
    <mergeCell ref="B277:E277"/>
    <mergeCell ref="B272:E272"/>
    <mergeCell ref="B273:E273"/>
    <mergeCell ref="B274:E274"/>
    <mergeCell ref="B275:E275"/>
    <mergeCell ref="B276:E276"/>
    <mergeCell ref="B254:E254"/>
    <mergeCell ref="A229:O229"/>
    <mergeCell ref="A248:O248"/>
    <mergeCell ref="A270:O270"/>
    <mergeCell ref="B271:E271"/>
    <mergeCell ref="B250:E250"/>
    <mergeCell ref="B251:E251"/>
    <mergeCell ref="B252:E252"/>
    <mergeCell ref="B253:E253"/>
    <mergeCell ref="B210:E210"/>
    <mergeCell ref="B232:E232"/>
    <mergeCell ref="B233:E233"/>
    <mergeCell ref="A189:O189"/>
    <mergeCell ref="B191:E191"/>
    <mergeCell ref="B192:E192"/>
    <mergeCell ref="A207:O207"/>
    <mergeCell ref="B209:E209"/>
    <mergeCell ref="B149:E149"/>
    <mergeCell ref="B150:E150"/>
    <mergeCell ref="A167:O167"/>
    <mergeCell ref="B169:E169"/>
    <mergeCell ref="B170:E170"/>
    <mergeCell ref="A111:C111"/>
    <mergeCell ref="A112:C112"/>
    <mergeCell ref="A113:C113"/>
    <mergeCell ref="A128:O128"/>
    <mergeCell ref="A148:O148"/>
    <mergeCell ref="A110:C110"/>
    <mergeCell ref="F25:H25"/>
    <mergeCell ref="F26:H26"/>
    <mergeCell ref="A86:C86"/>
    <mergeCell ref="B7:D7"/>
    <mergeCell ref="B67:M67"/>
    <mergeCell ref="B69:D69"/>
    <mergeCell ref="B68:D68"/>
    <mergeCell ref="B70:D70"/>
    <mergeCell ref="B72:C72"/>
    <mergeCell ref="B84:M84"/>
    <mergeCell ref="B4:D4"/>
    <mergeCell ref="B2:N2"/>
    <mergeCell ref="B1:N1"/>
    <mergeCell ref="A87:C87"/>
    <mergeCell ref="A108:O108"/>
    <mergeCell ref="B5:D5"/>
    <mergeCell ref="B9:C9"/>
    <mergeCell ref="B23:M23"/>
    <mergeCell ref="B28:C28"/>
    <mergeCell ref="J28:K28"/>
    <mergeCell ref="B6:D6"/>
    <mergeCell ref="A295:O296"/>
    <mergeCell ref="A300:B300"/>
    <mergeCell ref="B297:M297"/>
    <mergeCell ref="D298:E299"/>
    <mergeCell ref="I298:J299"/>
    <mergeCell ref="C300:H300"/>
    <mergeCell ref="K300:Q300"/>
    <mergeCell ref="K298:K299"/>
    <mergeCell ref="L298:L299"/>
    <mergeCell ref="P298:P299"/>
    <mergeCell ref="Q298:Q299"/>
    <mergeCell ref="C301:S301"/>
    <mergeCell ref="S298:S300"/>
    <mergeCell ref="Q313:Q314"/>
    <mergeCell ref="A315:B315"/>
    <mergeCell ref="C315:H315"/>
    <mergeCell ref="K315:Q315"/>
    <mergeCell ref="C316:Q316"/>
    <mergeCell ref="D313:E314"/>
    <mergeCell ref="I313:J314"/>
    <mergeCell ref="K313:K314"/>
    <mergeCell ref="L313:L314"/>
    <mergeCell ref="P313:P314"/>
  </mergeCells>
  <pageMargins left="0.25" right="0.25" top="0.75" bottom="0.75" header="0.3" footer="0.3"/>
  <pageSetup paperSize="9" scale="8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90"/>
  <sheetViews>
    <sheetView topLeftCell="A204" workbookViewId="0">
      <selection activeCell="L29" sqref="L29"/>
    </sheetView>
  </sheetViews>
  <sheetFormatPr baseColWidth="10" defaultRowHeight="15"/>
  <cols>
    <col min="4" max="4" width="11.85546875" bestFit="1" customWidth="1"/>
    <col min="7" max="7" width="11.85546875" bestFit="1" customWidth="1"/>
  </cols>
  <sheetData>
    <row r="1" spans="1:8">
      <c r="A1" s="528" t="s">
        <v>619</v>
      </c>
      <c r="B1" s="528"/>
      <c r="C1" s="528"/>
      <c r="D1" s="528"/>
      <c r="E1" s="528"/>
      <c r="F1" s="528"/>
      <c r="G1" s="528"/>
      <c r="H1" s="528"/>
    </row>
    <row r="2" spans="1:8">
      <c r="A2" s="528"/>
      <c r="B2" s="528"/>
      <c r="C2" s="528"/>
      <c r="D2" s="528"/>
      <c r="E2" s="528"/>
      <c r="F2" s="528"/>
      <c r="G2" s="528"/>
      <c r="H2" s="528"/>
    </row>
    <row r="4" spans="1:8" ht="21">
      <c r="A4" s="791" t="s">
        <v>660</v>
      </c>
      <c r="B4" s="792"/>
      <c r="C4" s="792"/>
      <c r="D4" s="792"/>
      <c r="E4" s="792"/>
      <c r="F4" s="792"/>
      <c r="G4" s="792"/>
      <c r="H4" s="793"/>
    </row>
    <row r="5" spans="1:8">
      <c r="A5" s="778"/>
      <c r="B5" s="776"/>
      <c r="C5" s="776"/>
      <c r="D5" s="776"/>
      <c r="E5" s="776"/>
      <c r="F5" s="776"/>
      <c r="G5" s="776"/>
      <c r="H5" s="779"/>
    </row>
    <row r="6" spans="1:8">
      <c r="A6" s="778"/>
      <c r="B6" s="785" t="s">
        <v>638</v>
      </c>
      <c r="C6" s="785"/>
      <c r="D6" s="780">
        <f>'Tipo de buques'!B5</f>
        <v>2.5</v>
      </c>
      <c r="E6" s="780" t="s">
        <v>560</v>
      </c>
      <c r="F6" s="776"/>
      <c r="G6" s="776"/>
      <c r="H6" s="779"/>
    </row>
    <row r="7" spans="1:8">
      <c r="A7" s="778"/>
      <c r="B7" s="780" t="s">
        <v>639</v>
      </c>
      <c r="C7" s="780"/>
      <c r="D7" s="780">
        <v>2.65</v>
      </c>
      <c r="E7" s="780" t="s">
        <v>560</v>
      </c>
      <c r="F7" s="776"/>
      <c r="G7" s="776"/>
      <c r="H7" s="779"/>
    </row>
    <row r="8" spans="1:8">
      <c r="A8" s="778"/>
      <c r="B8" s="780" t="s">
        <v>640</v>
      </c>
      <c r="C8" s="780"/>
      <c r="D8" s="780">
        <f>'Especie Blanco'!E5</f>
        <v>40</v>
      </c>
      <c r="E8" s="780" t="s">
        <v>560</v>
      </c>
      <c r="F8" s="776"/>
      <c r="G8" s="776"/>
      <c r="H8" s="779"/>
    </row>
    <row r="9" spans="1:8">
      <c r="A9" s="778"/>
      <c r="B9" s="785" t="s">
        <v>641</v>
      </c>
      <c r="C9" s="785"/>
      <c r="D9" s="780">
        <f>'Mecánica de la Red'!E177</f>
        <v>200</v>
      </c>
      <c r="E9" s="780" t="s">
        <v>560</v>
      </c>
      <c r="F9" s="776"/>
      <c r="G9" s="776"/>
      <c r="H9" s="779"/>
    </row>
    <row r="10" spans="1:8">
      <c r="A10" s="778"/>
      <c r="B10" s="776"/>
      <c r="C10" s="776"/>
      <c r="D10" s="776"/>
      <c r="E10" s="776"/>
      <c r="F10" s="776"/>
      <c r="G10" s="776"/>
      <c r="H10" s="779"/>
    </row>
    <row r="11" spans="1:8">
      <c r="A11" s="778"/>
      <c r="B11" s="776"/>
      <c r="C11" s="776"/>
      <c r="D11" s="776"/>
      <c r="E11" s="776"/>
      <c r="F11" s="776"/>
      <c r="G11" s="776"/>
      <c r="H11" s="779"/>
    </row>
    <row r="12" spans="1:8">
      <c r="A12" s="778"/>
      <c r="B12" s="776"/>
      <c r="C12" s="776"/>
      <c r="D12" s="776"/>
      <c r="E12" s="776"/>
      <c r="F12" s="776"/>
      <c r="G12" s="776"/>
      <c r="H12" s="779"/>
    </row>
    <row r="13" spans="1:8">
      <c r="A13" s="787"/>
      <c r="B13" s="785" t="s">
        <v>642</v>
      </c>
      <c r="C13" s="785"/>
      <c r="D13" s="785"/>
      <c r="E13" s="780">
        <f>((D7-D6)*D9)+D6</f>
        <v>32.499999999999986</v>
      </c>
      <c r="F13" s="780" t="s">
        <v>560</v>
      </c>
      <c r="G13" s="788"/>
      <c r="H13" s="790"/>
    </row>
    <row r="14" spans="1:8" s="255" customFormat="1" ht="15.75" thickBot="1">
      <c r="A14" s="300"/>
      <c r="B14" s="346"/>
      <c r="C14" s="346"/>
      <c r="D14" s="346"/>
      <c r="E14" s="300"/>
      <c r="F14" s="300"/>
      <c r="G14" s="300"/>
      <c r="H14" s="300"/>
    </row>
    <row r="15" spans="1:8" s="255" customFormat="1">
      <c r="A15" s="334"/>
      <c r="B15" s="665" t="s">
        <v>953</v>
      </c>
      <c r="C15" s="665"/>
      <c r="D15" s="665"/>
      <c r="E15" s="665"/>
      <c r="F15" s="665"/>
      <c r="G15" s="665"/>
      <c r="H15" s="335"/>
    </row>
    <row r="16" spans="1:8" s="255" customFormat="1">
      <c r="A16" s="319"/>
      <c r="B16" s="346"/>
      <c r="C16" s="346"/>
      <c r="D16" s="346"/>
      <c r="E16" s="346"/>
      <c r="F16" s="346"/>
      <c r="G16" s="346"/>
      <c r="H16" s="320"/>
    </row>
    <row r="17" spans="1:8" s="255" customFormat="1">
      <c r="A17" s="319"/>
      <c r="B17" s="529" t="str">
        <f>B13</f>
        <v xml:space="preserve">Distancia entre portones= </v>
      </c>
      <c r="C17" s="529"/>
      <c r="D17" s="529"/>
      <c r="E17" s="346">
        <f>E13</f>
        <v>32.499999999999986</v>
      </c>
      <c r="F17" s="346" t="str">
        <f>F13</f>
        <v>[m]</v>
      </c>
      <c r="G17" s="346"/>
      <c r="H17" s="320"/>
    </row>
    <row r="18" spans="1:8" s="255" customFormat="1">
      <c r="A18" s="319"/>
      <c r="B18" s="300"/>
      <c r="C18" s="346" t="str">
        <f>B6</f>
        <v>Distancia entre pastecas=</v>
      </c>
      <c r="D18" s="346"/>
      <c r="E18" s="346">
        <f>D6</f>
        <v>2.5</v>
      </c>
      <c r="F18" s="346" t="str">
        <f>E6</f>
        <v>[m]</v>
      </c>
      <c r="G18" s="346"/>
      <c r="H18" s="320"/>
    </row>
    <row r="19" spans="1:8" s="255" customFormat="1">
      <c r="A19" s="319"/>
      <c r="B19" s="346"/>
      <c r="C19" s="346" t="str">
        <f>B9</f>
        <v>cable filado</v>
      </c>
      <c r="D19" s="346"/>
      <c r="E19" s="346">
        <f>D9</f>
        <v>200</v>
      </c>
      <c r="F19" s="346" t="str">
        <f>E7</f>
        <v>[m]</v>
      </c>
      <c r="G19" s="346"/>
      <c r="H19" s="320"/>
    </row>
    <row r="20" spans="1:8" s="255" customFormat="1" ht="15.75" thickBot="1">
      <c r="A20" s="319"/>
      <c r="B20" s="346"/>
      <c r="C20" s="346"/>
      <c r="D20" s="346"/>
      <c r="E20" s="346"/>
      <c r="F20" s="346"/>
      <c r="G20" s="346"/>
      <c r="H20" s="320"/>
    </row>
    <row r="21" spans="1:8" s="255" customFormat="1" ht="15.75" thickBot="1">
      <c r="A21" s="319"/>
      <c r="B21" s="346"/>
      <c r="C21" s="457" t="s">
        <v>954</v>
      </c>
      <c r="D21" s="458">
        <f>DEGREES(ASIN(0.5*((E17-E18)/E19)))</f>
        <v>4.3012223046703628</v>
      </c>
      <c r="E21" s="459" t="s">
        <v>602</v>
      </c>
      <c r="F21" s="346"/>
      <c r="G21" s="346"/>
      <c r="H21" s="320"/>
    </row>
    <row r="22" spans="1:8" s="255" customFormat="1" ht="15.75" thickBot="1">
      <c r="A22" s="321"/>
      <c r="B22" s="391"/>
      <c r="C22" s="391"/>
      <c r="D22" s="391"/>
      <c r="E22" s="391"/>
      <c r="F22" s="391"/>
      <c r="G22" s="391"/>
      <c r="H22" s="323"/>
    </row>
    <row r="23" spans="1:8" s="255" customFormat="1" ht="15.75" thickBot="1">
      <c r="A23" s="300"/>
      <c r="B23" s="346"/>
      <c r="C23" s="346"/>
      <c r="D23" s="346"/>
      <c r="E23" s="346"/>
      <c r="F23" s="346"/>
      <c r="G23" s="346"/>
      <c r="H23" s="300"/>
    </row>
    <row r="24" spans="1:8" s="255" customFormat="1">
      <c r="A24" s="830"/>
      <c r="B24" s="831" t="s">
        <v>955</v>
      </c>
      <c r="C24" s="831"/>
      <c r="D24" s="831"/>
      <c r="E24" s="831"/>
      <c r="F24" s="831"/>
      <c r="G24" s="831"/>
      <c r="H24" s="832"/>
    </row>
    <row r="25" spans="1:8" s="255" customFormat="1">
      <c r="A25" s="833"/>
      <c r="B25" s="834"/>
      <c r="C25" s="834"/>
      <c r="D25" s="834"/>
      <c r="E25" s="834"/>
      <c r="F25" s="834"/>
      <c r="G25" s="834"/>
      <c r="H25" s="835"/>
    </row>
    <row r="26" spans="1:8" s="255" customFormat="1">
      <c r="A26" s="833"/>
      <c r="B26" s="785" t="str">
        <f>C19</f>
        <v>cable filado</v>
      </c>
      <c r="C26" s="785"/>
      <c r="D26" s="812">
        <f>E19</f>
        <v>200</v>
      </c>
      <c r="E26" s="834"/>
      <c r="F26" s="834"/>
      <c r="G26" s="834"/>
      <c r="H26" s="835"/>
    </row>
    <row r="27" spans="1:8" s="255" customFormat="1">
      <c r="A27" s="833"/>
      <c r="B27" s="785" t="str">
        <f>C21</f>
        <v>1/2ϕ=</v>
      </c>
      <c r="C27" s="785"/>
      <c r="D27" s="836">
        <f>D21</f>
        <v>4.3012223046703628</v>
      </c>
      <c r="E27" s="834"/>
      <c r="F27" s="834"/>
      <c r="G27" s="834"/>
      <c r="H27" s="835"/>
    </row>
    <row r="28" spans="1:8" s="255" customFormat="1">
      <c r="A28" s="833"/>
      <c r="B28" s="785" t="s">
        <v>956</v>
      </c>
      <c r="C28" s="785"/>
      <c r="D28" s="812">
        <v>1.1499999999999999</v>
      </c>
      <c r="E28" s="834"/>
      <c r="F28" s="834"/>
      <c r="G28" s="834"/>
      <c r="H28" s="835"/>
    </row>
    <row r="29" spans="1:8" s="255" customFormat="1" ht="15.75" thickBot="1">
      <c r="A29" s="833"/>
      <c r="B29" s="834"/>
      <c r="C29" s="776"/>
      <c r="D29" s="776"/>
      <c r="E29" s="776"/>
      <c r="F29" s="776"/>
      <c r="G29" s="776"/>
      <c r="H29" s="835"/>
    </row>
    <row r="30" spans="1:8" s="255" customFormat="1" ht="15.75" thickBot="1">
      <c r="A30" s="837"/>
      <c r="B30" s="838"/>
      <c r="C30" s="839" t="s">
        <v>957</v>
      </c>
      <c r="D30" s="840"/>
      <c r="E30" s="840"/>
      <c r="F30" s="841">
        <f>D28*(2*(E19*SIN(RADIANS(D27))))</f>
        <v>34.499999999999986</v>
      </c>
      <c r="G30" s="842" t="s">
        <v>560</v>
      </c>
      <c r="H30" s="843"/>
    </row>
    <row r="31" spans="1:8" s="255" customFormat="1">
      <c r="A31" s="300"/>
      <c r="B31" s="346"/>
      <c r="C31" s="346"/>
      <c r="D31" s="346"/>
      <c r="E31" s="346"/>
      <c r="F31" s="346"/>
      <c r="G31" s="346"/>
      <c r="H31" s="300"/>
    </row>
    <row r="33" spans="1:8" ht="15.75" customHeight="1">
      <c r="A33" s="607" t="s">
        <v>610</v>
      </c>
      <c r="B33" s="608"/>
      <c r="C33" s="608"/>
      <c r="D33" s="608"/>
      <c r="E33" s="608"/>
      <c r="F33" s="608"/>
      <c r="G33" s="608"/>
      <c r="H33" s="687"/>
    </row>
    <row r="34" spans="1:8" s="223" customFormat="1">
      <c r="A34" s="688"/>
      <c r="B34" s="689"/>
      <c r="C34" s="689"/>
      <c r="D34" s="689"/>
      <c r="E34" s="689"/>
      <c r="F34" s="689"/>
      <c r="G34" s="689"/>
      <c r="H34" s="690"/>
    </row>
    <row r="35" spans="1:8" s="223" customFormat="1">
      <c r="A35" s="249"/>
      <c r="B35" s="149"/>
      <c r="C35" s="149"/>
      <c r="D35" s="149"/>
      <c r="E35" s="149"/>
      <c r="F35" s="149"/>
      <c r="G35" s="149"/>
      <c r="H35" s="250"/>
    </row>
    <row r="36" spans="1:8" s="223" customFormat="1">
      <c r="A36" s="249"/>
      <c r="B36" s="149"/>
      <c r="C36" s="149"/>
      <c r="D36" s="149"/>
      <c r="E36" s="149"/>
      <c r="F36" s="149" t="s">
        <v>609</v>
      </c>
      <c r="G36" s="149" t="s">
        <v>512</v>
      </c>
      <c r="H36" s="250"/>
    </row>
    <row r="37" spans="1:8" s="223" customFormat="1">
      <c r="A37" s="249"/>
      <c r="B37" s="474" t="str">
        <f t="array" ref="B37">'Dimensiones de la Red'!B60</f>
        <v>Abertura Vertical (AV) [m]</v>
      </c>
      <c r="C37" s="474"/>
      <c r="D37" s="474"/>
      <c r="E37" s="474"/>
      <c r="F37" s="315">
        <f>'Mecánica de la Red'!D255</f>
        <v>1.9840000000000002</v>
      </c>
      <c r="G37" s="315">
        <f>F37</f>
        <v>1.9840000000000002</v>
      </c>
      <c r="H37" s="250"/>
    </row>
    <row r="38" spans="1:8" s="223" customFormat="1">
      <c r="A38" s="249"/>
      <c r="B38" s="474" t="str">
        <f t="array" ref="B38">'Mecánica de la Red'!K267:N267</f>
        <v>Flecha de la lima (fL)</v>
      </c>
      <c r="C38" s="474"/>
      <c r="D38" s="474"/>
      <c r="E38" s="474"/>
      <c r="F38" s="342">
        <f>'Mecánica de la Red'!O267</f>
        <v>6.1987680000000003</v>
      </c>
      <c r="G38" s="342">
        <f>'Mecánica de la Red'!O267</f>
        <v>6.1987680000000003</v>
      </c>
      <c r="H38" s="250"/>
    </row>
    <row r="39" spans="1:8" s="223" customFormat="1">
      <c r="A39" s="243"/>
      <c r="B39" s="474" t="s">
        <v>611</v>
      </c>
      <c r="C39" s="474"/>
      <c r="D39" s="474"/>
      <c r="E39" s="526"/>
      <c r="F39" s="1">
        <v>4.8</v>
      </c>
      <c r="G39" s="3" t="s">
        <v>602</v>
      </c>
      <c r="H39" s="250"/>
    </row>
    <row r="40" spans="1:8" s="223" customFormat="1">
      <c r="A40" s="249"/>
      <c r="B40" s="253"/>
      <c r="C40" s="253"/>
      <c r="D40" s="149"/>
      <c r="E40" s="149"/>
      <c r="F40" s="149"/>
      <c r="G40" s="149"/>
      <c r="H40" s="250"/>
    </row>
    <row r="41" spans="1:8" s="223" customFormat="1">
      <c r="A41" s="243"/>
      <c r="B41" s="253"/>
      <c r="C41" s="253"/>
      <c r="D41" s="149"/>
      <c r="E41" s="149"/>
      <c r="F41" s="149"/>
      <c r="G41" s="149"/>
      <c r="H41" s="250"/>
    </row>
    <row r="42" spans="1:8" s="223" customFormat="1">
      <c r="A42" s="249"/>
      <c r="B42" s="149"/>
      <c r="C42" s="149"/>
      <c r="D42" s="149"/>
      <c r="E42" s="149"/>
      <c r="F42" s="149"/>
      <c r="G42" s="149"/>
      <c r="H42" s="250"/>
    </row>
    <row r="43" spans="1:8" s="223" customFormat="1">
      <c r="A43" s="249"/>
      <c r="B43" s="149"/>
      <c r="C43" s="149"/>
      <c r="D43" s="256" t="s">
        <v>613</v>
      </c>
      <c r="E43" s="256" t="s">
        <v>512</v>
      </c>
      <c r="F43" s="149"/>
      <c r="G43" s="149"/>
      <c r="H43" s="250"/>
    </row>
    <row r="44" spans="1:8" s="223" customFormat="1">
      <c r="A44" s="474" t="str">
        <f>'Dimensiones de la Red'!B68</f>
        <v>Viento o Brida Superior (Vs) [m]</v>
      </c>
      <c r="B44" s="474"/>
      <c r="C44" s="474"/>
      <c r="D44" s="313">
        <f>ROUND(E52,0)</f>
        <v>18</v>
      </c>
      <c r="E44" s="313">
        <f>ROUND(F52,0)</f>
        <v>18</v>
      </c>
      <c r="F44" s="149"/>
      <c r="G44" s="149"/>
      <c r="H44" s="250"/>
    </row>
    <row r="45" spans="1:8">
      <c r="A45" s="474" t="str">
        <f t="array" ref="A45">'Dimensiones de la Red'!B69</f>
        <v>Viento o Brida Inferior (Vi) [m]</v>
      </c>
      <c r="B45" s="474"/>
      <c r="C45" s="474"/>
      <c r="D45" s="313">
        <f>ROUNDUP(D44-D46,0)</f>
        <v>17</v>
      </c>
      <c r="E45" s="313">
        <f>ROUNDUP(E44-E46,0)</f>
        <v>17</v>
      </c>
      <c r="F45" s="149"/>
      <c r="G45" s="149"/>
      <c r="H45" s="250"/>
    </row>
    <row r="46" spans="1:8" ht="18">
      <c r="A46" s="474" t="s">
        <v>612</v>
      </c>
      <c r="B46" s="474"/>
      <c r="C46" s="474"/>
      <c r="D46" s="313">
        <f>D44*0.095</f>
        <v>1.71</v>
      </c>
      <c r="E46" s="313">
        <f>E44*0.095</f>
        <v>1.71</v>
      </c>
      <c r="F46" s="149"/>
      <c r="G46" s="149"/>
      <c r="H46" s="250"/>
    </row>
    <row r="47" spans="1:8">
      <c r="A47" s="249"/>
      <c r="B47" s="149"/>
      <c r="C47" s="149"/>
      <c r="D47" s="149"/>
      <c r="E47" s="149"/>
      <c r="F47" s="149"/>
      <c r="G47" s="149"/>
      <c r="H47" s="250"/>
    </row>
    <row r="48" spans="1:8">
      <c r="A48" s="249"/>
      <c r="B48" s="673" t="s">
        <v>618</v>
      </c>
      <c r="C48" s="671"/>
      <c r="D48" s="671"/>
      <c r="E48" s="671"/>
      <c r="F48" s="671"/>
      <c r="G48" s="672"/>
      <c r="H48" s="250"/>
    </row>
    <row r="49" spans="1:8">
      <c r="A49" s="249"/>
      <c r="B49" s="249"/>
      <c r="C49" s="149"/>
      <c r="D49" s="149"/>
      <c r="E49" s="149"/>
      <c r="F49" s="149"/>
      <c r="G49" s="250"/>
      <c r="H49" s="250"/>
    </row>
    <row r="50" spans="1:8">
      <c r="A50" s="249"/>
      <c r="B50" s="249"/>
      <c r="C50" s="149"/>
      <c r="D50" s="149"/>
      <c r="E50" s="149"/>
      <c r="F50" s="149"/>
      <c r="G50" s="250"/>
      <c r="H50" s="250"/>
    </row>
    <row r="51" spans="1:8">
      <c r="A51" s="249"/>
      <c r="B51" s="249"/>
      <c r="C51" s="149"/>
      <c r="D51" s="149"/>
      <c r="E51" s="256" t="s">
        <v>609</v>
      </c>
      <c r="F51" s="256" t="s">
        <v>512</v>
      </c>
      <c r="G51" s="250"/>
      <c r="H51" s="250"/>
    </row>
    <row r="52" spans="1:8">
      <c r="A52" s="249"/>
      <c r="B52" s="474" t="s">
        <v>614</v>
      </c>
      <c r="C52" s="474"/>
      <c r="D52" s="474"/>
      <c r="E52" s="313">
        <f>ROUND((F37/SIN(RADIANS(F39)))-F38,0)</f>
        <v>18</v>
      </c>
      <c r="F52" s="313">
        <f>ROUND((G37/SIN(RADIANS(F39)))-G38,0)</f>
        <v>18</v>
      </c>
      <c r="G52" s="246" t="s">
        <v>560</v>
      </c>
      <c r="H52" s="250"/>
    </row>
    <row r="53" spans="1:8">
      <c r="A53" s="249"/>
      <c r="B53" s="249"/>
      <c r="C53" s="149"/>
      <c r="D53" s="149"/>
      <c r="E53" s="149"/>
      <c r="F53" s="149"/>
      <c r="G53" s="250"/>
      <c r="H53" s="250"/>
    </row>
    <row r="54" spans="1:8">
      <c r="A54" s="249"/>
      <c r="B54" s="673" t="s">
        <v>615</v>
      </c>
      <c r="C54" s="671"/>
      <c r="D54" s="671"/>
      <c r="E54" s="671"/>
      <c r="F54" s="671"/>
      <c r="G54" s="672"/>
      <c r="H54" s="250"/>
    </row>
    <row r="55" spans="1:8">
      <c r="A55" s="249"/>
      <c r="B55" s="249"/>
      <c r="C55" s="149"/>
      <c r="D55" s="149"/>
      <c r="E55" s="149"/>
      <c r="F55" s="149"/>
      <c r="G55" s="250"/>
      <c r="H55" s="250"/>
    </row>
    <row r="56" spans="1:8">
      <c r="A56" s="249"/>
      <c r="B56" s="474" t="s">
        <v>616</v>
      </c>
      <c r="C56" s="474"/>
      <c r="D56" s="474"/>
      <c r="E56" s="474"/>
      <c r="F56" s="256">
        <f>'Dimensiones de la Red'!F64</f>
        <v>0.6</v>
      </c>
      <c r="G56" s="250" t="s">
        <v>560</v>
      </c>
      <c r="H56" s="250"/>
    </row>
    <row r="57" spans="1:8">
      <c r="A57" s="249"/>
      <c r="B57" s="249"/>
      <c r="C57" s="149"/>
      <c r="D57" s="149"/>
      <c r="E57" s="149"/>
      <c r="F57" s="149"/>
      <c r="G57" s="250"/>
      <c r="H57" s="250"/>
    </row>
    <row r="58" spans="1:8">
      <c r="A58" s="249"/>
      <c r="B58" s="249"/>
      <c r="C58" s="149"/>
      <c r="D58" s="149"/>
      <c r="E58" s="149"/>
      <c r="F58" s="149"/>
      <c r="G58" s="250"/>
      <c r="H58" s="250"/>
    </row>
    <row r="59" spans="1:8">
      <c r="A59" s="249"/>
      <c r="B59" s="249"/>
      <c r="C59" s="149"/>
      <c r="D59" s="149"/>
      <c r="E59" s="149"/>
      <c r="F59" s="149"/>
      <c r="G59" s="250"/>
      <c r="H59" s="250"/>
    </row>
    <row r="60" spans="1:8">
      <c r="A60" s="249"/>
      <c r="B60" s="474" t="s">
        <v>617</v>
      </c>
      <c r="C60" s="474"/>
      <c r="D60" s="474"/>
      <c r="E60" s="313">
        <f>ROUND((F37-F56)/(SIN(RADIANS(F39))),0)</f>
        <v>17</v>
      </c>
      <c r="F60" s="313">
        <f>ROUND((G37-F56)/(SIN(RADIANS(F39))),0)</f>
        <v>17</v>
      </c>
      <c r="G60" s="246" t="s">
        <v>560</v>
      </c>
      <c r="H60" s="250"/>
    </row>
    <row r="61" spans="1:8">
      <c r="A61" s="245"/>
      <c r="B61" s="251"/>
      <c r="C61" s="251"/>
      <c r="D61" s="251"/>
      <c r="E61" s="251"/>
      <c r="F61" s="251"/>
      <c r="G61" s="251"/>
      <c r="H61" s="246"/>
    </row>
    <row r="62" spans="1:8" ht="15.75" thickBot="1"/>
    <row r="63" spans="1:8" ht="21">
      <c r="A63" s="539" t="s">
        <v>644</v>
      </c>
      <c r="B63" s="540"/>
      <c r="C63" s="540"/>
      <c r="D63" s="686"/>
      <c r="E63" s="540" t="s">
        <v>645</v>
      </c>
      <c r="F63" s="540"/>
      <c r="G63" s="540"/>
      <c r="H63" s="660"/>
    </row>
    <row r="64" spans="1:8">
      <c r="A64" s="319"/>
      <c r="B64" s="300"/>
      <c r="C64" s="300"/>
      <c r="D64" s="311"/>
      <c r="E64" s="300"/>
      <c r="F64" s="300"/>
      <c r="G64" s="300"/>
      <c r="H64" s="320"/>
    </row>
    <row r="65" spans="1:8">
      <c r="A65" s="319"/>
      <c r="B65" s="300"/>
      <c r="C65" s="300"/>
      <c r="D65" s="311"/>
      <c r="E65" s="474" t="s">
        <v>648</v>
      </c>
      <c r="F65" s="474"/>
      <c r="G65" s="474"/>
      <c r="H65" s="339">
        <v>20</v>
      </c>
    </row>
    <row r="66" spans="1:8">
      <c r="A66" s="319"/>
      <c r="B66" s="300"/>
      <c r="C66" s="300"/>
      <c r="D66" s="311"/>
      <c r="E66" s="474"/>
      <c r="F66" s="474"/>
      <c r="G66" s="474"/>
      <c r="H66" s="339"/>
    </row>
    <row r="67" spans="1:8">
      <c r="A67" s="319"/>
      <c r="B67" s="300"/>
      <c r="C67" s="300"/>
      <c r="D67" s="311"/>
      <c r="E67" s="300"/>
      <c r="F67" s="300"/>
      <c r="G67" s="300"/>
      <c r="H67" s="320"/>
    </row>
    <row r="68" spans="1:8">
      <c r="A68" s="336" t="s">
        <v>651</v>
      </c>
      <c r="B68" s="283">
        <v>6</v>
      </c>
      <c r="C68" s="300"/>
      <c r="D68" s="311"/>
      <c r="E68" s="300"/>
      <c r="F68" s="300"/>
      <c r="G68" s="300"/>
      <c r="H68" s="320"/>
    </row>
    <row r="69" spans="1:8">
      <c r="A69" s="336" t="s">
        <v>653</v>
      </c>
      <c r="B69" s="283">
        <f>D9</f>
        <v>200</v>
      </c>
      <c r="C69" s="300"/>
      <c r="D69" s="311"/>
      <c r="E69" s="300"/>
      <c r="F69" s="300"/>
      <c r="G69" s="300"/>
      <c r="H69" s="320"/>
    </row>
    <row r="70" spans="1:8">
      <c r="A70" s="319"/>
      <c r="B70" s="300"/>
      <c r="C70" s="300"/>
      <c r="D70" s="311"/>
      <c r="E70" s="300"/>
      <c r="F70" s="300"/>
      <c r="G70" s="300"/>
      <c r="H70" s="320"/>
    </row>
    <row r="71" spans="1:8" ht="18">
      <c r="A71" s="535" t="s">
        <v>652</v>
      </c>
      <c r="B71" s="474"/>
      <c r="C71" s="198">
        <f>B69/B68</f>
        <v>33.333333333333336</v>
      </c>
      <c r="D71" s="311"/>
      <c r="E71" s="474" t="s">
        <v>649</v>
      </c>
      <c r="F71" s="474"/>
      <c r="G71" s="198">
        <f>((E13/2)-(E78/2)/DEGREES(SIN(H65)))</f>
        <v>16.12573581078469</v>
      </c>
      <c r="H71" s="320"/>
    </row>
    <row r="72" spans="1:8">
      <c r="A72" s="319"/>
      <c r="B72" s="300"/>
      <c r="C72" s="300"/>
      <c r="D72" s="311"/>
      <c r="E72" s="300"/>
      <c r="F72" s="300"/>
      <c r="G72" s="300"/>
      <c r="H72" s="320"/>
    </row>
    <row r="73" spans="1:8">
      <c r="A73" s="340"/>
      <c r="B73" s="251"/>
      <c r="C73" s="251"/>
      <c r="D73" s="246"/>
      <c r="E73" s="251"/>
      <c r="F73" s="251"/>
      <c r="G73" s="251"/>
      <c r="H73" s="341"/>
    </row>
    <row r="74" spans="1:8">
      <c r="A74" s="319"/>
      <c r="B74" s="300"/>
      <c r="C74" s="300"/>
      <c r="D74" s="300"/>
      <c r="E74" s="300"/>
      <c r="F74" s="300"/>
      <c r="G74" s="300"/>
      <c r="H74" s="320"/>
    </row>
    <row r="75" spans="1:8" ht="18.75">
      <c r="A75" s="683" t="s">
        <v>658</v>
      </c>
      <c r="B75" s="684"/>
      <c r="C75" s="684"/>
      <c r="D75" s="684"/>
      <c r="E75" s="684"/>
      <c r="F75" s="684"/>
      <c r="G75" s="684"/>
      <c r="H75" s="685"/>
    </row>
    <row r="76" spans="1:8">
      <c r="A76" s="319"/>
      <c r="B76" s="300"/>
      <c r="C76" s="300"/>
      <c r="D76" s="300"/>
      <c r="E76" s="300"/>
      <c r="F76" s="300"/>
      <c r="G76" s="300"/>
      <c r="H76" s="320"/>
    </row>
    <row r="77" spans="1:8">
      <c r="A77" s="319"/>
      <c r="B77" s="543" t="str">
        <f t="array" ref="B77">B13</f>
        <v xml:space="preserve">Distancia entre portones= </v>
      </c>
      <c r="C77" s="543"/>
      <c r="D77" s="543"/>
      <c r="E77" s="283">
        <f t="array" ref="E77">E13</f>
        <v>32.499999999999986</v>
      </c>
      <c r="F77" s="300" t="str">
        <f>$F$13</f>
        <v>[m]</v>
      </c>
      <c r="G77" s="300"/>
      <c r="H77" s="320"/>
    </row>
    <row r="78" spans="1:8">
      <c r="A78" s="319"/>
      <c r="B78" s="543" t="str">
        <f t="array" ref="B78">'Mecánica de la Red'!H209:M209</f>
        <v>Distancia entre puntas de alas (DPA)</v>
      </c>
      <c r="C78" s="543"/>
      <c r="D78" s="543"/>
      <c r="E78" s="198">
        <f>'Mecánica de la Red'!L211</f>
        <v>13</v>
      </c>
      <c r="F78" s="300" t="str">
        <f>$F$13</f>
        <v>[m]</v>
      </c>
      <c r="G78" s="300"/>
      <c r="H78" s="320"/>
    </row>
    <row r="79" spans="1:8">
      <c r="A79" s="319"/>
      <c r="B79" s="543" t="str">
        <f>'Dimensiones de la Red'!B68:E68</f>
        <v>Viento o Brida Superior (Vs) [m]</v>
      </c>
      <c r="C79" s="543"/>
      <c r="D79" s="543"/>
      <c r="E79" s="313">
        <f>'Dimensiones de la Red'!F68</f>
        <v>18</v>
      </c>
      <c r="F79" s="300" t="str">
        <f>$F$13</f>
        <v>[m]</v>
      </c>
      <c r="G79" s="300"/>
      <c r="H79" s="320"/>
    </row>
    <row r="80" spans="1:8">
      <c r="A80" s="319"/>
      <c r="B80" s="543" t="str">
        <f>'Dimensiones de la Red'!B48:E48</f>
        <v>Largo total (dorso) sin la bolsa  [m]</v>
      </c>
      <c r="C80" s="543"/>
      <c r="D80" s="543"/>
      <c r="E80" s="283">
        <f>Largototal</f>
        <v>32.68</v>
      </c>
      <c r="F80" s="300" t="str">
        <f>$F$13</f>
        <v>[m]</v>
      </c>
      <c r="G80" s="300"/>
      <c r="H80" s="320"/>
    </row>
    <row r="81" spans="1:8">
      <c r="A81" s="319"/>
      <c r="B81" s="543" t="str">
        <f>'Portones y aparejamiento'!B60:D60</f>
        <v>Largo de bridas con Triangulo</v>
      </c>
      <c r="C81" s="543"/>
      <c r="D81" s="543"/>
      <c r="E81" s="313">
        <f>E60</f>
        <v>17</v>
      </c>
      <c r="F81" s="300" t="str">
        <f>$F$13</f>
        <v>[m]</v>
      </c>
      <c r="G81" s="300"/>
      <c r="H81" s="320"/>
    </row>
    <row r="82" spans="1:8">
      <c r="A82" s="319"/>
      <c r="B82" s="300"/>
      <c r="C82" s="300"/>
      <c r="D82" s="300"/>
      <c r="E82" s="300"/>
      <c r="F82" s="300"/>
      <c r="G82" s="300"/>
      <c r="H82" s="320"/>
    </row>
    <row r="83" spans="1:8">
      <c r="A83" s="319"/>
      <c r="B83" s="283" t="s">
        <v>657</v>
      </c>
      <c r="C83" s="197">
        <f>(((E77*E80)/E78)-(E79+E80))*1.1</f>
        <v>34.121999999999957</v>
      </c>
      <c r="D83" s="300"/>
      <c r="E83" s="300"/>
      <c r="F83" s="300"/>
      <c r="G83" s="300"/>
      <c r="H83" s="320"/>
    </row>
    <row r="84" spans="1:8">
      <c r="A84" s="340"/>
      <c r="B84" s="251"/>
      <c r="C84" s="251"/>
      <c r="D84" s="251"/>
      <c r="E84" s="251"/>
      <c r="F84" s="251"/>
      <c r="G84" s="251"/>
      <c r="H84" s="341"/>
    </row>
    <row r="85" spans="1:8" ht="18.75">
      <c r="A85" s="683" t="s">
        <v>687</v>
      </c>
      <c r="B85" s="684"/>
      <c r="C85" s="684"/>
      <c r="D85" s="684"/>
      <c r="E85" s="684"/>
      <c r="F85" s="684"/>
      <c r="G85" s="684"/>
      <c r="H85" s="685"/>
    </row>
    <row r="86" spans="1:8">
      <c r="A86" s="319"/>
      <c r="B86" s="300"/>
      <c r="C86" s="300"/>
      <c r="D86" s="300"/>
      <c r="E86" s="300"/>
      <c r="F86" s="300"/>
      <c r="G86" s="300"/>
      <c r="H86" s="320"/>
    </row>
    <row r="87" spans="1:8">
      <c r="A87" s="319"/>
      <c r="B87" s="283" t="s">
        <v>659</v>
      </c>
      <c r="C87" s="197">
        <f>(((E77*E80)/E78)-(E81+E80))*1.1</f>
        <v>35.221999999999959</v>
      </c>
      <c r="D87" s="300"/>
      <c r="E87" s="300"/>
      <c r="F87" s="300"/>
      <c r="G87" s="300"/>
      <c r="H87" s="320"/>
    </row>
    <row r="88" spans="1:8" ht="15.75" thickBot="1">
      <c r="A88" s="321"/>
      <c r="B88" s="322"/>
      <c r="C88" s="322"/>
      <c r="D88" s="322"/>
      <c r="E88" s="322"/>
      <c r="F88" s="322"/>
      <c r="G88" s="322"/>
      <c r="H88" s="323"/>
    </row>
    <row r="89" spans="1:8" s="255" customFormat="1" ht="15.75" thickBot="1">
      <c r="A89" s="300"/>
      <c r="B89" s="300"/>
      <c r="C89" s="300"/>
      <c r="D89" s="300"/>
      <c r="E89" s="300"/>
      <c r="F89" s="300"/>
      <c r="G89" s="300"/>
      <c r="H89" s="300"/>
    </row>
    <row r="90" spans="1:8" s="255" customFormat="1" ht="21">
      <c r="A90" s="539" t="s">
        <v>724</v>
      </c>
      <c r="B90" s="540"/>
      <c r="C90" s="540"/>
      <c r="D90" s="540"/>
      <c r="E90" s="540"/>
      <c r="F90" s="540"/>
      <c r="G90" s="540"/>
      <c r="H90" s="660"/>
    </row>
    <row r="91" spans="1:8" s="255" customFormat="1">
      <c r="A91" s="319"/>
      <c r="B91" s="529" t="s">
        <v>725</v>
      </c>
      <c r="C91" s="529"/>
      <c r="D91" s="529"/>
      <c r="E91" s="529"/>
      <c r="F91" s="529"/>
      <c r="G91" s="529"/>
      <c r="H91" s="320"/>
    </row>
    <row r="92" spans="1:8" s="255" customFormat="1">
      <c r="A92" s="319"/>
      <c r="B92" s="300"/>
      <c r="C92" s="300"/>
      <c r="D92" s="300"/>
      <c r="E92" s="300"/>
      <c r="F92" s="300"/>
      <c r="G92" s="300"/>
      <c r="H92" s="320"/>
    </row>
    <row r="93" spans="1:8" s="255" customFormat="1">
      <c r="A93" s="319"/>
      <c r="B93" s="300"/>
      <c r="C93" s="300"/>
      <c r="D93" s="300"/>
      <c r="E93" s="300"/>
      <c r="F93" s="300"/>
      <c r="G93" s="300"/>
      <c r="H93" s="320"/>
    </row>
    <row r="94" spans="1:8" s="255" customFormat="1">
      <c r="A94" s="319"/>
      <c r="B94" s="300"/>
      <c r="C94" s="300"/>
      <c r="D94" s="300"/>
      <c r="E94" s="300"/>
      <c r="F94" s="300"/>
      <c r="G94" s="300"/>
      <c r="H94" s="320"/>
    </row>
    <row r="95" spans="1:8" s="255" customFormat="1">
      <c r="A95" s="319"/>
      <c r="B95" s="300"/>
      <c r="C95" s="338" t="str">
        <f t="array" aca="1" ref="C95" ca="1">B120</f>
        <v>Largo</v>
      </c>
      <c r="D95" s="198">
        <f>D120</f>
        <v>1.9</v>
      </c>
      <c r="E95" s="300"/>
      <c r="F95" s="526" t="s">
        <v>728</v>
      </c>
      <c r="G95" s="602"/>
      <c r="H95" s="603"/>
    </row>
    <row r="96" spans="1:8" s="255" customFormat="1">
      <c r="A96" s="319"/>
      <c r="B96" s="300"/>
      <c r="C96" s="300"/>
      <c r="D96" s="300"/>
      <c r="E96" s="300"/>
      <c r="F96" s="300"/>
      <c r="G96" s="205">
        <f>E97</f>
        <v>2.2999999999999998</v>
      </c>
      <c r="H96" s="320"/>
    </row>
    <row r="97" spans="1:8" s="255" customFormat="1">
      <c r="A97" s="319"/>
      <c r="B97" s="300"/>
      <c r="C97" s="474" t="s">
        <v>726</v>
      </c>
      <c r="D97" s="474"/>
      <c r="E97" s="338">
        <f>ROUND(D95+(D95*0.2),1)</f>
        <v>2.2999999999999998</v>
      </c>
      <c r="F97" s="526" t="s">
        <v>729</v>
      </c>
      <c r="G97" s="602"/>
      <c r="H97" s="603"/>
    </row>
    <row r="98" spans="1:8" s="255" customFormat="1" ht="15.75" thickBot="1">
      <c r="A98" s="319"/>
      <c r="B98" s="300"/>
      <c r="C98" s="300"/>
      <c r="D98" s="300"/>
      <c r="E98" s="300"/>
      <c r="F98" s="300"/>
      <c r="G98" s="205">
        <f>E97-0.05</f>
        <v>2.25</v>
      </c>
      <c r="H98" s="320"/>
    </row>
    <row r="99" spans="1:8" s="255" customFormat="1" ht="15.75" thickBot="1">
      <c r="A99" s="379"/>
      <c r="B99" s="380"/>
      <c r="C99" s="380" t="s">
        <v>807</v>
      </c>
      <c r="D99" s="380"/>
      <c r="E99" s="380">
        <v>0</v>
      </c>
      <c r="F99" s="380" t="s">
        <v>560</v>
      </c>
      <c r="G99" s="380"/>
      <c r="H99" s="382"/>
    </row>
    <row r="100" spans="1:8" s="255" customFormat="1" ht="15.75" thickBot="1">
      <c r="A100" s="300"/>
      <c r="B100" s="300"/>
      <c r="C100" s="300"/>
      <c r="D100" s="300"/>
      <c r="E100" s="300"/>
      <c r="F100" s="300"/>
      <c r="G100" s="300"/>
      <c r="H100" s="300"/>
    </row>
    <row r="101" spans="1:8" s="255" customFormat="1" ht="18.75">
      <c r="A101" s="701" t="s">
        <v>721</v>
      </c>
      <c r="B101" s="702"/>
      <c r="C101" s="702"/>
      <c r="D101" s="702"/>
      <c r="E101" s="702"/>
      <c r="F101" s="702"/>
      <c r="G101" s="702"/>
      <c r="H101" s="703"/>
    </row>
    <row r="102" spans="1:8" s="255" customFormat="1">
      <c r="A102" s="319"/>
      <c r="B102" s="300"/>
      <c r="C102" s="300"/>
      <c r="D102" s="300"/>
      <c r="E102" s="300"/>
      <c r="F102" s="300"/>
      <c r="G102" s="300"/>
      <c r="H102" s="320"/>
    </row>
    <row r="103" spans="1:8" s="255" customFormat="1">
      <c r="A103" s="319"/>
      <c r="B103" s="474" t="str">
        <f>B13</f>
        <v xml:space="preserve">Distancia entre portones= </v>
      </c>
      <c r="C103" s="474"/>
      <c r="D103" s="474"/>
      <c r="E103" s="338">
        <f>E13</f>
        <v>32.499999999999986</v>
      </c>
      <c r="F103" s="300"/>
      <c r="G103" s="300"/>
      <c r="H103" s="320"/>
    </row>
    <row r="104" spans="1:8" s="255" customFormat="1">
      <c r="A104" s="319"/>
      <c r="B104" s="704" t="str">
        <f>'Mecánica de la Red'!I233</f>
        <v>Distancia entre puntas de alas (DPA)</v>
      </c>
      <c r="C104" s="704"/>
      <c r="D104" s="704"/>
      <c r="E104" s="313">
        <f>'Mecánica de la Red'!L211</f>
        <v>13</v>
      </c>
      <c r="F104" s="300"/>
      <c r="G104" s="300"/>
      <c r="H104" s="320"/>
    </row>
    <row r="105" spans="1:8" s="255" customFormat="1">
      <c r="A105" s="319"/>
      <c r="B105" s="474" t="str">
        <f>'Mecánica de la Red'!B211:D211</f>
        <v>Pies de Gallo (PG) [m]</v>
      </c>
      <c r="C105" s="474"/>
      <c r="D105" s="474"/>
      <c r="E105" s="338">
        <f>E97</f>
        <v>2.2999999999999998</v>
      </c>
      <c r="F105" s="300"/>
      <c r="G105" s="300"/>
      <c r="H105" s="320"/>
    </row>
    <row r="106" spans="1:8" s="255" customFormat="1">
      <c r="A106" s="319"/>
      <c r="B106" s="474" t="str">
        <f>B83</f>
        <v>LPST=</v>
      </c>
      <c r="C106" s="474"/>
      <c r="D106" s="474"/>
      <c r="E106" s="197">
        <f>C83</f>
        <v>34.121999999999957</v>
      </c>
      <c r="F106" s="300"/>
      <c r="G106" s="300"/>
      <c r="H106" s="320"/>
    </row>
    <row r="107" spans="1:8" s="255" customFormat="1">
      <c r="A107" s="319"/>
      <c r="B107" s="474" t="str">
        <f>B52</f>
        <v>Largo de bridas sin Triangulo</v>
      </c>
      <c r="C107" s="474"/>
      <c r="D107" s="474"/>
      <c r="E107" s="313">
        <f>E52</f>
        <v>18</v>
      </c>
      <c r="F107" s="300"/>
      <c r="G107" s="300"/>
      <c r="H107" s="320"/>
    </row>
    <row r="108" spans="1:8" s="255" customFormat="1">
      <c r="A108" s="319"/>
      <c r="B108" s="300"/>
      <c r="C108" s="300"/>
      <c r="D108" s="300"/>
      <c r="E108" s="300"/>
      <c r="F108" s="300"/>
      <c r="G108" s="300"/>
      <c r="H108" s="320"/>
    </row>
    <row r="109" spans="1:8" s="255" customFormat="1">
      <c r="A109" s="319"/>
      <c r="B109" s="300"/>
      <c r="C109" s="300"/>
      <c r="D109" s="300"/>
      <c r="E109" s="300"/>
      <c r="F109" s="300"/>
      <c r="G109" s="300"/>
      <c r="H109" s="320"/>
    </row>
    <row r="110" spans="1:8" s="255" customFormat="1">
      <c r="A110" s="319"/>
      <c r="B110" s="300"/>
      <c r="C110" s="337" t="s">
        <v>727</v>
      </c>
      <c r="D110" s="198">
        <f>DEGREES(ASIN(((E103-E104)/2)/(E105+E106+E107)))</f>
        <v>10.320573277458193</v>
      </c>
      <c r="E110" s="300" t="s">
        <v>602</v>
      </c>
      <c r="F110" s="300"/>
      <c r="G110" s="300"/>
      <c r="H110" s="320"/>
    </row>
    <row r="111" spans="1:8" s="255" customFormat="1" ht="15.75" thickBot="1">
      <c r="A111" s="321"/>
      <c r="B111" s="322"/>
      <c r="C111" s="322"/>
      <c r="D111" s="322"/>
      <c r="E111" s="322"/>
      <c r="F111" s="322"/>
      <c r="G111" s="322"/>
      <c r="H111" s="323"/>
    </row>
    <row r="112" spans="1:8" s="255" customFormat="1">
      <c r="A112" s="300"/>
      <c r="B112" s="300"/>
      <c r="C112" s="300"/>
      <c r="D112" s="300"/>
      <c r="E112" s="300"/>
      <c r="F112" s="300"/>
      <c r="G112" s="300"/>
      <c r="H112" s="300"/>
    </row>
    <row r="113" spans="1:8" s="255" customFormat="1" ht="15.75" thickBot="1">
      <c r="A113" s="149"/>
      <c r="B113" s="149"/>
      <c r="C113" s="149"/>
      <c r="D113" s="149"/>
      <c r="E113" s="149"/>
      <c r="F113" s="149"/>
      <c r="G113" s="149"/>
      <c r="H113" s="149"/>
    </row>
    <row r="114" spans="1:8" s="255" customFormat="1">
      <c r="A114" s="696" t="s">
        <v>694</v>
      </c>
      <c r="B114" s="665"/>
      <c r="C114" s="665"/>
      <c r="D114" s="665"/>
      <c r="E114" s="665"/>
      <c r="F114" s="665"/>
      <c r="G114" s="665"/>
      <c r="H114" s="697"/>
    </row>
    <row r="115" spans="1:8" s="255" customFormat="1">
      <c r="A115" s="319"/>
      <c r="B115" s="149"/>
      <c r="C115" s="149"/>
      <c r="D115" s="149"/>
      <c r="E115" s="149"/>
      <c r="F115" s="149"/>
      <c r="G115" s="149"/>
      <c r="H115" s="320"/>
    </row>
    <row r="116" spans="1:8" s="255" customFormat="1">
      <c r="A116" s="319"/>
      <c r="B116" s="474" t="s">
        <v>710</v>
      </c>
      <c r="C116" s="474"/>
      <c r="D116" s="474"/>
      <c r="E116" s="474"/>
      <c r="F116" s="474"/>
      <c r="G116" s="149"/>
      <c r="H116" s="320"/>
    </row>
    <row r="117" spans="1:8" s="255" customFormat="1">
      <c r="A117" s="319"/>
      <c r="B117" s="671" t="s">
        <v>703</v>
      </c>
      <c r="C117" s="671"/>
      <c r="D117" s="671"/>
      <c r="E117" s="671"/>
      <c r="F117" s="671"/>
      <c r="G117" s="149"/>
      <c r="H117" s="320"/>
    </row>
    <row r="118" spans="1:8" s="255" customFormat="1">
      <c r="A118" s="319"/>
      <c r="B118" s="149"/>
      <c r="C118" s="149"/>
      <c r="D118" s="149"/>
      <c r="E118" s="149"/>
      <c r="F118" s="149"/>
      <c r="G118" s="149"/>
      <c r="H118" s="320"/>
    </row>
    <row r="119" spans="1:8" s="255" customFormat="1">
      <c r="A119" s="319"/>
      <c r="B119" s="543" t="str">
        <f ca="1">IF($B$117='Tablas de Referencias'!$B$245:$H$245,LOOKUP($B$117,Porton_plano_de_madera_con_bastidor_de_hierro_FAO_para_A3_B3_C3,'Tablas de Referencias'!A246:B246),IF($B$117=Morgere_Polivalente_Oval,LOOKUP($B$117,Morgere_Polivalente_Oval,'Tablas de Referencias'!A268:B268),0))</f>
        <v>Especificaciones técnicas</v>
      </c>
      <c r="C119" s="543"/>
      <c r="D119" s="256"/>
      <c r="E119" s="149"/>
      <c r="F119" s="149"/>
      <c r="G119" s="149"/>
      <c r="H119" s="320"/>
    </row>
    <row r="120" spans="1:8" s="255" customFormat="1">
      <c r="A120" s="319"/>
      <c r="B120" s="543" t="str">
        <f ca="1">IF($B$117='Tablas de Referencias'!$B$245:$H$245,LOOKUP($B$117,Porton_plano_de_madera_con_bastidor_de_hierro_FAO_para_A3_B3_C3,'Tablas de Referencias'!A247:B247),IF($B$117=Morgere_Polivalente_Oval,LOOKUP($B$117,Morgere_Polivalente_Oval,'Tablas de Referencias'!A269:B269),0))</f>
        <v>Largo</v>
      </c>
      <c r="C120" s="543"/>
      <c r="D120" s="198">
        <f>IF($B$117=Porton_plano_de_madera_con_bastidor_de_hierro_FAO_para_A3_B3_C3,LOOKUP($B$117,Porton_plano_de_madera_con_bastidor_de_hierro_FAO_para_A3_B3_C3,'Tablas de Referencias'!C247),IF($B$117=porton_del_orto,LOOKUP($B$117,Morgere_Polivalente_Oval,'Tablas de Referencias'!C269),0))</f>
        <v>1.9</v>
      </c>
      <c r="E120" s="149"/>
      <c r="F120" s="149"/>
      <c r="G120" s="149"/>
      <c r="H120" s="320"/>
    </row>
    <row r="121" spans="1:8" s="255" customFormat="1">
      <c r="A121" s="319"/>
      <c r="B121" s="543" t="str">
        <f ca="1">IF($B$117='Tablas de Referencias'!$B$245:$H$245,LOOKUP($B$117,Porton_plano_de_madera_con_bastidor_de_hierro_FAO_para_A3_B3_C3,'Tablas de Referencias'!A248:B248),IF($B$117=Morgere_Polivalente_Oval,LOOKUP($B$117,Morgere_Polivalente_Oval,'Tablas de Referencias'!A270:B270),0))</f>
        <v>Alto</v>
      </c>
      <c r="C121" s="543"/>
      <c r="D121" s="198">
        <f>IF($B$117=Porton_plano_de_madera_con_bastidor_de_hierro_FAO_para_A3_B3_C3,LOOKUP($B$117,Porton_plano_de_madera_con_bastidor_de_hierro_FAO_para_A3_B3_C3,'Tablas de Referencias'!C248),IF($B$117=porton_del_orto,LOOKUP($B$117,Morgere_Polivalente_Oval,'Tablas de Referencias'!C270),0))</f>
        <v>0.95</v>
      </c>
      <c r="E121" s="149"/>
      <c r="F121" s="149"/>
      <c r="G121" s="149"/>
      <c r="H121" s="320"/>
    </row>
    <row r="122" spans="1:8" s="255" customFormat="1">
      <c r="A122" s="319"/>
      <c r="B122" s="543" t="str">
        <f ca="1">IF($B$117='Tablas de Referencias'!$B$245:$H$245,LOOKUP($B$117,Porton_plano_de_madera_con_bastidor_de_hierro_FAO_para_A3_B3_C3,'Tablas de Referencias'!A249:B249),IF($B$117=Morgere_Polivalente_Oval,LOOKUP($B$117,Morgere_Polivalente_Oval,'Tablas de Referencias'!A271:B271),0))</f>
        <v>Area Proyectada</v>
      </c>
      <c r="C122" s="543"/>
      <c r="D122" s="198">
        <f>IF($B$117=Porton_plano_de_madera_con_bastidor_de_hierro_FAO_para_A3_B3_C3,LOOKUP($B$117,Porton_plano_de_madera_con_bastidor_de_hierro_FAO_para_A3_B3_C3,'Tablas de Referencias'!C249),IF($B$117=porton_del_orto,LOOKUP($B$117,Morgere_Polivalente_Oval,'Tablas de Referencias'!C271),0))</f>
        <v>1.8049999999999999</v>
      </c>
      <c r="E122" s="149"/>
      <c r="F122" s="149"/>
      <c r="G122" s="149"/>
      <c r="H122" s="320"/>
    </row>
    <row r="123" spans="1:8" s="255" customFormat="1">
      <c r="A123" s="319"/>
      <c r="B123" s="543" t="str">
        <f ca="1">IF($B$117='Tablas de Referencias'!$B$245:$H$245,LOOKUP($B$117,Porton_plano_de_madera_con_bastidor_de_hierro_FAO_para_A3_B3_C3,'Tablas de Referencias'!A250:B250),IF($B$117=Morgere_Polivalente_Oval,LOOKUP($B$117,Morgere_Polivalente_Oval,'Tablas de Referencias'!A272:B272),0))</f>
        <v>Razon de Aspecto</v>
      </c>
      <c r="C123" s="543"/>
      <c r="D123" s="198">
        <f>IF($B$117=Porton_plano_de_madera_con_bastidor_de_hierro_FAO_para_A3_B3_C3,LOOKUP($B$117,Porton_plano_de_madera_con_bastidor_de_hierro_FAO_para_A3_B3_C3,'Tablas de Referencias'!C250),IF($B$117=porton_del_orto,LOOKUP($B$117,Morgere_Polivalente_Oval,'Tablas de Referencias'!C272),0))</f>
        <v>0.5</v>
      </c>
      <c r="E123" s="149"/>
      <c r="F123" s="149"/>
      <c r="G123" s="149"/>
      <c r="H123" s="320"/>
    </row>
    <row r="124" spans="1:8">
      <c r="A124" s="319"/>
      <c r="B124" s="543" t="str">
        <f ca="1">IF($B$117='Tablas de Referencias'!$B$245:$H$245,LOOKUP($B$117,Porton_plano_de_madera_con_bastidor_de_hierro_FAO_para_A3_B3_C3,'Tablas de Referencias'!A251:B251),IF($B$117=Morgere_Polivalente_Oval,LOOKUP($B$117,Morgere_Polivalente_Oval,'Tablas de Referencias'!A273:B273),0))</f>
        <v>Razon de Area</v>
      </c>
      <c r="C124" s="543"/>
      <c r="D124" s="198">
        <f>IF($B$117=Porton_plano_de_madera_con_bastidor_de_hierro_FAO_para_A3_B3_C3,LOOKUP($B$117,Porton_plano_de_madera_con_bastidor_de_hierro_FAO_para_A3_B3_C3,'Tablas de Referencias'!C251),IF($B$117=porton_del_orto,LOOKUP($B$117,Morgere_Polivalente_Oval,'Tablas de Referencias'!C273),0))</f>
        <v>1</v>
      </c>
      <c r="E124" s="149"/>
      <c r="F124" s="149"/>
      <c r="G124" s="149"/>
      <c r="H124" s="320"/>
    </row>
    <row r="125" spans="1:8">
      <c r="A125" s="319"/>
      <c r="B125" s="543" t="str">
        <f ca="1">IF($B$117='Tablas de Referencias'!$B$245:$H$245,LOOKUP($B$117,Porton_plano_de_madera_con_bastidor_de_hierro_FAO_para_A3_B3_C3,'Tablas de Referencias'!A252:B252),IF($B$117=Morgere_Polivalente_Oval,LOOKUP($B$117,Morgere_Polivalente_Oval,'Tablas de Referencias'!A274:B274),0))</f>
        <v>Peso en el aire</v>
      </c>
      <c r="C125" s="543"/>
      <c r="D125" s="198">
        <f>IF($B$117=Porton_plano_de_madera_con_bastidor_de_hierro_FAO_para_A3_B3_C3,LOOKUP($B$117,Porton_plano_de_madera_con_bastidor_de_hierro_FAO_para_A3_B3_C3,'Tablas de Referencias'!C252),IF($B$117=porton_del_orto,LOOKUP($B$117,Morgere_Polivalente_Oval,'Tablas de Referencias'!C274),0))</f>
        <v>135</v>
      </c>
      <c r="E125" s="149"/>
      <c r="F125" s="149"/>
      <c r="G125" s="149"/>
      <c r="H125" s="320"/>
    </row>
    <row r="126" spans="1:8">
      <c r="A126" s="319"/>
      <c r="B126" s="543" t="str">
        <f ca="1">IF($B$117='Tablas de Referencias'!$B$245:$H$245,LOOKUP($B$117,Porton_plano_de_madera_con_bastidor_de_hierro_FAO_para_A3_B3_C3,'Tablas de Referencias'!A253:B253),IF($B$117=Morgere_Polivalente_Oval,LOOKUP($B$117,Morgere_Polivalente_Oval,'Tablas de Referencias'!A275:B275),0))</f>
        <v>coeficiente multiplicador</v>
      </c>
      <c r="C126" s="543"/>
      <c r="D126" s="198">
        <f>IF($B$117=Porton_plano_de_madera_con_bastidor_de_hierro_FAO_para_A3_B3_C3,LOOKUP($B$117,Porton_plano_de_madera_con_bastidor_de_hierro_FAO_para_A3_B3_C3,'Tablas de Referencias'!C253),IF($B$117=porton_del_orto,LOOKUP($B$117,Morgere_Polivalente_Oval,'Tablas de Referencias'!C275),0))</f>
        <v>0.59699999999999998</v>
      </c>
      <c r="E126" s="149"/>
      <c r="F126" s="149"/>
      <c r="G126" s="149"/>
      <c r="H126" s="320"/>
    </row>
    <row r="127" spans="1:8">
      <c r="A127" s="319"/>
      <c r="B127" s="543" t="str">
        <f ca="1">IF($B$117='Tablas de Referencias'!$B$245:$H$245,LOOKUP($B$117,Porton_plano_de_madera_con_bastidor_de_hierro_FAO_para_A3_B3_C3,'Tablas de Referencias'!A254:B254),IF($B$117=Morgere_Polivalente_Oval,LOOKUP($B$117,Morgere_Polivalente_Oval,'Tablas de Referencias'!A276:B276),0))</f>
        <v>Peso en el agua</v>
      </c>
      <c r="C127" s="543"/>
      <c r="D127" s="198">
        <f>IF($B$117=Porton_plano_de_madera_con_bastidor_de_hierro_FAO_para_A3_B3_C3,LOOKUP($B$117,Porton_plano_de_madera_con_bastidor_de_hierro_FAO_para_A3_B3_C3,'Tablas de Referencias'!C254),IF($B$117=porton_del_orto,LOOKUP($B$117,Morgere_Polivalente_Oval,'Tablas de Referencias'!C276),0))</f>
        <v>80.594999999999999</v>
      </c>
      <c r="E127" s="149"/>
      <c r="F127" s="149"/>
      <c r="G127" s="149"/>
      <c r="H127" s="320"/>
    </row>
    <row r="128" spans="1:8">
      <c r="A128" s="319"/>
      <c r="B128" s="149"/>
      <c r="C128" s="149"/>
      <c r="D128" s="198"/>
      <c r="E128" s="149"/>
      <c r="F128" s="149"/>
      <c r="G128" s="149"/>
      <c r="H128" s="320"/>
    </row>
    <row r="129" spans="1:15">
      <c r="A129" s="319"/>
      <c r="B129" s="149"/>
      <c r="C129" s="149"/>
      <c r="D129" s="198"/>
      <c r="E129" s="149"/>
      <c r="F129" s="149"/>
      <c r="G129" s="149"/>
      <c r="H129" s="320"/>
    </row>
    <row r="130" spans="1:15">
      <c r="A130" s="319"/>
      <c r="B130" s="149"/>
      <c r="C130" s="198" t="str">
        <f>IF($B$117=Porton_plano_de_madera_con_bastidor_de_hierro_FAO_para_A3_B3_C3,LOOKUP($B$117,Porton_plano_de_madera_con_bastidor_de_hierro_FAO_para_A3_B3_C3,'Tablas de Referencias'!B257),IF($B$117=porton_del_orto,LOOKUP($B$117,Morgere_Polivalente_Oval,'Tablas de Referencias'!B279),0))</f>
        <v>Angulo de ataque</v>
      </c>
      <c r="D130" s="198" t="str">
        <f>IF($B$117=Porton_plano_de_madera_con_bastidor_de_hierro_FAO_para_A3_B3_C3,LOOKUP($B$117,Porton_plano_de_madera_con_bastidor_de_hierro_FAO_para_A3_B3_C3,'Tablas de Referencias'!C257),IF($B$117=porton_del_orto,LOOKUP($B$117,Morgere_Polivalente_Oval,'Tablas de Referencias'!C279),0))</f>
        <v>CL</v>
      </c>
      <c r="E130" s="198" t="str">
        <f>IF($B$117=Porton_plano_de_madera_con_bastidor_de_hierro_FAO_para_A3_B3_C3,LOOKUP($B$117,Porton_plano_de_madera_con_bastidor_de_hierro_FAO_para_A3_B3_C3,'Tablas de Referencias'!D257),IF($B$117=porton_del_orto,LOOKUP($B$117,Morgere_Polivalente_Oval,'Tablas de Referencias'!D279),0))</f>
        <v>CD</v>
      </c>
      <c r="F130" s="198" t="str">
        <f>IF($B$117=Porton_plano_de_madera_con_bastidor_de_hierro_FAO_para_A3_B3_C3,LOOKUP($B$117,Porton_plano_de_madera_con_bastidor_de_hierro_FAO_para_A3_B3_C3,'Tablas de Referencias'!E257),IF($B$117=porton_del_orto,LOOKUP($B$117,Morgere_Polivalente_Oval,'Tablas de Referencias'!E279),0))</f>
        <v>CL/CD</v>
      </c>
      <c r="G130" s="149"/>
      <c r="H130" s="320"/>
    </row>
    <row r="131" spans="1:15">
      <c r="A131" s="319"/>
      <c r="B131" s="149"/>
      <c r="C131" s="198" t="str">
        <f>IF($B$117=Porton_plano_de_madera_con_bastidor_de_hierro_FAO_para_A3_B3_C3,LOOKUP($B$117,Porton_plano_de_madera_con_bastidor_de_hierro_FAO_para_A3_B3_C3,'Tablas de Referencias'!B258),IF($B$117=porton_del_orto,LOOKUP($B$117,Morgere_Polivalente_Oval,'Tablas de Referencias'!B280),0))</f>
        <v>[°]</v>
      </c>
      <c r="D131" s="698" t="str">
        <f>IF($B$117=Porton_plano_de_madera_con_bastidor_de_hierro_FAO_para_A3_B3_C3,LOOKUP($B$117,Porton_plano_de_madera_con_bastidor_de_hierro_FAO_para_A3_B3_C3,'Tablas de Referencias'!C258),IF($B$117=porton_del_orto,LOOKUP($B$117,Morgere_Polivalente_Oval,'Tablas de Referencias'!C280),0))</f>
        <v>Adimensional</v>
      </c>
      <c r="E131" s="699"/>
      <c r="F131" s="700"/>
      <c r="G131" s="149"/>
      <c r="H131" s="320"/>
      <c r="O131" s="255"/>
    </row>
    <row r="132" spans="1:15">
      <c r="A132" s="319"/>
      <c r="B132" s="149"/>
      <c r="C132" s="198">
        <f>IF($B$117=Porton_plano_de_madera_con_bastidor_de_hierro_FAO_para_A3_B3_C3,LOOKUP($B$117,Porton_plano_de_madera_con_bastidor_de_hierro_FAO_para_A3_B3_C3,'Tablas de Referencias'!B259),IF($B$117=porton_del_orto,LOOKUP($B$117,Morgere_Polivalente_Oval,'Tablas de Referencias'!B281),0))</f>
        <v>25</v>
      </c>
      <c r="D132" s="198">
        <f>IF($B$117=Porton_plano_de_madera_con_bastidor_de_hierro_FAO_para_A3_B3_C3,LOOKUP($B$117,Porton_plano_de_madera_con_bastidor_de_hierro_FAO_para_A3_B3_C3,'Tablas de Referencias'!C259),IF($B$117=porton_del_orto,LOOKUP($B$117,Morgere_Polivalente_Oval,'Tablas de Referencias'!C281),0))</f>
        <v>0.8</v>
      </c>
      <c r="E132" s="198">
        <f>IF($B$117=Porton_plano_de_madera_con_bastidor_de_hierro_FAO_para_A3_B3_C3,LOOKUP($B$117,Porton_plano_de_madera_con_bastidor_de_hierro_FAO_para_A3_B3_C3,'Tablas de Referencias'!D259),IF($B$117=porton_del_orto,LOOKUP($B$117,Morgere_Polivalente_Oval,'Tablas de Referencias'!D281),0))</f>
        <v>0.53</v>
      </c>
      <c r="F132" s="198">
        <f>IF($B$117=Porton_plano_de_madera_con_bastidor_de_hierro_FAO_para_A3_B3_C3,LOOKUP($B$117,Porton_plano_de_madera_con_bastidor_de_hierro_FAO_para_A3_B3_C3,'Tablas de Referencias'!E259),IF($B$117=porton_del_orto,LOOKUP($B$117,Morgere_Polivalente_Oval,'Tablas de Referencias'!E281),0))</f>
        <v>1.5094339622641511</v>
      </c>
      <c r="G132" s="149"/>
      <c r="H132" s="320"/>
    </row>
    <row r="133" spans="1:15">
      <c r="A133" s="319"/>
      <c r="B133" s="149"/>
      <c r="C133" s="198">
        <f>IF($B$117=Porton_plano_de_madera_con_bastidor_de_hierro_FAO_para_A3_B3_C3,LOOKUP($B$117,Porton_plano_de_madera_con_bastidor_de_hierro_FAO_para_A3_B3_C3,'Tablas de Referencias'!B260),IF($B$117=porton_del_orto,LOOKUP($B$117,Morgere_Polivalente_Oval,'Tablas de Referencias'!B282),0))</f>
        <v>30</v>
      </c>
      <c r="D133" s="198">
        <f>IF($B$117=Porton_plano_de_madera_con_bastidor_de_hierro_FAO_para_A3_B3_C3,LOOKUP($B$117,Porton_plano_de_madera_con_bastidor_de_hierro_FAO_para_A3_B3_C3,'Tablas de Referencias'!C260),IF($B$117=porton_del_orto,LOOKUP($B$117,Morgere_Polivalente_Oval,'Tablas de Referencias'!C282),0))</f>
        <v>0.92</v>
      </c>
      <c r="E133" s="198">
        <f>IF($B$117=Porton_plano_de_madera_con_bastidor_de_hierro_FAO_para_A3_B3_C3,LOOKUP($B$117,Porton_plano_de_madera_con_bastidor_de_hierro_FAO_para_A3_B3_C3,'Tablas de Referencias'!D260),IF($B$117=porton_del_orto,LOOKUP($B$117,Morgere_Polivalente_Oval,'Tablas de Referencias'!D282),0))</f>
        <v>0.67</v>
      </c>
      <c r="F133" s="198">
        <f>IF($B$117=Porton_plano_de_madera_con_bastidor_de_hierro_FAO_para_A3_B3_C3,LOOKUP($B$117,Porton_plano_de_madera_con_bastidor_de_hierro_FAO_para_A3_B3_C3,'Tablas de Referencias'!E260),IF($B$117=porton_del_orto,LOOKUP($B$117,Morgere_Polivalente_Oval,'Tablas de Referencias'!E282),0))</f>
        <v>1.3731343283582089</v>
      </c>
      <c r="G133" s="149"/>
      <c r="H133" s="320"/>
    </row>
    <row r="134" spans="1:15" s="255" customFormat="1">
      <c r="A134" s="319"/>
      <c r="B134" s="149"/>
      <c r="C134" s="198">
        <f>IF($B$117=Porton_plano_de_madera_con_bastidor_de_hierro_FAO_para_A3_B3_C3,LOOKUP($B$117,Porton_plano_de_madera_con_bastidor_de_hierro_FAO_para_A3_B3_C3,'Tablas de Referencias'!B261),IF($B$117=porton_del_orto,LOOKUP($B$117,Morgere_Polivalente_Oval,'Tablas de Referencias'!B283),0))</f>
        <v>32</v>
      </c>
      <c r="D134" s="198">
        <f>IF($B$117=Porton_plano_de_madera_con_bastidor_de_hierro_FAO_para_A3_B3_C3,LOOKUP($B$117,Porton_plano_de_madera_con_bastidor_de_hierro_FAO_para_A3_B3_C3,'Tablas de Referencias'!C261),IF($B$117=porton_del_orto,LOOKUP($B$117,Morgere_Polivalente_Oval,'Tablas de Referencias'!C283),0))</f>
        <v>0.93</v>
      </c>
      <c r="E134" s="198">
        <f>IF($B$117=Porton_plano_de_madera_con_bastidor_de_hierro_FAO_para_A3_B3_C3,LOOKUP($B$117,Porton_plano_de_madera_con_bastidor_de_hierro_FAO_para_A3_B3_C3,'Tablas de Referencias'!D261),IF($B$117=porton_del_orto,LOOKUP($B$117,Morgere_Polivalente_Oval,'Tablas de Referencias'!D283),0))</f>
        <v>0.71</v>
      </c>
      <c r="F134" s="198">
        <f>IF($B$117=Porton_plano_de_madera_con_bastidor_de_hierro_FAO_para_A3_B3_C3,LOOKUP($B$117,Porton_plano_de_madera_con_bastidor_de_hierro_FAO_para_A3_B3_C3,'Tablas de Referencias'!E261),IF($B$117=porton_del_orto,LOOKUP($B$117,Morgere_Polivalente_Oval,'Tablas de Referencias'!E283),0))</f>
        <v>1.3098591549295775</v>
      </c>
      <c r="G134" s="149"/>
      <c r="H134" s="320"/>
    </row>
    <row r="135" spans="1:15" s="255" customFormat="1">
      <c r="A135" s="319"/>
      <c r="B135" s="149"/>
      <c r="C135" s="198">
        <f>IF($B$117=Porton_plano_de_madera_con_bastidor_de_hierro_FAO_para_A3_B3_C3,LOOKUP($B$117,Porton_plano_de_madera_con_bastidor_de_hierro_FAO_para_A3_B3_C3,'Tablas de Referencias'!B262),IF($B$117=porton_del_orto,LOOKUP($B$117,Morgere_Polivalente_Oval,'Tablas de Referencias'!B284),0))</f>
        <v>35</v>
      </c>
      <c r="D135" s="198">
        <f>IF($B$117=Porton_plano_de_madera_con_bastidor_de_hierro_FAO_para_A3_B3_C3,LOOKUP($B$117,Porton_plano_de_madera_con_bastidor_de_hierro_FAO_para_A3_B3_C3,'Tablas de Referencias'!C262),IF($B$117=porton_del_orto,LOOKUP($B$117,Morgere_Polivalente_Oval,'Tablas de Referencias'!C284),0))</f>
        <v>0.86</v>
      </c>
      <c r="E135" s="198">
        <f>IF($B$117=Porton_plano_de_madera_con_bastidor_de_hierro_FAO_para_A3_B3_C3,LOOKUP($B$117,Porton_plano_de_madera_con_bastidor_de_hierro_FAO_para_A3_B3_C3,'Tablas de Referencias'!D262),IF($B$117=porton_del_orto,LOOKUP($B$117,Morgere_Polivalente_Oval,'Tablas de Referencias'!D284),0))</f>
        <v>0.74</v>
      </c>
      <c r="F135" s="198">
        <f>IF($B$117=Porton_plano_de_madera_con_bastidor_de_hierro_FAO_para_A3_B3_C3,LOOKUP($B$117,Porton_plano_de_madera_con_bastidor_de_hierro_FAO_para_A3_B3_C3,'Tablas de Referencias'!E262),IF($B$117=porton_del_orto,LOOKUP($B$117,Morgere_Polivalente_Oval,'Tablas de Referencias'!E284),0))</f>
        <v>1.1621621621621621</v>
      </c>
      <c r="G135" s="149"/>
      <c r="H135" s="320"/>
    </row>
    <row r="136" spans="1:15" s="255" customFormat="1">
      <c r="A136" s="319"/>
      <c r="B136" s="149"/>
      <c r="C136" s="198">
        <f>IF($B$117=Porton_plano_de_madera_con_bastidor_de_hierro_FAO_para_A3_B3_C3,LOOKUP($B$117,Porton_plano_de_madera_con_bastidor_de_hierro_FAO_para_A3_B3_C3,'Tablas de Referencias'!B263),IF($B$117=porton_del_orto,LOOKUP($B$117,Morgere_Polivalente_Oval,'Tablas de Referencias'!B285),0))</f>
        <v>40</v>
      </c>
      <c r="D136" s="198">
        <f>IF($B$117=Porton_plano_de_madera_con_bastidor_de_hierro_FAO_para_A3_B3_C3,LOOKUP($B$117,Porton_plano_de_madera_con_bastidor_de_hierro_FAO_para_A3_B3_C3,'Tablas de Referencias'!C263),IF($B$117=porton_del_orto,LOOKUP($B$117,Morgere_Polivalente_Oval,'Tablas de Referencias'!C285),0))</f>
        <v>0.78</v>
      </c>
      <c r="E136" s="198">
        <f>IF($B$117=Porton_plano_de_madera_con_bastidor_de_hierro_FAO_para_A3_B3_C3,LOOKUP($B$117,Porton_plano_de_madera_con_bastidor_de_hierro_FAO_para_A3_B3_C3,'Tablas de Referencias'!D263),IF($B$117=porton_del_orto,LOOKUP($B$117,Morgere_Polivalente_Oval,'Tablas de Referencias'!D285),0))</f>
        <v>0.79</v>
      </c>
      <c r="F136" s="198">
        <f>IF($B$117=Porton_plano_de_madera_con_bastidor_de_hierro_FAO_para_A3_B3_C3,LOOKUP($B$117,Porton_plano_de_madera_con_bastidor_de_hierro_FAO_para_A3_B3_C3,'Tablas de Referencias'!E263),IF($B$117=porton_del_orto,LOOKUP($B$117,Morgere_Polivalente_Oval,'Tablas de Referencias'!E285),0))</f>
        <v>0.98734177215189878</v>
      </c>
      <c r="G136" s="149"/>
      <c r="H136" s="320"/>
    </row>
    <row r="137" spans="1:15" s="255" customFormat="1">
      <c r="A137" s="319"/>
      <c r="B137" s="149"/>
      <c r="C137" s="198">
        <f>IF($B$117=Porton_plano_de_madera_con_bastidor_de_hierro_FAO_para_A3_B3_C3,LOOKUP($B$117,Porton_plano_de_madera_con_bastidor_de_hierro_FAO_para_A3_B3_C3,'Tablas de Referencias'!B264),IF($B$117=porton_del_orto,LOOKUP($B$117,Morgere_Polivalente_Oval,'Tablas de Referencias'!B286),0))</f>
        <v>45</v>
      </c>
      <c r="D137" s="198">
        <f>IF($B$117=Porton_plano_de_madera_con_bastidor_de_hierro_FAO_para_A3_B3_C3,LOOKUP($B$117,Porton_plano_de_madera_con_bastidor_de_hierro_FAO_para_A3_B3_C3,'Tablas de Referencias'!C264),IF($B$117=porton_del_orto,LOOKUP($B$117,Morgere_Polivalente_Oval,'Tablas de Referencias'!C286),0))</f>
        <v>0.76</v>
      </c>
      <c r="E137" s="198">
        <f>IF($B$117=Porton_plano_de_madera_con_bastidor_de_hierro_FAO_para_A3_B3_C3,LOOKUP($B$117,Porton_plano_de_madera_con_bastidor_de_hierro_FAO_para_A3_B3_C3,'Tablas de Referencias'!D264),IF($B$117=porton_del_orto,LOOKUP($B$117,Morgere_Polivalente_Oval,'Tablas de Referencias'!D286),0))</f>
        <v>0.89</v>
      </c>
      <c r="F137" s="198">
        <f>IF($B$117=Porton_plano_de_madera_con_bastidor_de_hierro_FAO_para_A3_B3_C3,LOOKUP($B$117,Porton_plano_de_madera_con_bastidor_de_hierro_FAO_para_A3_B3_C3,'Tablas de Referencias'!E264),IF($B$117=porton_del_orto,LOOKUP($B$117,Morgere_Polivalente_Oval,'Tablas de Referencias'!E286),0))</f>
        <v>0.8539325842696629</v>
      </c>
      <c r="G137" s="149"/>
      <c r="H137" s="320"/>
    </row>
    <row r="138" spans="1:15" s="255" customFormat="1" ht="15.75" thickBot="1">
      <c r="A138" s="321"/>
      <c r="B138" s="322"/>
      <c r="C138" s="322"/>
      <c r="D138" s="322"/>
      <c r="E138" s="322"/>
      <c r="F138" s="322"/>
      <c r="G138" s="322"/>
      <c r="H138" s="323"/>
    </row>
    <row r="139" spans="1:15" s="255" customFormat="1">
      <c r="B139" s="149"/>
      <c r="C139" s="149"/>
      <c r="D139" s="149"/>
      <c r="E139" s="149"/>
      <c r="F139" s="149"/>
      <c r="G139" s="149"/>
    </row>
    <row r="140" spans="1:15" ht="15.75" thickBot="1"/>
    <row r="141" spans="1:15" ht="26.25">
      <c r="A141" s="691" t="s">
        <v>692</v>
      </c>
      <c r="B141" s="692"/>
      <c r="C141" s="692"/>
      <c r="D141" s="692"/>
      <c r="E141" s="692"/>
      <c r="F141" s="692"/>
      <c r="G141" s="692"/>
      <c r="H141" s="693"/>
    </row>
    <row r="142" spans="1:15" ht="15.75" customHeight="1">
      <c r="A142" s="319"/>
      <c r="B142" s="300"/>
      <c r="C142" s="300"/>
      <c r="D142" s="300"/>
      <c r="E142" s="300"/>
      <c r="F142" s="300"/>
      <c r="G142" s="300"/>
      <c r="H142" s="320"/>
    </row>
    <row r="143" spans="1:15" ht="15.75" customHeight="1">
      <c r="A143" s="319"/>
      <c r="B143" s="300"/>
      <c r="C143" s="300"/>
      <c r="D143" s="333" t="s">
        <v>712</v>
      </c>
      <c r="E143" s="300"/>
      <c r="F143" s="300"/>
      <c r="G143" s="300"/>
      <c r="H143" s="320"/>
    </row>
    <row r="144" spans="1:15" ht="15.75" customHeight="1">
      <c r="A144" s="354" t="str">
        <f>'Resistencia de la RED'!A300:B300</f>
        <v>Velocidad</v>
      </c>
      <c r="B144" s="332" t="str">
        <f>'Resistencia de la RED'!C212</f>
        <v>RN Estándar</v>
      </c>
      <c r="C144" s="332" t="str">
        <f>'Resistencia de la RED'!D212</f>
        <v>RN Modificada</v>
      </c>
      <c r="D144" s="347" t="str">
        <f>'Potencia Disponible Arrastre OK'!L9</f>
        <v>FT(PF)</v>
      </c>
      <c r="E144" s="332" t="s">
        <v>713</v>
      </c>
      <c r="F144" s="332" t="s">
        <v>714</v>
      </c>
      <c r="G144" s="332" t="s">
        <v>715</v>
      </c>
      <c r="H144" s="403" t="s">
        <v>716</v>
      </c>
    </row>
    <row r="145" spans="1:8" ht="15.75" customHeight="1">
      <c r="A145" s="354" t="str">
        <f>'Resistencia de la RED'!A301:B301</f>
        <v>Nudos</v>
      </c>
      <c r="B145" s="347" t="s">
        <v>55</v>
      </c>
      <c r="C145" s="347" t="s">
        <v>55</v>
      </c>
      <c r="D145" s="347" t="s">
        <v>55</v>
      </c>
      <c r="E145" s="347" t="s">
        <v>55</v>
      </c>
      <c r="F145" s="347" t="s">
        <v>55</v>
      </c>
      <c r="G145" s="347" t="s">
        <v>55</v>
      </c>
      <c r="H145" s="339" t="s">
        <v>55</v>
      </c>
    </row>
    <row r="146" spans="1:8" ht="15.75" customHeight="1">
      <c r="A146" s="354">
        <f>'Resistencia de la RED'!A302:B302</f>
        <v>1</v>
      </c>
      <c r="B146" s="197">
        <f>'Resistencia de la RED'!C214*1000</f>
        <v>422.36322657644956</v>
      </c>
      <c r="C146" s="197">
        <f>'Resistencia de la RED'!D214*1000</f>
        <v>413.44914989192739</v>
      </c>
      <c r="D146" s="347">
        <f>'Potencia Disponible Arrastre OK'!L11</f>
        <v>1395</v>
      </c>
      <c r="E146" s="347">
        <f>D146*0.15</f>
        <v>209.25</v>
      </c>
      <c r="F146" s="347">
        <f>D146*0.2</f>
        <v>279</v>
      </c>
      <c r="G146" s="347">
        <f>D146*0.25</f>
        <v>348.75</v>
      </c>
      <c r="H146" s="339">
        <f>D146*0.3</f>
        <v>418.5</v>
      </c>
    </row>
    <row r="147" spans="1:8" ht="15.75" customHeight="1">
      <c r="A147" s="354">
        <f>'Resistencia de la RED'!A303:B303</f>
        <v>1.5</v>
      </c>
      <c r="B147" s="197">
        <f>'Resistencia de la RED'!C215*1000</f>
        <v>631.52956087214341</v>
      </c>
      <c r="C147" s="197">
        <f>'Resistencia de la RED'!D215*1000</f>
        <v>618.20097878939919</v>
      </c>
      <c r="D147" s="347">
        <f>'Potencia Disponible Arrastre OK'!L12</f>
        <v>1342.5</v>
      </c>
      <c r="E147" s="347">
        <f t="shared" ref="E147:E154" si="0">D147*0.15</f>
        <v>201.375</v>
      </c>
      <c r="F147" s="347">
        <f t="shared" ref="F147:F154" si="1">D147*0.2</f>
        <v>268.5</v>
      </c>
      <c r="G147" s="347">
        <f t="shared" ref="G147:G154" si="2">D147*0.25</f>
        <v>335.625</v>
      </c>
      <c r="H147" s="339">
        <f t="shared" ref="H147:H154" si="3">D147*0.3</f>
        <v>402.75</v>
      </c>
    </row>
    <row r="148" spans="1:8" ht="15.75" customHeight="1">
      <c r="A148" s="354">
        <f>'Resistencia de la RED'!A304:B304</f>
        <v>2</v>
      </c>
      <c r="B148" s="197">
        <f>'Resistencia de la RED'!C216*1000</f>
        <v>914.90100549547947</v>
      </c>
      <c r="C148" s="197">
        <f>'Resistencia de la RED'!D216*1000</f>
        <v>895.5918014536428</v>
      </c>
      <c r="D148" s="347">
        <f>'Potencia Disponible Arrastre OK'!L13</f>
        <v>1290</v>
      </c>
      <c r="E148" s="347">
        <f t="shared" si="0"/>
        <v>193.5</v>
      </c>
      <c r="F148" s="347">
        <f t="shared" si="1"/>
        <v>258</v>
      </c>
      <c r="G148" s="347">
        <f t="shared" si="2"/>
        <v>322.5</v>
      </c>
      <c r="H148" s="339">
        <f t="shared" si="3"/>
        <v>387</v>
      </c>
    </row>
    <row r="149" spans="1:8" ht="15.75" customHeight="1">
      <c r="A149" s="354">
        <f>'Resistencia de la RED'!A305:B305</f>
        <v>2.5</v>
      </c>
      <c r="B149" s="197">
        <f>'Resistencia de la RED'!C217*1000</f>
        <v>1266.3281776772249</v>
      </c>
      <c r="C149" s="197">
        <f>'Resistencia de la RED'!D217*1000</f>
        <v>1239.6020193061838</v>
      </c>
      <c r="D149" s="347">
        <f>'Potencia Disponible Arrastre OK'!L14</f>
        <v>1237.5</v>
      </c>
      <c r="E149" s="347">
        <f t="shared" si="0"/>
        <v>185.625</v>
      </c>
      <c r="F149" s="347">
        <f t="shared" si="1"/>
        <v>247.5</v>
      </c>
      <c r="G149" s="347">
        <f t="shared" si="2"/>
        <v>309.375</v>
      </c>
      <c r="H149" s="339">
        <f t="shared" si="3"/>
        <v>371.25</v>
      </c>
    </row>
    <row r="150" spans="1:8" ht="15.75" customHeight="1">
      <c r="A150" s="354">
        <f>'Resistencia de la RED'!A306:B306</f>
        <v>3</v>
      </c>
      <c r="B150" s="197">
        <f>'Resistencia de la RED'!C218*1000</f>
        <v>1680.3228964186867</v>
      </c>
      <c r="C150" s="197">
        <f>'Resistencia de la RED'!D218*1000</f>
        <v>1644.8592807179402</v>
      </c>
      <c r="D150" s="347">
        <f>'Potencia Disponible Arrastre OK'!L15</f>
        <v>1185</v>
      </c>
      <c r="E150" s="347">
        <f t="shared" si="0"/>
        <v>177.75</v>
      </c>
      <c r="F150" s="347">
        <f t="shared" si="1"/>
        <v>237</v>
      </c>
      <c r="G150" s="347">
        <f t="shared" si="2"/>
        <v>296.25</v>
      </c>
      <c r="H150" s="339">
        <f t="shared" si="3"/>
        <v>355.5</v>
      </c>
    </row>
    <row r="151" spans="1:8" ht="15.75" customHeight="1">
      <c r="A151" s="354">
        <f>'Resistencia de la RED'!A307:B307</f>
        <v>3.5</v>
      </c>
      <c r="B151" s="197">
        <f>'Resistencia de la RED'!C219*1000</f>
        <v>2151.9716405847998</v>
      </c>
      <c r="C151" s="197">
        <f>'Resistencia de la RED'!D219*1000</f>
        <v>2106.5537655899047</v>
      </c>
      <c r="D151" s="347">
        <f>'Potencia Disponible Arrastre OK'!L16</f>
        <v>1132.5</v>
      </c>
      <c r="E151" s="347">
        <f t="shared" si="0"/>
        <v>169.875</v>
      </c>
      <c r="F151" s="347">
        <f t="shared" si="1"/>
        <v>226.5</v>
      </c>
      <c r="G151" s="347">
        <f t="shared" si="2"/>
        <v>283.125</v>
      </c>
      <c r="H151" s="339">
        <f t="shared" si="3"/>
        <v>339.75</v>
      </c>
    </row>
    <row r="152" spans="1:8" ht="15.75" customHeight="1">
      <c r="A152" s="354">
        <f>'Resistencia de la RED'!A308:B308</f>
        <v>4</v>
      </c>
      <c r="B152" s="197">
        <f>'Resistencia de la RED'!C220*1000</f>
        <v>2676.8622527857369</v>
      </c>
      <c r="C152" s="197">
        <f>'Resistencia de la RED'!D220*1000</f>
        <v>2620.3664361668261</v>
      </c>
      <c r="D152" s="347">
        <f>'Potencia Disponible Arrastre OK'!L17</f>
        <v>1080</v>
      </c>
      <c r="E152" s="347">
        <f t="shared" si="0"/>
        <v>162</v>
      </c>
      <c r="F152" s="347">
        <f t="shared" si="1"/>
        <v>216</v>
      </c>
      <c r="G152" s="347">
        <f t="shared" si="2"/>
        <v>270</v>
      </c>
      <c r="H152" s="339">
        <f t="shared" si="3"/>
        <v>324</v>
      </c>
    </row>
    <row r="153" spans="1:8" ht="15.75" customHeight="1">
      <c r="A153" s="354">
        <f>'Resistencia de la RED'!A309:B309</f>
        <v>4.5</v>
      </c>
      <c r="B153" s="197">
        <f>'Resistencia de la RED'!C221*1000</f>
        <v>3251.0215826380531</v>
      </c>
      <c r="C153" s="197">
        <f>'Resistencia de la RED'!D221*1000</f>
        <v>3182.4079963522054</v>
      </c>
      <c r="D153" s="347">
        <f>'Potencia Disponible Arrastre OK'!L18</f>
        <v>1027.5</v>
      </c>
      <c r="E153" s="347">
        <f t="shared" si="0"/>
        <v>154.125</v>
      </c>
      <c r="F153" s="347">
        <f t="shared" si="1"/>
        <v>205.5</v>
      </c>
      <c r="G153" s="347">
        <f t="shared" si="2"/>
        <v>256.875</v>
      </c>
      <c r="H153" s="339">
        <f t="shared" si="3"/>
        <v>308.25</v>
      </c>
    </row>
    <row r="154" spans="1:8" ht="15.75" customHeight="1">
      <c r="A154" s="354">
        <f>'Resistencia de la RED'!A310:B310</f>
        <v>5</v>
      </c>
      <c r="B154" s="197">
        <f>'Resistencia de la RED'!C222*1000</f>
        <v>3870.8622108292311</v>
      </c>
      <c r="C154" s="197">
        <f>'Resistencia de la RED'!D222*1000</f>
        <v>3789.1667401741761</v>
      </c>
      <c r="D154" s="347">
        <f>'Potencia Disponible Arrastre OK'!L19</f>
        <v>975</v>
      </c>
      <c r="E154" s="347">
        <f t="shared" si="0"/>
        <v>146.25</v>
      </c>
      <c r="F154" s="347">
        <f t="shared" si="1"/>
        <v>195</v>
      </c>
      <c r="G154" s="347">
        <f t="shared" si="2"/>
        <v>243.75</v>
      </c>
      <c r="H154" s="339">
        <f t="shared" si="3"/>
        <v>292.5</v>
      </c>
    </row>
    <row r="155" spans="1:8" ht="15.75" customHeight="1">
      <c r="A155" s="354"/>
      <c r="B155" s="347"/>
      <c r="C155" s="347"/>
      <c r="D155" s="347"/>
      <c r="E155" s="347"/>
      <c r="F155" s="347"/>
      <c r="G155" s="347"/>
      <c r="H155" s="339"/>
    </row>
    <row r="156" spans="1:8" ht="15.75" customHeight="1">
      <c r="A156" s="319"/>
      <c r="B156" s="300"/>
      <c r="C156" s="300"/>
      <c r="D156" s="300"/>
      <c r="E156" s="300"/>
      <c r="F156" s="300"/>
      <c r="G156" s="300"/>
      <c r="H156" s="320"/>
    </row>
    <row r="157" spans="1:8" ht="15.75" customHeight="1">
      <c r="A157" s="319"/>
      <c r="B157" s="300"/>
      <c r="C157" s="300"/>
      <c r="D157" s="333" t="s">
        <v>717</v>
      </c>
      <c r="E157" s="300"/>
      <c r="F157" s="300"/>
      <c r="G157" s="300"/>
      <c r="H157" s="320"/>
    </row>
    <row r="158" spans="1:8" s="255" customFormat="1" ht="15.75" customHeight="1">
      <c r="A158" s="354" t="str">
        <f>A144</f>
        <v>Velocidad</v>
      </c>
      <c r="B158" s="333" t="str">
        <f>B144</f>
        <v>RN Estándar</v>
      </c>
      <c r="C158" s="333" t="str">
        <f>C144</f>
        <v>RN Modificada</v>
      </c>
      <c r="D158" s="333" t="str">
        <f>D144</f>
        <v>FT(PF)</v>
      </c>
      <c r="E158" s="333" t="str">
        <f>E144</f>
        <v>ROB 15% Tiro</v>
      </c>
      <c r="F158" s="333" t="str">
        <f t="shared" ref="F158:H159" si="4">F144</f>
        <v>ROB 20% Tiro</v>
      </c>
      <c r="G158" s="333" t="str">
        <f t="shared" si="4"/>
        <v>ROB 25% Tiro</v>
      </c>
      <c r="H158" s="404" t="str">
        <f t="shared" si="4"/>
        <v>ROB 30% Tiro</v>
      </c>
    </row>
    <row r="159" spans="1:8" s="255" customFormat="1" ht="15.75" customHeight="1">
      <c r="A159" s="354" t="str">
        <f t="shared" ref="A159:B167" si="5">A145</f>
        <v>Nudos</v>
      </c>
      <c r="B159" s="347" t="str">
        <f t="shared" si="5"/>
        <v>[Kgf]</v>
      </c>
      <c r="C159" s="347" t="str">
        <f>C145</f>
        <v>[Kgf]</v>
      </c>
      <c r="D159" s="347" t="str">
        <f>D145</f>
        <v>[Kgf]</v>
      </c>
      <c r="E159" s="347" t="str">
        <f>E145</f>
        <v>[Kgf]</v>
      </c>
      <c r="F159" s="347" t="str">
        <f t="shared" si="4"/>
        <v>[Kgf]</v>
      </c>
      <c r="G159" s="347" t="str">
        <f t="shared" si="4"/>
        <v>[Kgf]</v>
      </c>
      <c r="H159" s="339" t="str">
        <f t="shared" si="4"/>
        <v>[Kgf]</v>
      </c>
    </row>
    <row r="160" spans="1:8" s="255" customFormat="1" ht="15.75" customHeight="1">
      <c r="A160" s="354">
        <f t="shared" si="5"/>
        <v>1</v>
      </c>
      <c r="B160" s="197">
        <f t="shared" si="5"/>
        <v>422.36322657644956</v>
      </c>
      <c r="C160" s="197">
        <f t="shared" ref="C160:C165" si="6">C146</f>
        <v>413.44914989192739</v>
      </c>
      <c r="D160" s="347">
        <f>'Potencia Disponible Arrastre OK'!N11</f>
        <v>1674.0000000000002</v>
      </c>
      <c r="E160" s="347">
        <f>$D160*0.15</f>
        <v>251.10000000000002</v>
      </c>
      <c r="F160" s="347">
        <f>$D160*0.2</f>
        <v>334.80000000000007</v>
      </c>
      <c r="G160" s="347">
        <f>$D160*0.25</f>
        <v>418.50000000000006</v>
      </c>
      <c r="H160" s="339">
        <f>$D160*0.3</f>
        <v>502.20000000000005</v>
      </c>
    </row>
    <row r="161" spans="1:11" s="255" customFormat="1" ht="15.75" customHeight="1">
      <c r="A161" s="354">
        <f t="shared" si="5"/>
        <v>1.5</v>
      </c>
      <c r="B161" s="197">
        <f t="shared" si="5"/>
        <v>631.52956087214341</v>
      </c>
      <c r="C161" s="197">
        <f t="shared" si="6"/>
        <v>618.20097878939919</v>
      </c>
      <c r="D161" s="347">
        <f>'Potencia Disponible Arrastre OK'!N12</f>
        <v>1610.9999999999998</v>
      </c>
      <c r="E161" s="347">
        <f t="shared" ref="E161:E168" si="7">$D161*0.15</f>
        <v>241.64999999999995</v>
      </c>
      <c r="F161" s="347">
        <f t="shared" ref="F161:F168" si="8">$D161*0.2</f>
        <v>322.2</v>
      </c>
      <c r="G161" s="347">
        <f t="shared" ref="G161:G168" si="9">$D161*0.25</f>
        <v>402.74999999999994</v>
      </c>
      <c r="H161" s="339">
        <f t="shared" ref="H161:H168" si="10">$D161*0.3</f>
        <v>483.2999999999999</v>
      </c>
    </row>
    <row r="162" spans="1:11" ht="15.75" customHeight="1">
      <c r="A162" s="354">
        <f t="shared" si="5"/>
        <v>2</v>
      </c>
      <c r="B162" s="197">
        <f t="shared" si="5"/>
        <v>914.90100549547947</v>
      </c>
      <c r="C162" s="197">
        <f t="shared" si="6"/>
        <v>895.5918014536428</v>
      </c>
      <c r="D162" s="347">
        <f>'Potencia Disponible Arrastre OK'!N13</f>
        <v>1548</v>
      </c>
      <c r="E162" s="347">
        <f t="shared" si="7"/>
        <v>232.2</v>
      </c>
      <c r="F162" s="347">
        <f t="shared" si="8"/>
        <v>309.60000000000002</v>
      </c>
      <c r="G162" s="347">
        <f t="shared" si="9"/>
        <v>387</v>
      </c>
      <c r="H162" s="339">
        <f t="shared" si="10"/>
        <v>464.4</v>
      </c>
    </row>
    <row r="163" spans="1:11" ht="15.75" customHeight="1">
      <c r="A163" s="354">
        <f t="shared" si="5"/>
        <v>2.5</v>
      </c>
      <c r="B163" s="197">
        <f t="shared" si="5"/>
        <v>1266.3281776772249</v>
      </c>
      <c r="C163" s="197">
        <f t="shared" si="6"/>
        <v>1239.6020193061838</v>
      </c>
      <c r="D163" s="347">
        <f>'Potencia Disponible Arrastre OK'!N14</f>
        <v>1485</v>
      </c>
      <c r="E163" s="347">
        <f t="shared" si="7"/>
        <v>222.75</v>
      </c>
      <c r="F163" s="347">
        <f t="shared" si="8"/>
        <v>297</v>
      </c>
      <c r="G163" s="347">
        <f t="shared" si="9"/>
        <v>371.25</v>
      </c>
      <c r="H163" s="339">
        <f t="shared" si="10"/>
        <v>445.5</v>
      </c>
    </row>
    <row r="164" spans="1:11" ht="15.75" customHeight="1">
      <c r="A164" s="354">
        <f t="shared" si="5"/>
        <v>3</v>
      </c>
      <c r="B164" s="197">
        <f t="shared" si="5"/>
        <v>1680.3228964186867</v>
      </c>
      <c r="C164" s="197">
        <f t="shared" si="6"/>
        <v>1644.8592807179402</v>
      </c>
      <c r="D164" s="347">
        <f>'Potencia Disponible Arrastre OK'!N15</f>
        <v>1422</v>
      </c>
      <c r="E164" s="347">
        <f t="shared" si="7"/>
        <v>213.29999999999998</v>
      </c>
      <c r="F164" s="347">
        <f t="shared" si="8"/>
        <v>284.40000000000003</v>
      </c>
      <c r="G164" s="347">
        <f t="shared" si="9"/>
        <v>355.5</v>
      </c>
      <c r="H164" s="339">
        <f t="shared" si="10"/>
        <v>426.59999999999997</v>
      </c>
    </row>
    <row r="165" spans="1:11" ht="15.75" customHeight="1">
      <c r="A165" s="354">
        <f t="shared" si="5"/>
        <v>3.5</v>
      </c>
      <c r="B165" s="197">
        <f t="shared" si="5"/>
        <v>2151.9716405847998</v>
      </c>
      <c r="C165" s="197">
        <f t="shared" si="6"/>
        <v>2106.5537655899047</v>
      </c>
      <c r="D165" s="347">
        <f>'Potencia Disponible Arrastre OK'!N16</f>
        <v>1359.0000000000002</v>
      </c>
      <c r="E165" s="347">
        <f t="shared" si="7"/>
        <v>203.85000000000002</v>
      </c>
      <c r="F165" s="347">
        <f t="shared" si="8"/>
        <v>271.80000000000007</v>
      </c>
      <c r="G165" s="347">
        <f t="shared" si="9"/>
        <v>339.75000000000006</v>
      </c>
      <c r="H165" s="339">
        <f t="shared" si="10"/>
        <v>407.70000000000005</v>
      </c>
    </row>
    <row r="166" spans="1:11" ht="15.75" customHeight="1">
      <c r="A166" s="354">
        <f>A152</f>
        <v>4</v>
      </c>
      <c r="B166" s="197">
        <f t="shared" ref="B166:C168" si="11">B152</f>
        <v>2676.8622527857369</v>
      </c>
      <c r="C166" s="197">
        <f t="shared" si="11"/>
        <v>2620.3664361668261</v>
      </c>
      <c r="D166" s="347">
        <f>'Potencia Disponible Arrastre OK'!N17</f>
        <v>1296</v>
      </c>
      <c r="E166" s="347">
        <f t="shared" si="7"/>
        <v>194.4</v>
      </c>
      <c r="F166" s="347">
        <f t="shared" si="8"/>
        <v>259.2</v>
      </c>
      <c r="G166" s="347">
        <f t="shared" si="9"/>
        <v>324</v>
      </c>
      <c r="H166" s="339">
        <f t="shared" si="10"/>
        <v>388.8</v>
      </c>
    </row>
    <row r="167" spans="1:11" ht="15.75" customHeight="1">
      <c r="A167" s="354">
        <f t="shared" si="5"/>
        <v>4.5</v>
      </c>
      <c r="B167" s="197">
        <f t="shared" si="11"/>
        <v>3251.0215826380531</v>
      </c>
      <c r="C167" s="197">
        <f t="shared" si="11"/>
        <v>3182.4079963522054</v>
      </c>
      <c r="D167" s="347">
        <f>'Potencia Disponible Arrastre OK'!N18</f>
        <v>1233</v>
      </c>
      <c r="E167" s="347">
        <f t="shared" si="7"/>
        <v>184.95</v>
      </c>
      <c r="F167" s="347">
        <f t="shared" si="8"/>
        <v>246.60000000000002</v>
      </c>
      <c r="G167" s="347">
        <f t="shared" si="9"/>
        <v>308.25</v>
      </c>
      <c r="H167" s="339">
        <f t="shared" si="10"/>
        <v>369.9</v>
      </c>
    </row>
    <row r="168" spans="1:11" ht="13.5" customHeight="1">
      <c r="A168" s="354">
        <f>A154</f>
        <v>5</v>
      </c>
      <c r="B168" s="197">
        <f t="shared" si="11"/>
        <v>3870.8622108292311</v>
      </c>
      <c r="C168" s="197">
        <f t="shared" si="11"/>
        <v>3789.1667401741761</v>
      </c>
      <c r="D168" s="347">
        <f>'Potencia Disponible Arrastre OK'!N19</f>
        <v>1170</v>
      </c>
      <c r="E168" s="347">
        <f t="shared" si="7"/>
        <v>175.5</v>
      </c>
      <c r="F168" s="347">
        <f t="shared" si="8"/>
        <v>234</v>
      </c>
      <c r="G168" s="347">
        <f t="shared" si="9"/>
        <v>292.5</v>
      </c>
      <c r="H168" s="339">
        <f t="shared" si="10"/>
        <v>351</v>
      </c>
    </row>
    <row r="169" spans="1:11" s="255" customFormat="1" ht="14.25" customHeight="1">
      <c r="A169" s="405"/>
      <c r="B169" s="406"/>
      <c r="C169" s="406"/>
      <c r="D169" s="406"/>
      <c r="E169" s="406"/>
      <c r="F169" s="406"/>
      <c r="G169" s="406"/>
      <c r="H169" s="407"/>
    </row>
    <row r="170" spans="1:11">
      <c r="A170" s="319"/>
      <c r="B170" s="300"/>
      <c r="C170" s="300"/>
      <c r="D170" s="300"/>
      <c r="E170" s="300"/>
      <c r="F170" s="300"/>
      <c r="G170" s="300"/>
      <c r="H170" s="320"/>
    </row>
    <row r="171" spans="1:11">
      <c r="A171" s="319"/>
      <c r="B171" s="300"/>
      <c r="C171" s="300"/>
      <c r="D171" s="300"/>
      <c r="E171" s="300"/>
      <c r="F171" s="300"/>
      <c r="G171" s="300"/>
      <c r="H171" s="320"/>
    </row>
    <row r="172" spans="1:11" s="255" customFormat="1">
      <c r="A172" s="319"/>
      <c r="B172" s="300"/>
      <c r="C172" s="300"/>
      <c r="D172" s="300"/>
      <c r="E172" s="300"/>
      <c r="F172" s="300"/>
      <c r="G172" s="300"/>
      <c r="H172" s="320"/>
      <c r="I172"/>
      <c r="J172"/>
      <c r="K172"/>
    </row>
    <row r="173" spans="1:11">
      <c r="A173" s="319"/>
      <c r="B173" s="300"/>
      <c r="C173" s="300"/>
      <c r="D173" s="300"/>
      <c r="E173" s="300"/>
      <c r="F173" s="300"/>
      <c r="G173" s="300"/>
      <c r="H173" s="320"/>
    </row>
    <row r="174" spans="1:11" s="255" customFormat="1">
      <c r="A174" s="319"/>
      <c r="B174" s="300"/>
      <c r="C174" s="300"/>
      <c r="D174" s="300"/>
      <c r="E174" s="300"/>
      <c r="F174" s="300"/>
      <c r="G174" s="300"/>
      <c r="H174" s="320"/>
      <c r="I174"/>
      <c r="J174"/>
      <c r="K174"/>
    </row>
    <row r="175" spans="1:11" s="255" customFormat="1">
      <c r="A175" s="319"/>
      <c r="B175" s="300"/>
      <c r="C175" s="300"/>
      <c r="D175" s="300"/>
      <c r="E175" s="300"/>
      <c r="F175" s="300"/>
      <c r="G175" s="300"/>
      <c r="H175" s="320"/>
      <c r="I175"/>
      <c r="J175"/>
      <c r="K175"/>
    </row>
    <row r="176" spans="1:11" s="255" customFormat="1">
      <c r="A176" s="319"/>
      <c r="B176" s="300"/>
      <c r="C176" s="300"/>
      <c r="D176" s="300"/>
      <c r="E176" s="300"/>
      <c r="F176" s="300"/>
      <c r="G176" s="300"/>
      <c r="H176" s="320"/>
      <c r="I176"/>
      <c r="J176"/>
      <c r="K176"/>
    </row>
    <row r="177" spans="1:11" s="255" customFormat="1">
      <c r="A177" s="319"/>
      <c r="B177" s="300"/>
      <c r="C177" s="300"/>
      <c r="D177" s="300"/>
      <c r="E177" s="300"/>
      <c r="F177" s="300"/>
      <c r="G177" s="300"/>
      <c r="H177" s="320"/>
      <c r="I177"/>
      <c r="J177"/>
      <c r="K177"/>
    </row>
    <row r="178" spans="1:11" s="255" customFormat="1">
      <c r="A178" s="319"/>
      <c r="B178" s="300"/>
      <c r="C178" s="300"/>
      <c r="D178" s="300"/>
      <c r="E178" s="300"/>
      <c r="F178" s="300"/>
      <c r="G178" s="300"/>
      <c r="H178" s="320"/>
      <c r="I178"/>
      <c r="J178"/>
      <c r="K178"/>
    </row>
    <row r="179" spans="1:11" s="255" customFormat="1">
      <c r="A179" s="319"/>
      <c r="B179" s="300"/>
      <c r="C179" s="300"/>
      <c r="D179" s="300"/>
      <c r="E179" s="300"/>
      <c r="F179" s="300"/>
      <c r="G179" s="300"/>
      <c r="H179" s="320"/>
      <c r="I179"/>
      <c r="J179"/>
      <c r="K179"/>
    </row>
    <row r="180" spans="1:11" s="255" customFormat="1">
      <c r="A180" s="319"/>
      <c r="B180" s="300"/>
      <c r="C180" s="300"/>
      <c r="D180" s="300"/>
      <c r="E180" s="300"/>
      <c r="F180" s="300"/>
      <c r="G180" s="300"/>
      <c r="H180" s="320"/>
      <c r="I180"/>
      <c r="J180"/>
      <c r="K180"/>
    </row>
    <row r="181" spans="1:11" s="255" customFormat="1">
      <c r="A181" s="319"/>
      <c r="B181" s="300"/>
      <c r="C181" s="300"/>
      <c r="D181" s="300"/>
      <c r="E181" s="300"/>
      <c r="F181" s="300"/>
      <c r="G181" s="300"/>
      <c r="H181" s="320"/>
      <c r="I181"/>
      <c r="J181"/>
      <c r="K181"/>
    </row>
    <row r="182" spans="1:11" s="255" customFormat="1">
      <c r="A182" s="319"/>
      <c r="B182" s="300"/>
      <c r="C182" s="300"/>
      <c r="D182" s="300"/>
      <c r="E182" s="300"/>
      <c r="F182" s="300"/>
      <c r="G182" s="300"/>
      <c r="H182" s="320"/>
      <c r="I182"/>
      <c r="J182"/>
      <c r="K182"/>
    </row>
    <row r="183" spans="1:11">
      <c r="A183" s="319"/>
      <c r="B183" s="300"/>
      <c r="C183" s="300"/>
      <c r="D183" s="300"/>
      <c r="E183" s="300"/>
      <c r="F183" s="300"/>
      <c r="G183" s="300"/>
      <c r="H183" s="320"/>
    </row>
    <row r="184" spans="1:11">
      <c r="A184" s="319"/>
      <c r="B184" s="474" t="str">
        <f>F214</f>
        <v>S cada porton</v>
      </c>
      <c r="C184" s="474"/>
      <c r="D184" s="197">
        <f>D122</f>
        <v>1.8049999999999999</v>
      </c>
      <c r="E184" s="300" t="s">
        <v>803</v>
      </c>
      <c r="F184" s="300"/>
      <c r="G184" s="300"/>
      <c r="H184" s="320"/>
    </row>
    <row r="185" spans="1:11">
      <c r="A185" s="319"/>
      <c r="B185" s="678" t="str">
        <f>E130</f>
        <v>CD</v>
      </c>
      <c r="C185" s="678"/>
      <c r="D185" s="198">
        <f>E134</f>
        <v>0.71</v>
      </c>
      <c r="E185" s="300" t="s">
        <v>547</v>
      </c>
      <c r="F185" s="300"/>
      <c r="G185" s="300"/>
      <c r="H185" s="320"/>
    </row>
    <row r="186" spans="1:11">
      <c r="A186" s="319"/>
      <c r="B186" s="678" t="str">
        <f>D130</f>
        <v>CL</v>
      </c>
      <c r="C186" s="678"/>
      <c r="D186" s="198">
        <f>D134</f>
        <v>0.93</v>
      </c>
      <c r="E186" s="300" t="s">
        <v>547</v>
      </c>
      <c r="F186" s="300"/>
      <c r="G186" s="300"/>
      <c r="H186" s="320"/>
    </row>
    <row r="187" spans="1:11">
      <c r="A187" s="319"/>
      <c r="B187" s="300"/>
      <c r="C187" s="300"/>
      <c r="D187" s="300"/>
      <c r="E187" s="300"/>
      <c r="F187" s="300"/>
      <c r="G187" s="300"/>
      <c r="H187" s="320"/>
    </row>
    <row r="188" spans="1:11">
      <c r="A188" s="319"/>
      <c r="B188" s="344" t="str">
        <f t="shared" ref="B188:B198" si="12">B208</f>
        <v>Velocidad</v>
      </c>
      <c r="C188" s="344"/>
      <c r="D188" s="344" t="s">
        <v>801</v>
      </c>
      <c r="E188" s="344" t="s">
        <v>802</v>
      </c>
      <c r="F188" s="300"/>
      <c r="G188" s="300"/>
      <c r="H188" s="320"/>
    </row>
    <row r="189" spans="1:11">
      <c r="A189" s="319"/>
      <c r="B189" s="344" t="str">
        <f t="shared" si="12"/>
        <v>Nudos</v>
      </c>
      <c r="C189" s="344" t="str">
        <f t="shared" ref="C189:C198" si="13">C209</f>
        <v>[m/s]</v>
      </c>
      <c r="D189" s="344" t="s">
        <v>55</v>
      </c>
      <c r="E189" s="344" t="s">
        <v>55</v>
      </c>
      <c r="F189" s="300"/>
      <c r="G189" s="300"/>
      <c r="H189" s="320"/>
    </row>
    <row r="190" spans="1:11" s="255" customFormat="1">
      <c r="A190" s="319"/>
      <c r="B190" s="347">
        <f t="shared" si="12"/>
        <v>1</v>
      </c>
      <c r="C190" s="347">
        <f t="shared" si="13"/>
        <v>0.51439999999999997</v>
      </c>
      <c r="D190" s="198">
        <f>0.5*($E$203/$E$205)*$D$185*$D$184*($C190^2)</f>
        <v>17.698580209020992</v>
      </c>
      <c r="E190" s="198">
        <f t="shared" ref="E190:E198" si="14">0.5*($E$203/$E$205)*$D$186*$D$184*$C190^2</f>
        <v>23.182647316041585</v>
      </c>
      <c r="F190" s="300"/>
      <c r="G190" s="300"/>
      <c r="H190" s="320"/>
      <c r="I190"/>
      <c r="J190"/>
      <c r="K190"/>
    </row>
    <row r="191" spans="1:11" s="255" customFormat="1">
      <c r="A191" s="319"/>
      <c r="B191" s="347">
        <f t="shared" si="12"/>
        <v>1.5</v>
      </c>
      <c r="C191" s="347">
        <f t="shared" si="13"/>
        <v>0.77159999999999995</v>
      </c>
      <c r="D191" s="198">
        <f t="shared" ref="D191:D198" si="15">0.5*($E$203/$E$205)*$D$185*$D$184*$C191^2</f>
        <v>39.821805470297235</v>
      </c>
      <c r="E191" s="198">
        <f t="shared" si="14"/>
        <v>52.160956461093562</v>
      </c>
      <c r="F191" s="300"/>
      <c r="G191" s="300"/>
      <c r="H191" s="320"/>
      <c r="I191"/>
      <c r="J191"/>
      <c r="K191"/>
    </row>
    <row r="192" spans="1:11" s="255" customFormat="1">
      <c r="A192" s="319"/>
      <c r="B192" s="347">
        <f t="shared" si="12"/>
        <v>2</v>
      </c>
      <c r="C192" s="347">
        <f t="shared" si="13"/>
        <v>1.0287999999999999</v>
      </c>
      <c r="D192" s="198">
        <f t="shared" si="15"/>
        <v>70.794320836083969</v>
      </c>
      <c r="E192" s="198">
        <f t="shared" si="14"/>
        <v>92.730589264166341</v>
      </c>
      <c r="F192" s="300"/>
      <c r="G192" s="300"/>
      <c r="H192" s="320"/>
      <c r="I192"/>
      <c r="J192"/>
      <c r="K192"/>
    </row>
    <row r="193" spans="1:11" s="255" customFormat="1">
      <c r="A193" s="319"/>
      <c r="B193" s="347">
        <f t="shared" si="12"/>
        <v>2.5</v>
      </c>
      <c r="C193" s="347">
        <f t="shared" si="13"/>
        <v>1.286</v>
      </c>
      <c r="D193" s="198">
        <f t="shared" si="15"/>
        <v>110.61612630638123</v>
      </c>
      <c r="E193" s="198">
        <f t="shared" si="14"/>
        <v>144.89154572525993</v>
      </c>
      <c r="F193" s="300"/>
      <c r="G193" s="300"/>
      <c r="H193" s="320"/>
      <c r="I193"/>
      <c r="J193"/>
      <c r="K193"/>
    </row>
    <row r="194" spans="1:11" s="255" customFormat="1">
      <c r="A194" s="319"/>
      <c r="B194" s="347">
        <f t="shared" si="12"/>
        <v>3</v>
      </c>
      <c r="C194" s="347">
        <f t="shared" si="13"/>
        <v>1.5432000000000001</v>
      </c>
      <c r="D194" s="198">
        <f t="shared" si="15"/>
        <v>159.287221881189</v>
      </c>
      <c r="E194" s="198">
        <f t="shared" si="14"/>
        <v>208.64382584437433</v>
      </c>
      <c r="F194" s="300"/>
      <c r="G194" s="300"/>
      <c r="H194" s="320"/>
      <c r="I194"/>
      <c r="J194"/>
      <c r="K194"/>
    </row>
    <row r="195" spans="1:11" s="255" customFormat="1">
      <c r="A195" s="319"/>
      <c r="B195" s="347">
        <f t="shared" si="12"/>
        <v>3.5</v>
      </c>
      <c r="C195" s="347">
        <f t="shared" si="13"/>
        <v>1.8004</v>
      </c>
      <c r="D195" s="198">
        <f t="shared" si="15"/>
        <v>216.80760756050719</v>
      </c>
      <c r="E195" s="198">
        <f t="shared" si="14"/>
        <v>283.98742962150942</v>
      </c>
      <c r="F195" s="300"/>
      <c r="G195" s="300"/>
      <c r="H195" s="320"/>
      <c r="I195"/>
      <c r="J195"/>
      <c r="K195"/>
    </row>
    <row r="196" spans="1:11" s="255" customFormat="1">
      <c r="A196" s="319"/>
      <c r="B196" s="347">
        <f t="shared" si="12"/>
        <v>4</v>
      </c>
      <c r="C196" s="347">
        <f t="shared" si="13"/>
        <v>2.0575999999999999</v>
      </c>
      <c r="D196" s="198">
        <f t="shared" si="15"/>
        <v>283.17728334433588</v>
      </c>
      <c r="E196" s="198">
        <f t="shared" si="14"/>
        <v>370.92235705666536</v>
      </c>
      <c r="F196" s="300"/>
      <c r="G196" s="300"/>
      <c r="H196" s="320"/>
      <c r="I196"/>
      <c r="J196"/>
      <c r="K196"/>
    </row>
    <row r="197" spans="1:11" s="255" customFormat="1">
      <c r="A197" s="319"/>
      <c r="B197" s="347">
        <f t="shared" si="12"/>
        <v>4.5</v>
      </c>
      <c r="C197" s="347">
        <f t="shared" si="13"/>
        <v>2.3148</v>
      </c>
      <c r="D197" s="198">
        <f t="shared" si="15"/>
        <v>358.39624923267513</v>
      </c>
      <c r="E197" s="198">
        <f t="shared" si="14"/>
        <v>469.44860814984213</v>
      </c>
      <c r="F197" s="300"/>
      <c r="G197" s="300"/>
      <c r="H197" s="320"/>
      <c r="I197"/>
      <c r="J197"/>
      <c r="K197"/>
    </row>
    <row r="198" spans="1:11" s="255" customFormat="1">
      <c r="A198" s="319"/>
      <c r="B198" s="347">
        <f t="shared" si="12"/>
        <v>5</v>
      </c>
      <c r="C198" s="347">
        <f t="shared" si="13"/>
        <v>2.5720000000000001</v>
      </c>
      <c r="D198" s="198">
        <f t="shared" si="15"/>
        <v>442.46450522552493</v>
      </c>
      <c r="E198" s="198">
        <f t="shared" si="14"/>
        <v>579.56618290103972</v>
      </c>
      <c r="F198" s="300"/>
      <c r="G198" s="300"/>
      <c r="H198" s="320"/>
      <c r="I198"/>
      <c r="J198"/>
      <c r="K198"/>
    </row>
    <row r="199" spans="1:11" s="255" customFormat="1" ht="15.75" thickBot="1">
      <c r="A199" s="321"/>
      <c r="B199" s="322"/>
      <c r="C199" s="322"/>
      <c r="D199" s="322"/>
      <c r="E199" s="322"/>
      <c r="F199" s="322"/>
      <c r="G199" s="322"/>
      <c r="H199" s="323"/>
      <c r="I199"/>
      <c r="J199"/>
      <c r="K199"/>
    </row>
    <row r="200" spans="1:11" s="255" customFormat="1" ht="15.75" thickBot="1">
      <c r="A200"/>
      <c r="B200"/>
      <c r="C200"/>
      <c r="D200"/>
      <c r="E200"/>
      <c r="F200"/>
      <c r="G200"/>
      <c r="H200"/>
      <c r="I200"/>
      <c r="J200"/>
      <c r="K200"/>
    </row>
    <row r="201" spans="1:11" ht="23.25">
      <c r="A201" s="334"/>
      <c r="B201" s="694" t="s">
        <v>693</v>
      </c>
      <c r="C201" s="692"/>
      <c r="D201" s="692"/>
      <c r="E201" s="692"/>
      <c r="F201" s="692"/>
      <c r="G201" s="695"/>
      <c r="H201" s="335"/>
    </row>
    <row r="202" spans="1:11">
      <c r="A202" s="319"/>
      <c r="B202" s="349"/>
      <c r="C202" s="346"/>
      <c r="D202" s="346"/>
      <c r="E202" s="346"/>
      <c r="F202" s="346"/>
      <c r="G202" s="350"/>
      <c r="H202" s="320"/>
      <c r="I202" s="255"/>
      <c r="J202" s="255"/>
      <c r="K202" s="255"/>
    </row>
    <row r="203" spans="1:11">
      <c r="A203" s="319"/>
      <c r="B203" s="666" t="str">
        <f t="array" ref="B203">'Mecánica de la Red'!L127:N127</f>
        <v>Densidad del agua de mar (ρmar) =</v>
      </c>
      <c r="C203" s="667"/>
      <c r="D203" s="668"/>
      <c r="E203" s="347">
        <f t="array" ref="E203">'Mecánica de la Red'!O127:Q127</f>
        <v>1024</v>
      </c>
      <c r="F203" s="300"/>
      <c r="G203" s="311"/>
      <c r="H203" s="320"/>
    </row>
    <row r="204" spans="1:11">
      <c r="A204" s="319"/>
      <c r="B204" s="666" t="str">
        <f t="array" ref="B204">'Mecánica de la Red'!L128:N128</f>
        <v>Densidad del agua dulce (ρdulce) =</v>
      </c>
      <c r="C204" s="667"/>
      <c r="D204" s="668"/>
      <c r="E204" s="347">
        <f t="array" ref="E204">'Mecánica de la Red'!O128:Q128</f>
        <v>1000</v>
      </c>
      <c r="F204" s="300"/>
      <c r="G204" s="311"/>
      <c r="H204" s="320"/>
      <c r="I204" s="255"/>
      <c r="J204" s="255"/>
      <c r="K204" s="255"/>
    </row>
    <row r="205" spans="1:11">
      <c r="A205" s="319"/>
      <c r="B205" s="666" t="str">
        <f t="array" ref="B205">'Mecánica de la Red'!L129:N129</f>
        <v>Aceleración de la gravedad (g) =</v>
      </c>
      <c r="C205" s="667"/>
      <c r="D205" s="668"/>
      <c r="E205" s="347">
        <f t="array" ref="E205">'Mecánica de la Red'!O129:Q129</f>
        <v>9.81</v>
      </c>
      <c r="F205" s="300"/>
      <c r="G205" s="311"/>
      <c r="H205" s="320"/>
      <c r="I205" s="255"/>
      <c r="J205" s="255"/>
      <c r="K205" s="255"/>
    </row>
    <row r="206" spans="1:11">
      <c r="A206" s="319"/>
      <c r="B206" s="526" t="str">
        <f>E130</f>
        <v>CD</v>
      </c>
      <c r="C206" s="602"/>
      <c r="D206" s="603"/>
      <c r="E206" s="347">
        <f>E134</f>
        <v>0.71</v>
      </c>
      <c r="F206" s="300"/>
      <c r="G206" s="311"/>
      <c r="H206" s="320"/>
      <c r="I206" s="255"/>
      <c r="J206" s="255"/>
      <c r="K206" s="255"/>
    </row>
    <row r="207" spans="1:11">
      <c r="A207" s="319"/>
      <c r="B207" s="249"/>
      <c r="C207" s="300"/>
      <c r="D207" s="300"/>
      <c r="E207" s="300"/>
      <c r="F207" s="300"/>
      <c r="G207" s="311"/>
      <c r="H207" s="320"/>
      <c r="I207" s="255"/>
      <c r="J207" s="255"/>
      <c r="K207" s="255"/>
    </row>
    <row r="208" spans="1:11">
      <c r="A208" s="319"/>
      <c r="B208" s="526" t="str">
        <f>A158</f>
        <v>Velocidad</v>
      </c>
      <c r="C208" s="603"/>
      <c r="D208" s="332" t="str">
        <f>F158</f>
        <v>ROB 20% Tiro</v>
      </c>
      <c r="E208" s="218" t="s">
        <v>804</v>
      </c>
      <c r="F208" s="300"/>
      <c r="G208" s="311"/>
      <c r="H208" s="320"/>
      <c r="I208" s="255"/>
      <c r="J208" s="255"/>
      <c r="K208" s="255"/>
    </row>
    <row r="209" spans="1:11" ht="17.25">
      <c r="A209" s="319"/>
      <c r="B209" s="347" t="str">
        <f t="shared" ref="B209:B218" si="16">A159</f>
        <v>Nudos</v>
      </c>
      <c r="C209" s="347" t="str">
        <f>'Resistencia de la RED'!C257</f>
        <v>[m/s]</v>
      </c>
      <c r="D209" s="347" t="str">
        <f>F159</f>
        <v>[Kgf]</v>
      </c>
      <c r="E209" s="347" t="s">
        <v>534</v>
      </c>
      <c r="F209" s="300"/>
      <c r="G209" s="311"/>
      <c r="H209" s="320"/>
      <c r="I209" s="255"/>
      <c r="J209" s="255"/>
      <c r="K209" s="255"/>
    </row>
    <row r="210" spans="1:11">
      <c r="A210" s="319"/>
      <c r="B210" s="347">
        <f t="shared" si="16"/>
        <v>1</v>
      </c>
      <c r="C210" s="347">
        <f>'Resistencia de la RED'!C258</f>
        <v>0.51439999999999997</v>
      </c>
      <c r="D210" s="347">
        <f>F146</f>
        <v>279</v>
      </c>
      <c r="E210" s="197">
        <f t="shared" ref="E210:E218" si="17">(2*$D210)/(($E$203/$E$205)*$E$206*($C210^2))</f>
        <v>28.453977327702077</v>
      </c>
      <c r="F210" s="300"/>
      <c r="G210" s="311"/>
      <c r="H210" s="320"/>
      <c r="I210" s="255"/>
      <c r="J210" s="255"/>
      <c r="K210" s="255"/>
    </row>
    <row r="211" spans="1:11" ht="15.75" thickBot="1">
      <c r="A211" s="319"/>
      <c r="B211" s="347">
        <f t="shared" si="16"/>
        <v>1.5</v>
      </c>
      <c r="C211" s="347">
        <f>'Resistencia de la RED'!C259</f>
        <v>0.77159999999999995</v>
      </c>
      <c r="D211" s="347">
        <f t="shared" ref="D211:D218" si="18">F147</f>
        <v>268.5</v>
      </c>
      <c r="E211" s="355">
        <f t="shared" si="17"/>
        <v>12.170279430486671</v>
      </c>
      <c r="F211" s="681" t="s">
        <v>719</v>
      </c>
      <c r="G211" s="682"/>
      <c r="H211" s="320"/>
      <c r="I211" s="255"/>
      <c r="J211" s="255"/>
      <c r="K211" s="255"/>
    </row>
    <row r="212" spans="1:11" ht="15.75" thickBot="1">
      <c r="A212" s="319"/>
      <c r="B212" s="347">
        <f t="shared" si="16"/>
        <v>2</v>
      </c>
      <c r="C212" s="347">
        <f>'Resistencia de la RED'!C260</f>
        <v>1.0287999999999999</v>
      </c>
      <c r="D212" s="347">
        <f t="shared" si="18"/>
        <v>258</v>
      </c>
      <c r="E212" s="357">
        <f t="shared" si="17"/>
        <v>6.5780700273719859</v>
      </c>
      <c r="F212" s="669">
        <f>AVERAGE(E212:E216)</f>
        <v>3.3129634675428781</v>
      </c>
      <c r="G212" s="670"/>
      <c r="H212" s="320"/>
      <c r="I212" s="255"/>
      <c r="J212" s="255"/>
      <c r="K212" s="255"/>
    </row>
    <row r="213" spans="1:11">
      <c r="A213" s="319"/>
      <c r="B213" s="347">
        <f t="shared" si="16"/>
        <v>2.5</v>
      </c>
      <c r="C213" s="347">
        <f>'Resistencia de la RED'!C261</f>
        <v>1.286</v>
      </c>
      <c r="D213" s="347">
        <f t="shared" si="18"/>
        <v>247.5</v>
      </c>
      <c r="E213" s="358">
        <f t="shared" si="17"/>
        <v>4.0386290400609388</v>
      </c>
      <c r="F213" s="300"/>
      <c r="G213" s="311"/>
      <c r="H213" s="320"/>
      <c r="I213" s="255"/>
      <c r="J213" s="255"/>
      <c r="K213" s="255"/>
    </row>
    <row r="214" spans="1:11" ht="19.5" thickBot="1">
      <c r="A214" s="319"/>
      <c r="B214" s="347">
        <f t="shared" si="16"/>
        <v>3</v>
      </c>
      <c r="C214" s="347">
        <f>'Resistencia de la RED'!C262</f>
        <v>1.5432000000000001</v>
      </c>
      <c r="D214" s="347">
        <f t="shared" si="18"/>
        <v>237</v>
      </c>
      <c r="E214" s="358">
        <f t="shared" si="17"/>
        <v>2.6856203212526442</v>
      </c>
      <c r="F214" s="679" t="s">
        <v>720</v>
      </c>
      <c r="G214" s="680"/>
      <c r="H214" s="320"/>
      <c r="I214" s="255"/>
      <c r="J214" s="255"/>
      <c r="K214" s="255"/>
    </row>
    <row r="215" spans="1:11" ht="15.75" thickBot="1">
      <c r="A215" s="319"/>
      <c r="B215" s="347">
        <f t="shared" si="16"/>
        <v>3.5</v>
      </c>
      <c r="C215" s="347">
        <f>'Resistencia de la RED'!C263</f>
        <v>1.8004</v>
      </c>
      <c r="D215" s="347">
        <f t="shared" si="18"/>
        <v>226.5</v>
      </c>
      <c r="E215" s="358">
        <f t="shared" si="17"/>
        <v>1.8856925944625909</v>
      </c>
      <c r="F215" s="669">
        <f>F212/2</f>
        <v>1.656481733771439</v>
      </c>
      <c r="G215" s="670"/>
      <c r="H215" s="320"/>
      <c r="I215" s="255"/>
      <c r="J215" s="255"/>
      <c r="K215" s="255"/>
    </row>
    <row r="216" spans="1:11" ht="15.75" thickBot="1">
      <c r="A216" s="319"/>
      <c r="B216" s="347">
        <f t="shared" si="16"/>
        <v>4</v>
      </c>
      <c r="C216" s="347">
        <f>'Resistencia de la RED'!C264</f>
        <v>2.0575999999999999</v>
      </c>
      <c r="D216" s="347">
        <f t="shared" si="18"/>
        <v>216</v>
      </c>
      <c r="E216" s="359">
        <f t="shared" si="17"/>
        <v>1.3768053545662295</v>
      </c>
      <c r="F216" s="300"/>
      <c r="G216" s="311"/>
      <c r="H216" s="320"/>
      <c r="I216" s="255"/>
      <c r="J216" s="255"/>
      <c r="K216" s="255"/>
    </row>
    <row r="217" spans="1:11">
      <c r="A217" s="319"/>
      <c r="B217" s="347">
        <f>A167</f>
        <v>4.5</v>
      </c>
      <c r="C217" s="347">
        <f>'Resistencia de la RED'!C265</f>
        <v>2.3148</v>
      </c>
      <c r="D217" s="347">
        <f t="shared" si="18"/>
        <v>205.5</v>
      </c>
      <c r="E217" s="356">
        <f t="shared" si="17"/>
        <v>1.03496479328161</v>
      </c>
      <c r="F217" s="300"/>
      <c r="G217" s="311"/>
      <c r="H217" s="320"/>
      <c r="I217" s="255"/>
      <c r="J217" s="255"/>
      <c r="K217" s="255"/>
    </row>
    <row r="218" spans="1:11" ht="15.75" thickBot="1">
      <c r="A218" s="319"/>
      <c r="B218" s="347">
        <f t="shared" si="16"/>
        <v>5</v>
      </c>
      <c r="C218" s="347">
        <f>'Resistencia de la RED'!C266</f>
        <v>2.5720000000000001</v>
      </c>
      <c r="D218" s="347">
        <f t="shared" si="18"/>
        <v>195</v>
      </c>
      <c r="E218" s="197">
        <f t="shared" si="17"/>
        <v>0.79548753819382123</v>
      </c>
      <c r="F218" s="300"/>
      <c r="G218" s="311"/>
      <c r="H218" s="320"/>
      <c r="I218" s="255"/>
      <c r="J218" s="255"/>
      <c r="K218" s="255"/>
    </row>
    <row r="219" spans="1:11" ht="15.75" thickBot="1">
      <c r="A219" s="319"/>
      <c r="B219" s="249"/>
      <c r="C219" s="300"/>
      <c r="D219" s="300"/>
      <c r="E219" s="300"/>
      <c r="F219" s="674" t="s">
        <v>806</v>
      </c>
      <c r="G219" s="675"/>
      <c r="H219" s="320"/>
      <c r="I219" s="255"/>
      <c r="J219" s="255"/>
      <c r="K219" s="255"/>
    </row>
    <row r="220" spans="1:11" ht="15.75" thickBot="1">
      <c r="A220" s="319"/>
      <c r="B220" s="249"/>
      <c r="C220" s="300"/>
      <c r="D220" s="300"/>
      <c r="E220" s="300"/>
      <c r="F220" s="676">
        <f>AVERAGE(F215,F229)</f>
        <v>1.8221299071485828</v>
      </c>
      <c r="G220" s="677"/>
      <c r="H220" s="320"/>
      <c r="I220" s="255"/>
      <c r="J220" s="255"/>
      <c r="K220" s="255"/>
    </row>
    <row r="221" spans="1:11">
      <c r="A221" s="319"/>
      <c r="B221" s="344" t="str">
        <f>B208</f>
        <v>Velocidad</v>
      </c>
      <c r="C221" s="344"/>
      <c r="D221" s="401" t="str">
        <f>F158</f>
        <v>ROB 20% Tiro</v>
      </c>
      <c r="E221" s="315" t="s">
        <v>805</v>
      </c>
      <c r="F221" s="300"/>
      <c r="G221" s="311"/>
      <c r="H221" s="320"/>
      <c r="I221" s="255"/>
      <c r="J221" s="255"/>
      <c r="K221" s="255"/>
    </row>
    <row r="222" spans="1:11">
      <c r="A222" s="319"/>
      <c r="B222" s="344" t="str">
        <f t="shared" ref="B222:C228" si="19">B209</f>
        <v>Nudos</v>
      </c>
      <c r="C222" s="344" t="str">
        <f t="shared" si="19"/>
        <v>[m/s]</v>
      </c>
      <c r="D222" s="344" t="str">
        <f t="shared" ref="D222:D231" si="20">F159</f>
        <v>[Kgf]</v>
      </c>
      <c r="E222" s="315" t="str">
        <f>E209</f>
        <v>[m2]</v>
      </c>
      <c r="F222" s="300"/>
      <c r="G222" s="311"/>
      <c r="H222" s="320"/>
      <c r="I222" s="255"/>
      <c r="J222" s="255"/>
      <c r="K222" s="255"/>
    </row>
    <row r="223" spans="1:11">
      <c r="A223" s="319"/>
      <c r="B223" s="347">
        <f t="shared" si="19"/>
        <v>1</v>
      </c>
      <c r="C223" s="347">
        <f t="shared" si="19"/>
        <v>0.51439999999999997</v>
      </c>
      <c r="D223" s="347">
        <f t="shared" si="20"/>
        <v>334.80000000000007</v>
      </c>
      <c r="E223" s="197">
        <f t="shared" ref="E223:E231" si="21">(2*$D223)/(($E$203/$E$205)*$E$206*($C223^2))</f>
        <v>34.144772793242502</v>
      </c>
      <c r="F223" s="300"/>
      <c r="G223" s="311"/>
      <c r="H223" s="320"/>
      <c r="I223" s="255"/>
      <c r="J223" s="255"/>
      <c r="K223" s="255"/>
    </row>
    <row r="224" spans="1:11" ht="15.75" thickBot="1">
      <c r="A224" s="319"/>
      <c r="B224" s="347">
        <f t="shared" si="19"/>
        <v>1.5</v>
      </c>
      <c r="C224" s="347">
        <f t="shared" si="19"/>
        <v>0.77159999999999995</v>
      </c>
      <c r="D224" s="347">
        <f t="shared" si="20"/>
        <v>322.2</v>
      </c>
      <c r="E224" s="355">
        <f t="shared" si="21"/>
        <v>14.604335316584004</v>
      </c>
      <c r="F224" s="673" t="str">
        <f>F211</f>
        <v>SP promedio</v>
      </c>
      <c r="G224" s="672"/>
      <c r="H224" s="320"/>
      <c r="I224" s="255"/>
      <c r="J224" s="255"/>
      <c r="K224" s="255"/>
    </row>
    <row r="225" spans="1:11" ht="15.75" thickBot="1">
      <c r="A225" s="319"/>
      <c r="B225" s="347">
        <f t="shared" si="19"/>
        <v>2</v>
      </c>
      <c r="C225" s="347">
        <f t="shared" si="19"/>
        <v>1.0287999999999999</v>
      </c>
      <c r="D225" s="1">
        <f t="shared" si="20"/>
        <v>309.60000000000002</v>
      </c>
      <c r="E225" s="357">
        <f t="shared" si="21"/>
        <v>7.8936840328463829</v>
      </c>
      <c r="F225" s="669">
        <f>AVERAGE(E225:E229)</f>
        <v>3.9755561610514532</v>
      </c>
      <c r="G225" s="670"/>
      <c r="H225" s="320"/>
      <c r="I225" s="255"/>
      <c r="J225" s="255"/>
      <c r="K225" s="255"/>
    </row>
    <row r="226" spans="1:11">
      <c r="A226" s="319"/>
      <c r="B226" s="347">
        <f t="shared" si="19"/>
        <v>2.5</v>
      </c>
      <c r="C226" s="347">
        <f t="shared" si="19"/>
        <v>1.286</v>
      </c>
      <c r="D226" s="1">
        <f t="shared" si="20"/>
        <v>297</v>
      </c>
      <c r="E226" s="358">
        <f t="shared" si="21"/>
        <v>4.8463548480731262</v>
      </c>
      <c r="F226" s="300"/>
      <c r="G226" s="311"/>
      <c r="H226" s="320"/>
      <c r="I226" s="255"/>
      <c r="J226" s="255"/>
      <c r="K226" s="255"/>
    </row>
    <row r="227" spans="1:11">
      <c r="A227" s="319"/>
      <c r="B227" s="347">
        <f t="shared" si="19"/>
        <v>3</v>
      </c>
      <c r="C227" s="347">
        <f t="shared" si="19"/>
        <v>1.5432000000000001</v>
      </c>
      <c r="D227" s="1">
        <f t="shared" si="20"/>
        <v>284.40000000000003</v>
      </c>
      <c r="E227" s="358">
        <f t="shared" si="21"/>
        <v>3.2227443855031734</v>
      </c>
      <c r="F227" s="300"/>
      <c r="G227" s="311"/>
      <c r="H227" s="320"/>
      <c r="I227" s="255"/>
      <c r="J227" s="255"/>
      <c r="K227" s="255"/>
    </row>
    <row r="228" spans="1:11" ht="15.75" thickBot="1">
      <c r="A228" s="319"/>
      <c r="B228" s="347">
        <f t="shared" si="19"/>
        <v>3.5</v>
      </c>
      <c r="C228" s="347">
        <f t="shared" si="19"/>
        <v>1.8004</v>
      </c>
      <c r="D228" s="1">
        <f t="shared" si="20"/>
        <v>271.80000000000007</v>
      </c>
      <c r="E228" s="358">
        <f t="shared" si="21"/>
        <v>2.2628311133551096</v>
      </c>
      <c r="F228" s="671" t="str">
        <f>F214</f>
        <v>S cada porton</v>
      </c>
      <c r="G228" s="672"/>
      <c r="H228" s="320"/>
      <c r="I228" s="255"/>
      <c r="J228" s="255"/>
      <c r="K228" s="255"/>
    </row>
    <row r="229" spans="1:11" ht="15.75" thickBot="1">
      <c r="A229" s="319"/>
      <c r="B229" s="347">
        <f t="shared" ref="B229:C231" si="22">B216</f>
        <v>4</v>
      </c>
      <c r="C229" s="347">
        <f t="shared" si="22"/>
        <v>2.0575999999999999</v>
      </c>
      <c r="D229" s="1">
        <f t="shared" si="20"/>
        <v>259.2</v>
      </c>
      <c r="E229" s="359">
        <f t="shared" si="21"/>
        <v>1.6521664254794755</v>
      </c>
      <c r="F229" s="669">
        <f>F225/2</f>
        <v>1.9877780805257266</v>
      </c>
      <c r="G229" s="670"/>
      <c r="H229" s="320"/>
      <c r="I229" s="255"/>
      <c r="J229" s="255"/>
      <c r="K229" s="255"/>
    </row>
    <row r="230" spans="1:11">
      <c r="A230" s="319"/>
      <c r="B230" s="347">
        <f t="shared" si="22"/>
        <v>4.5</v>
      </c>
      <c r="C230" s="347">
        <f t="shared" si="22"/>
        <v>2.3148</v>
      </c>
      <c r="D230" s="347">
        <f t="shared" si="20"/>
        <v>246.60000000000002</v>
      </c>
      <c r="E230" s="356">
        <f t="shared" si="21"/>
        <v>1.2419577519379321</v>
      </c>
      <c r="F230" s="300"/>
      <c r="G230" s="311"/>
      <c r="H230" s="320"/>
      <c r="I230" s="255"/>
      <c r="J230" s="255"/>
      <c r="K230" s="255"/>
    </row>
    <row r="231" spans="1:11" ht="15.75" thickBot="1">
      <c r="A231" s="321"/>
      <c r="B231" s="385">
        <f t="shared" si="22"/>
        <v>5</v>
      </c>
      <c r="C231" s="385">
        <f t="shared" si="22"/>
        <v>2.5720000000000001</v>
      </c>
      <c r="D231" s="385">
        <f t="shared" si="20"/>
        <v>234</v>
      </c>
      <c r="E231" s="429">
        <f t="shared" si="21"/>
        <v>0.95458504583258552</v>
      </c>
      <c r="F231" s="322"/>
      <c r="G231" s="460"/>
      <c r="H231" s="323"/>
    </row>
    <row r="234" spans="1:11" ht="15.75" thickBot="1"/>
    <row r="235" spans="1:11" ht="19.5" thickBot="1">
      <c r="A235" s="662" t="s">
        <v>958</v>
      </c>
      <c r="B235" s="663"/>
      <c r="C235" s="663"/>
      <c r="D235" s="663"/>
      <c r="E235" s="663"/>
      <c r="F235" s="663"/>
      <c r="G235" s="663"/>
      <c r="H235" s="664"/>
    </row>
    <row r="236" spans="1:11">
      <c r="A236" s="319"/>
      <c r="B236" s="300"/>
      <c r="C236" s="300"/>
      <c r="D236" s="300"/>
      <c r="E236" s="300"/>
      <c r="F236" s="300"/>
      <c r="G236" s="300"/>
      <c r="H236" s="320"/>
    </row>
    <row r="237" spans="1:11">
      <c r="A237" s="319"/>
      <c r="B237" s="543" t="str">
        <f t="array" ref="B237">B203</f>
        <v>Densidad del agua de mar (ρmar) =</v>
      </c>
      <c r="C237" s="543"/>
      <c r="D237" s="543"/>
      <c r="E237" s="347">
        <f>E203</f>
        <v>1024</v>
      </c>
      <c r="F237" s="300"/>
      <c r="G237" s="300"/>
      <c r="H237" s="320"/>
    </row>
    <row r="238" spans="1:11">
      <c r="A238" s="319"/>
      <c r="B238" s="543" t="str">
        <f t="array" ref="B238">B204</f>
        <v>Densidad del agua dulce (ρdulce) =</v>
      </c>
      <c r="C238" s="543"/>
      <c r="D238" s="543"/>
      <c r="E238" s="347">
        <f>E204</f>
        <v>1000</v>
      </c>
      <c r="F238" s="300"/>
      <c r="G238" s="300"/>
      <c r="H238" s="320"/>
    </row>
    <row r="239" spans="1:11">
      <c r="A239" s="319"/>
      <c r="B239" s="543" t="str">
        <f t="array" ref="B239">B205</f>
        <v>Aceleración de la gravedad (g) =</v>
      </c>
      <c r="C239" s="543"/>
      <c r="D239" s="543"/>
      <c r="E239" s="347">
        <f>E205</f>
        <v>9.81</v>
      </c>
      <c r="F239" s="300"/>
      <c r="G239" s="300"/>
      <c r="H239" s="320"/>
    </row>
    <row r="240" spans="1:11">
      <c r="A240" s="319"/>
      <c r="B240" s="543" t="s">
        <v>959</v>
      </c>
      <c r="C240" s="543"/>
      <c r="D240" s="543"/>
      <c r="E240" s="198">
        <f>C134</f>
        <v>32</v>
      </c>
      <c r="F240" s="300"/>
      <c r="G240" s="300"/>
      <c r="H240" s="320"/>
    </row>
    <row r="241" spans="1:8">
      <c r="A241" s="319"/>
      <c r="B241" s="661" t="str">
        <f>B185</f>
        <v>CD</v>
      </c>
      <c r="C241" s="661"/>
      <c r="D241" s="661"/>
      <c r="E241" s="198">
        <f>D185</f>
        <v>0.71</v>
      </c>
      <c r="F241" s="300"/>
      <c r="G241" s="300"/>
      <c r="H241" s="320"/>
    </row>
    <row r="242" spans="1:8">
      <c r="A242" s="319"/>
      <c r="B242" s="661" t="str">
        <f>B186</f>
        <v>CL</v>
      </c>
      <c r="C242" s="661"/>
      <c r="D242" s="661"/>
      <c r="E242" s="198">
        <f>D186</f>
        <v>0.93</v>
      </c>
      <c r="F242" s="300"/>
      <c r="G242" s="300"/>
      <c r="H242" s="320"/>
    </row>
    <row r="243" spans="1:8">
      <c r="A243" s="319"/>
      <c r="B243" s="543" t="str">
        <f ca="1">B120</f>
        <v>Largo</v>
      </c>
      <c r="C243" s="543"/>
      <c r="D243" s="543"/>
      <c r="E243" s="198">
        <f>D120</f>
        <v>1.9</v>
      </c>
      <c r="F243" s="300"/>
      <c r="G243" s="300"/>
      <c r="H243" s="320"/>
    </row>
    <row r="244" spans="1:8">
      <c r="A244" s="319"/>
      <c r="B244" s="543" t="str">
        <f ca="1">B122</f>
        <v>Area Proyectada</v>
      </c>
      <c r="C244" s="543"/>
      <c r="D244" s="543"/>
      <c r="E244" s="198">
        <f>D122</f>
        <v>1.8049999999999999</v>
      </c>
      <c r="F244" s="300"/>
      <c r="G244" s="300"/>
      <c r="H244" s="320"/>
    </row>
    <row r="245" spans="1:8">
      <c r="A245" s="319"/>
      <c r="B245" s="543" t="str">
        <f>'Portones y aparejamiento'!C21</f>
        <v>1/2ϕ=</v>
      </c>
      <c r="C245" s="543"/>
      <c r="D245" s="543"/>
      <c r="E245" s="198">
        <f>D21</f>
        <v>4.3012223046703628</v>
      </c>
      <c r="F245" s="300"/>
      <c r="G245" s="300"/>
      <c r="H245" s="320"/>
    </row>
    <row r="246" spans="1:8">
      <c r="A246" s="319"/>
      <c r="B246" s="543" t="str">
        <f>'Cables de Remolque'!D29</f>
        <v>δ3=</v>
      </c>
      <c r="C246" s="543"/>
      <c r="D246" s="543"/>
      <c r="E246" s="198">
        <f>'Cables de Remolque'!E29</f>
        <v>12.296757829537629</v>
      </c>
      <c r="F246" s="300"/>
      <c r="G246" s="300"/>
      <c r="H246" s="320"/>
    </row>
    <row r="247" spans="1:8">
      <c r="A247" s="319"/>
      <c r="B247" s="300"/>
      <c r="C247" s="300"/>
      <c r="D247" s="300"/>
      <c r="E247" s="300"/>
      <c r="F247" s="300"/>
      <c r="G247" s="300"/>
      <c r="H247" s="320"/>
    </row>
    <row r="248" spans="1:8">
      <c r="A248" s="319"/>
      <c r="B248" s="300"/>
      <c r="C248" s="300"/>
      <c r="D248" s="300"/>
      <c r="E248" s="300"/>
      <c r="F248" s="300"/>
      <c r="G248" s="300"/>
      <c r="H248" s="320"/>
    </row>
    <row r="249" spans="1:8">
      <c r="A249" s="319"/>
      <c r="B249" s="300"/>
      <c r="C249" s="300"/>
      <c r="D249" s="300"/>
      <c r="E249" s="300"/>
      <c r="F249" s="300"/>
      <c r="G249" s="300"/>
      <c r="H249" s="320"/>
    </row>
    <row r="250" spans="1:8">
      <c r="A250" s="319"/>
      <c r="B250" s="347" t="str">
        <f>B221</f>
        <v>Velocidad</v>
      </c>
      <c r="C250" s="347"/>
      <c r="D250" s="347" t="s">
        <v>960</v>
      </c>
      <c r="E250" s="300"/>
      <c r="F250" s="300"/>
      <c r="G250" s="300"/>
      <c r="H250" s="320"/>
    </row>
    <row r="251" spans="1:8">
      <c r="A251" s="319"/>
      <c r="B251" s="347" t="str">
        <f t="shared" ref="B251:C260" si="23">B222</f>
        <v>Nudos</v>
      </c>
      <c r="C251" s="347" t="str">
        <f t="shared" si="23"/>
        <v>[m/s]</v>
      </c>
      <c r="D251" s="347" t="s">
        <v>55</v>
      </c>
      <c r="E251" s="300"/>
      <c r="F251" s="300"/>
      <c r="G251" s="300"/>
      <c r="H251" s="320"/>
    </row>
    <row r="252" spans="1:8">
      <c r="A252" s="319"/>
      <c r="B252" s="347">
        <f t="shared" si="23"/>
        <v>1</v>
      </c>
      <c r="C252" s="197">
        <f t="shared" si="23"/>
        <v>0.51439999999999997</v>
      </c>
      <c r="D252" s="198">
        <f>0.5*$E$241*($E$237/$E$239)*(C252^2)*$E$244*((2*SIN(RADIANS($E$240)))/(1+(SIN($E$240))^2))</f>
        <v>14.383903690795911</v>
      </c>
      <c r="E252" s="300"/>
      <c r="F252" s="300"/>
      <c r="G252" s="300"/>
      <c r="H252" s="320"/>
    </row>
    <row r="253" spans="1:8">
      <c r="A253" s="319"/>
      <c r="B253" s="347">
        <f t="shared" si="23"/>
        <v>1.5</v>
      </c>
      <c r="C253" s="197">
        <f t="shared" si="23"/>
        <v>0.77159999999999995</v>
      </c>
      <c r="D253" s="198">
        <f t="shared" ref="D253:D260" si="24">0.5*$E$241*($E$237/$E$239)*(C253^2)*$E$244*((2*SIN(RADIANS($E$240)))/(1+(SIN($E$240))^2))</f>
        <v>32.363783304290799</v>
      </c>
      <c r="E253" s="300"/>
      <c r="F253" s="300"/>
      <c r="G253" s="300"/>
      <c r="H253" s="320"/>
    </row>
    <row r="254" spans="1:8">
      <c r="A254" s="319"/>
      <c r="B254" s="347">
        <f t="shared" si="23"/>
        <v>2</v>
      </c>
      <c r="C254" s="197">
        <f t="shared" si="23"/>
        <v>1.0287999999999999</v>
      </c>
      <c r="D254" s="198">
        <f t="shared" si="24"/>
        <v>57.535614763183645</v>
      </c>
      <c r="E254" s="300"/>
      <c r="F254" s="300"/>
      <c r="G254" s="300"/>
      <c r="H254" s="320"/>
    </row>
    <row r="255" spans="1:8">
      <c r="A255" s="319"/>
      <c r="B255" s="347">
        <f t="shared" si="23"/>
        <v>2.5</v>
      </c>
      <c r="C255" s="197">
        <f t="shared" si="23"/>
        <v>1.286</v>
      </c>
      <c r="D255" s="198">
        <f t="shared" si="24"/>
        <v>89.899398067474465</v>
      </c>
      <c r="E255" s="300"/>
      <c r="F255" s="300"/>
      <c r="G255" s="300"/>
      <c r="H255" s="320"/>
    </row>
    <row r="256" spans="1:8">
      <c r="A256" s="319"/>
      <c r="B256" s="347">
        <f t="shared" si="23"/>
        <v>3</v>
      </c>
      <c r="C256" s="197">
        <f t="shared" si="23"/>
        <v>1.5432000000000001</v>
      </c>
      <c r="D256" s="198">
        <f t="shared" si="24"/>
        <v>129.45513321716322</v>
      </c>
      <c r="E256" s="300"/>
      <c r="F256" s="300"/>
      <c r="G256" s="300"/>
      <c r="H256" s="320"/>
    </row>
    <row r="257" spans="1:8">
      <c r="A257" s="319"/>
      <c r="B257" s="347">
        <f t="shared" si="23"/>
        <v>3.5</v>
      </c>
      <c r="C257" s="197">
        <f t="shared" si="23"/>
        <v>1.8004</v>
      </c>
      <c r="D257" s="198">
        <f t="shared" si="24"/>
        <v>176.20282021224992</v>
      </c>
      <c r="E257" s="300"/>
      <c r="F257" s="300"/>
      <c r="G257" s="300"/>
      <c r="H257" s="320"/>
    </row>
    <row r="258" spans="1:8">
      <c r="A258" s="319"/>
      <c r="B258" s="347">
        <f t="shared" si="23"/>
        <v>4</v>
      </c>
      <c r="C258" s="197">
        <f t="shared" si="23"/>
        <v>2.0575999999999999</v>
      </c>
      <c r="D258" s="198">
        <f t="shared" si="24"/>
        <v>230.14245905273458</v>
      </c>
      <c r="E258" s="300"/>
      <c r="F258" s="300"/>
      <c r="G258" s="300"/>
      <c r="H258" s="320"/>
    </row>
    <row r="259" spans="1:8">
      <c r="A259" s="319"/>
      <c r="B259" s="347">
        <f t="shared" si="23"/>
        <v>4.5</v>
      </c>
      <c r="C259" s="197">
        <f t="shared" si="23"/>
        <v>2.3148</v>
      </c>
      <c r="D259" s="198">
        <f t="shared" si="24"/>
        <v>291.27404973861724</v>
      </c>
      <c r="E259" s="300"/>
      <c r="F259" s="300"/>
      <c r="G259" s="300"/>
      <c r="H259" s="320"/>
    </row>
    <row r="260" spans="1:8">
      <c r="A260" s="319"/>
      <c r="B260" s="347">
        <f t="shared" si="23"/>
        <v>5</v>
      </c>
      <c r="C260" s="197">
        <f t="shared" si="23"/>
        <v>2.5720000000000001</v>
      </c>
      <c r="D260" s="198">
        <f t="shared" si="24"/>
        <v>359.59759226989786</v>
      </c>
      <c r="E260" s="300"/>
      <c r="F260" s="300"/>
      <c r="G260" s="300"/>
      <c r="H260" s="320"/>
    </row>
    <row r="261" spans="1:8" ht="15.75" thickBot="1">
      <c r="A261" s="321"/>
      <c r="B261" s="322"/>
      <c r="C261" s="322"/>
      <c r="D261" s="322"/>
      <c r="E261" s="322"/>
      <c r="F261" s="322"/>
      <c r="G261" s="322"/>
      <c r="H261" s="323"/>
    </row>
    <row r="263" spans="1:8" ht="15.75" thickBot="1"/>
    <row r="264" spans="1:8" ht="21">
      <c r="A264" s="539" t="s">
        <v>968</v>
      </c>
      <c r="B264" s="540"/>
      <c r="C264" s="540"/>
      <c r="D264" s="540"/>
      <c r="E264" s="540"/>
      <c r="F264" s="540"/>
      <c r="G264" s="660"/>
    </row>
    <row r="265" spans="1:8" ht="15.75" thickBot="1">
      <c r="A265" s="319"/>
      <c r="B265" s="300"/>
      <c r="C265" s="300"/>
      <c r="D265" s="300"/>
      <c r="E265" s="300"/>
      <c r="F265" s="300"/>
      <c r="G265" s="320"/>
    </row>
    <row r="266" spans="1:8" ht="15.75" thickBot="1">
      <c r="A266" s="319"/>
      <c r="B266" s="379" t="s">
        <v>961</v>
      </c>
      <c r="C266" s="381">
        <f>(3/4)*((COS(RADIANS(E240))/(4+PI()*SIN(RADIANS(E240)))))*E243</f>
        <v>0.21332978579769771</v>
      </c>
      <c r="D266" s="382" t="s">
        <v>560</v>
      </c>
      <c r="E266" s="300"/>
      <c r="F266" s="300"/>
      <c r="G266" s="320"/>
    </row>
    <row r="267" spans="1:8">
      <c r="A267" s="319"/>
      <c r="B267" s="300"/>
      <c r="C267" s="300"/>
      <c r="D267" s="300"/>
      <c r="E267" s="300"/>
      <c r="F267" s="300"/>
      <c r="G267" s="320"/>
    </row>
    <row r="268" spans="1:8">
      <c r="A268" s="319"/>
      <c r="B268" s="300"/>
      <c r="C268" s="300"/>
      <c r="D268" s="300"/>
      <c r="E268" s="300"/>
      <c r="F268" s="300"/>
      <c r="G268" s="320"/>
    </row>
    <row r="269" spans="1:8">
      <c r="A269" s="319"/>
      <c r="B269" s="347" t="s">
        <v>962</v>
      </c>
      <c r="C269" s="347">
        <f>(0.8*E243)/4</f>
        <v>0.38</v>
      </c>
      <c r="D269" s="347" t="s">
        <v>560</v>
      </c>
      <c r="E269" s="300"/>
      <c r="F269" s="300"/>
      <c r="G269" s="320"/>
    </row>
    <row r="270" spans="1:8">
      <c r="A270" s="319"/>
      <c r="B270" s="347" t="s">
        <v>963</v>
      </c>
      <c r="C270" s="347">
        <f>E243/4</f>
        <v>0.47499999999999998</v>
      </c>
      <c r="D270" s="347" t="s">
        <v>560</v>
      </c>
      <c r="E270" s="300"/>
      <c r="F270" s="300"/>
      <c r="G270" s="320"/>
    </row>
    <row r="271" spans="1:8" ht="15.75" thickBot="1">
      <c r="A271" s="321"/>
      <c r="B271" s="322"/>
      <c r="C271" s="322"/>
      <c r="D271" s="322"/>
      <c r="E271" s="322"/>
      <c r="F271" s="322"/>
      <c r="G271" s="323"/>
    </row>
    <row r="272" spans="1:8" ht="15.75" thickBot="1"/>
    <row r="273" spans="1:9" ht="26.25">
      <c r="A273" s="334"/>
      <c r="B273" s="659" t="s">
        <v>964</v>
      </c>
      <c r="C273" s="659"/>
      <c r="D273" s="659"/>
      <c r="E273" s="659"/>
      <c r="F273" s="659"/>
      <c r="G273" s="659"/>
      <c r="H273" s="384"/>
      <c r="I273" s="335"/>
    </row>
    <row r="274" spans="1:9">
      <c r="A274" s="319"/>
      <c r="B274" s="300"/>
      <c r="C274" s="300"/>
      <c r="D274" s="300"/>
      <c r="E274" s="300"/>
      <c r="F274" s="300"/>
      <c r="G274" s="300"/>
      <c r="H274" s="300"/>
      <c r="I274" s="320"/>
    </row>
    <row r="275" spans="1:9">
      <c r="A275" s="319"/>
      <c r="B275" s="300"/>
      <c r="C275" s="300"/>
      <c r="D275" s="300"/>
      <c r="E275" s="300"/>
      <c r="F275" s="300"/>
      <c r="G275" s="300"/>
      <c r="H275" s="300"/>
      <c r="I275" s="320"/>
    </row>
    <row r="276" spans="1:9">
      <c r="A276" s="319"/>
      <c r="B276" s="300"/>
      <c r="C276" s="300"/>
      <c r="D276" s="300"/>
      <c r="E276" s="300"/>
      <c r="F276" s="300"/>
      <c r="G276" s="300"/>
      <c r="H276" s="300"/>
      <c r="I276" s="320"/>
    </row>
    <row r="277" spans="1:9">
      <c r="A277" s="319"/>
      <c r="B277" s="300"/>
      <c r="C277" s="300"/>
      <c r="D277" s="300" t="s">
        <v>965</v>
      </c>
      <c r="E277" s="300">
        <v>3</v>
      </c>
      <c r="F277" s="300"/>
      <c r="G277" s="300"/>
      <c r="H277" s="300"/>
      <c r="I277" s="320"/>
    </row>
    <row r="278" spans="1:9">
      <c r="A278" s="319"/>
      <c r="B278" s="300"/>
      <c r="C278" s="300"/>
      <c r="D278" s="300"/>
      <c r="E278" s="300"/>
      <c r="F278" s="300"/>
      <c r="G278" s="300"/>
      <c r="H278" s="300"/>
      <c r="I278" s="320"/>
    </row>
    <row r="279" spans="1:9">
      <c r="A279" s="319"/>
      <c r="B279" s="347" t="str">
        <f>B250</f>
        <v>Velocidad</v>
      </c>
      <c r="C279" s="347">
        <f>C250</f>
        <v>0</v>
      </c>
      <c r="D279" s="347" t="str">
        <f>'Resistencia de la RED'!C212</f>
        <v>RN Estándar</v>
      </c>
      <c r="E279" s="347" t="str">
        <f>'Resistencia de la RED'!D212</f>
        <v>RN Modificada</v>
      </c>
      <c r="F279" s="347" t="str">
        <f>D250</f>
        <v>PØ=32°</v>
      </c>
      <c r="G279" s="347"/>
      <c r="H279" s="347"/>
      <c r="I279" s="320"/>
    </row>
    <row r="280" spans="1:9">
      <c r="A280" s="319"/>
      <c r="B280" s="347" t="str">
        <f t="shared" ref="B280:C289" si="25">B251</f>
        <v>Nudos</v>
      </c>
      <c r="C280" s="347" t="str">
        <f t="shared" si="25"/>
        <v>[m/s]</v>
      </c>
      <c r="D280" s="347" t="s">
        <v>55</v>
      </c>
      <c r="E280" s="347" t="s">
        <v>55</v>
      </c>
      <c r="F280" s="347" t="str">
        <f t="shared" ref="F280:F289" si="26">D251</f>
        <v>[Kgf]</v>
      </c>
      <c r="G280" s="526" t="s">
        <v>966</v>
      </c>
      <c r="H280" s="603"/>
      <c r="I280" s="320"/>
    </row>
    <row r="281" spans="1:9">
      <c r="A281" s="319" t="s">
        <v>967</v>
      </c>
      <c r="B281" s="347">
        <f t="shared" si="25"/>
        <v>1</v>
      </c>
      <c r="C281" s="198">
        <f t="shared" si="25"/>
        <v>0.51439999999999997</v>
      </c>
      <c r="D281" s="198">
        <f>'Resistencia de la RED'!C214*1000</f>
        <v>422.36322657644956</v>
      </c>
      <c r="E281" s="198">
        <f>'Resistencia de la RED'!D214*1000</f>
        <v>413.44914989192739</v>
      </c>
      <c r="F281" s="198">
        <f t="shared" si="26"/>
        <v>14.383903690795911</v>
      </c>
      <c r="G281" s="198">
        <f>F281*($C$266*100)</f>
        <v>306.85150932922056</v>
      </c>
      <c r="H281" s="198">
        <f>0.5*D281*$E$277</f>
        <v>633.54483986467437</v>
      </c>
      <c r="I281" s="320"/>
    </row>
    <row r="282" spans="1:9">
      <c r="A282" s="319"/>
      <c r="B282" s="347">
        <f t="shared" si="25"/>
        <v>1.5</v>
      </c>
      <c r="C282" s="198">
        <f t="shared" si="25"/>
        <v>0.77159999999999995</v>
      </c>
      <c r="D282" s="198">
        <f>'Resistencia de la RED'!C215*1000</f>
        <v>631.52956087214341</v>
      </c>
      <c r="E282" s="198">
        <f>'Resistencia de la RED'!D215*1000</f>
        <v>618.20097878939919</v>
      </c>
      <c r="F282" s="198">
        <f t="shared" si="26"/>
        <v>32.363783304290799</v>
      </c>
      <c r="G282" s="198">
        <f t="shared" ref="G282:G289" si="27">F282*($C$266*100)</f>
        <v>690.41589599074621</v>
      </c>
      <c r="H282" s="198">
        <f t="shared" ref="H282:H289" si="28">0.5*D282*$E$277</f>
        <v>947.29434130821505</v>
      </c>
      <c r="I282" s="320"/>
    </row>
    <row r="283" spans="1:9" ht="15.75" thickBot="1">
      <c r="A283" s="319"/>
      <c r="B283" s="347">
        <f t="shared" si="25"/>
        <v>2</v>
      </c>
      <c r="C283" s="198">
        <f t="shared" si="25"/>
        <v>1.0287999999999999</v>
      </c>
      <c r="D283" s="198">
        <f>'Resistencia de la RED'!C216*1000</f>
        <v>914.90100549547947</v>
      </c>
      <c r="E283" s="198">
        <f>'Resistencia de la RED'!D216*1000</f>
        <v>895.5918014536428</v>
      </c>
      <c r="F283" s="198">
        <f t="shared" si="26"/>
        <v>57.535614763183645</v>
      </c>
      <c r="G283" s="462">
        <f t="shared" si="27"/>
        <v>1227.4060373168822</v>
      </c>
      <c r="H283" s="462">
        <f t="shared" si="28"/>
        <v>1372.3515082432191</v>
      </c>
      <c r="I283" s="320"/>
    </row>
    <row r="284" spans="1:9" ht="15.75" thickBot="1">
      <c r="A284" s="319"/>
      <c r="B284" s="347">
        <f t="shared" si="25"/>
        <v>2.5</v>
      </c>
      <c r="C284" s="198">
        <f t="shared" si="25"/>
        <v>1.286</v>
      </c>
      <c r="D284" s="198">
        <f>'Resistencia de la RED'!C217*1000</f>
        <v>1266.3281776772249</v>
      </c>
      <c r="E284" s="198">
        <f>'Resistencia de la RED'!D217*1000</f>
        <v>1239.6020193061838</v>
      </c>
      <c r="F284" s="461">
        <f t="shared" si="26"/>
        <v>89.899398067474465</v>
      </c>
      <c r="G284" s="464">
        <f t="shared" si="27"/>
        <v>1917.8219333076288</v>
      </c>
      <c r="H284" s="465">
        <f t="shared" si="28"/>
        <v>1899.4922665158374</v>
      </c>
      <c r="I284" s="320"/>
    </row>
    <row r="285" spans="1:9">
      <c r="A285" s="319"/>
      <c r="B285" s="347">
        <f t="shared" si="25"/>
        <v>3</v>
      </c>
      <c r="C285" s="198">
        <f t="shared" si="25"/>
        <v>1.5432000000000001</v>
      </c>
      <c r="D285" s="198">
        <f>'Resistencia de la RED'!C218*1000</f>
        <v>1680.3228964186867</v>
      </c>
      <c r="E285" s="198">
        <f>'Resistencia de la RED'!D218*1000</f>
        <v>1644.8592807179402</v>
      </c>
      <c r="F285" s="198">
        <f t="shared" si="26"/>
        <v>129.45513321716322</v>
      </c>
      <c r="G285" s="463">
        <f t="shared" si="27"/>
        <v>2761.6635839629853</v>
      </c>
      <c r="H285" s="463">
        <f t="shared" si="28"/>
        <v>2520.4843446280302</v>
      </c>
      <c r="I285" s="320"/>
    </row>
    <row r="286" spans="1:9">
      <c r="A286" s="319"/>
      <c r="B286" s="347">
        <f t="shared" si="25"/>
        <v>3.5</v>
      </c>
      <c r="C286" s="198">
        <f t="shared" si="25"/>
        <v>1.8004</v>
      </c>
      <c r="D286" s="198">
        <f>'Resistencia de la RED'!C219*1000</f>
        <v>2151.9716405847998</v>
      </c>
      <c r="E286" s="198">
        <f>'Resistencia de la RED'!D219*1000</f>
        <v>2106.5537655899047</v>
      </c>
      <c r="F286" s="198">
        <f t="shared" si="26"/>
        <v>176.20282021224992</v>
      </c>
      <c r="G286" s="198">
        <f t="shared" si="27"/>
        <v>3758.9309892829519</v>
      </c>
      <c r="H286" s="198">
        <f t="shared" si="28"/>
        <v>3227.9574608772</v>
      </c>
      <c r="I286" s="320"/>
    </row>
    <row r="287" spans="1:9">
      <c r="A287" s="319"/>
      <c r="B287" s="347">
        <f t="shared" si="25"/>
        <v>4</v>
      </c>
      <c r="C287" s="198">
        <f t="shared" si="25"/>
        <v>2.0575999999999999</v>
      </c>
      <c r="D287" s="198">
        <f>'Resistencia de la RED'!C220*1000</f>
        <v>2676.8622527857369</v>
      </c>
      <c r="E287" s="198">
        <f>'Resistencia de la RED'!D220*1000</f>
        <v>2620.3664361668261</v>
      </c>
      <c r="F287" s="198">
        <f t="shared" si="26"/>
        <v>230.14245905273458</v>
      </c>
      <c r="G287" s="198">
        <f t="shared" si="27"/>
        <v>4909.624149267529</v>
      </c>
      <c r="H287" s="198">
        <f t="shared" si="28"/>
        <v>4015.2933791786054</v>
      </c>
      <c r="I287" s="320"/>
    </row>
    <row r="288" spans="1:9">
      <c r="A288" s="319"/>
      <c r="B288" s="347">
        <f>B259</f>
        <v>4.5</v>
      </c>
      <c r="C288" s="198">
        <f>C259</f>
        <v>2.3148</v>
      </c>
      <c r="D288" s="198">
        <f>'Resistencia de la RED'!C221*1000</f>
        <v>3251.0215826380531</v>
      </c>
      <c r="E288" s="198">
        <f>'Resistencia de la RED'!D221*1000</f>
        <v>3182.4079963522054</v>
      </c>
      <c r="F288" s="198">
        <f t="shared" si="26"/>
        <v>291.27404973861724</v>
      </c>
      <c r="G288" s="198">
        <f t="shared" si="27"/>
        <v>6213.7430639167169</v>
      </c>
      <c r="H288" s="198">
        <f t="shared" si="28"/>
        <v>4876.5323739570795</v>
      </c>
      <c r="I288" s="320"/>
    </row>
    <row r="289" spans="1:9">
      <c r="A289" s="319"/>
      <c r="B289" s="347">
        <f t="shared" si="25"/>
        <v>5</v>
      </c>
      <c r="C289" s="198">
        <f t="shared" si="25"/>
        <v>2.5720000000000001</v>
      </c>
      <c r="D289" s="198">
        <f>'Resistencia de la RED'!C222*1000</f>
        <v>3870.8622108292311</v>
      </c>
      <c r="E289" s="198">
        <f>'Resistencia de la RED'!D222*1000</f>
        <v>3789.1667401741761</v>
      </c>
      <c r="F289" s="198">
        <f t="shared" si="26"/>
        <v>359.59759226989786</v>
      </c>
      <c r="G289" s="198">
        <f t="shared" si="27"/>
        <v>7671.2877332305152</v>
      </c>
      <c r="H289" s="198">
        <f t="shared" si="28"/>
        <v>5806.2933162438467</v>
      </c>
      <c r="I289" s="320"/>
    </row>
    <row r="290" spans="1:9" ht="15.75" thickBot="1">
      <c r="A290" s="321"/>
      <c r="B290" s="322"/>
      <c r="C290" s="322"/>
      <c r="D290" s="322"/>
      <c r="E290" s="322"/>
      <c r="F290" s="322"/>
      <c r="G290" s="322"/>
      <c r="H290" s="322"/>
      <c r="I290" s="323"/>
    </row>
  </sheetData>
  <dataConsolidate>
    <dataRefs count="1">
      <dataRef ref="B75:F76" sheet="Portones y aparejamiento"/>
    </dataRefs>
  </dataConsolidate>
  <mergeCells count="95">
    <mergeCell ref="G280:H280"/>
    <mergeCell ref="A90:H90"/>
    <mergeCell ref="C97:D97"/>
    <mergeCell ref="B91:G91"/>
    <mergeCell ref="D131:F131"/>
    <mergeCell ref="B106:D106"/>
    <mergeCell ref="B107:D107"/>
    <mergeCell ref="F95:H95"/>
    <mergeCell ref="F97:H97"/>
    <mergeCell ref="A101:H101"/>
    <mergeCell ref="B103:D103"/>
    <mergeCell ref="B104:D104"/>
    <mergeCell ref="B105:D105"/>
    <mergeCell ref="B205:D205"/>
    <mergeCell ref="B206:D206"/>
    <mergeCell ref="A141:H141"/>
    <mergeCell ref="B201:G201"/>
    <mergeCell ref="A114:H114"/>
    <mergeCell ref="B116:F116"/>
    <mergeCell ref="B117:F117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A85:H85"/>
    <mergeCell ref="A33:H34"/>
    <mergeCell ref="B37:E37"/>
    <mergeCell ref="B38:E38"/>
    <mergeCell ref="B39:E39"/>
    <mergeCell ref="B60:D60"/>
    <mergeCell ref="B48:G48"/>
    <mergeCell ref="B54:G54"/>
    <mergeCell ref="B52:D52"/>
    <mergeCell ref="B56:E56"/>
    <mergeCell ref="A44:C44"/>
    <mergeCell ref="A45:C45"/>
    <mergeCell ref="A46:C46"/>
    <mergeCell ref="B77:D77"/>
    <mergeCell ref="B78:D78"/>
    <mergeCell ref="B79:D79"/>
    <mergeCell ref="B80:D80"/>
    <mergeCell ref="B81:D81"/>
    <mergeCell ref="A75:H75"/>
    <mergeCell ref="A63:D63"/>
    <mergeCell ref="E63:H63"/>
    <mergeCell ref="E65:G65"/>
    <mergeCell ref="E66:G66"/>
    <mergeCell ref="E71:F71"/>
    <mergeCell ref="A71:B71"/>
    <mergeCell ref="A1:H2"/>
    <mergeCell ref="A4:H4"/>
    <mergeCell ref="B6:C6"/>
    <mergeCell ref="B9:C9"/>
    <mergeCell ref="B13:D13"/>
    <mergeCell ref="F214:G214"/>
    <mergeCell ref="F215:G215"/>
    <mergeCell ref="F211:G211"/>
    <mergeCell ref="F212:G212"/>
    <mergeCell ref="B208:C208"/>
    <mergeCell ref="B15:G15"/>
    <mergeCell ref="B17:D17"/>
    <mergeCell ref="B24:G24"/>
    <mergeCell ref="B26:C26"/>
    <mergeCell ref="B27:C27"/>
    <mergeCell ref="B28:C28"/>
    <mergeCell ref="C30:E30"/>
    <mergeCell ref="B237:D237"/>
    <mergeCell ref="B238:D238"/>
    <mergeCell ref="A235:H235"/>
    <mergeCell ref="B204:D204"/>
    <mergeCell ref="B203:D203"/>
    <mergeCell ref="F229:G229"/>
    <mergeCell ref="F228:G228"/>
    <mergeCell ref="F225:G225"/>
    <mergeCell ref="F224:G224"/>
    <mergeCell ref="F219:G219"/>
    <mergeCell ref="F220:G220"/>
    <mergeCell ref="B184:C184"/>
    <mergeCell ref="B185:C185"/>
    <mergeCell ref="B186:C186"/>
    <mergeCell ref="B239:D239"/>
    <mergeCell ref="B240:D240"/>
    <mergeCell ref="B241:D241"/>
    <mergeCell ref="B242:D242"/>
    <mergeCell ref="B243:D243"/>
    <mergeCell ref="B244:D244"/>
    <mergeCell ref="B245:D245"/>
    <mergeCell ref="B246:D246"/>
    <mergeCell ref="B273:G273"/>
    <mergeCell ref="A264:G264"/>
  </mergeCells>
  <dataValidations count="3">
    <dataValidation type="list" allowBlank="1" showInputMessage="1" showErrorMessage="1" sqref="B117:F117">
      <formula1>prueba4</formula1>
    </dataValidation>
    <dataValidation type="list" allowBlank="1" showInputMessage="1" showErrorMessage="1" sqref="H65:H66">
      <formula1>angulopatentes</formula1>
    </dataValidation>
    <dataValidation type="list" allowBlank="1" showInputMessage="1" showErrorMessage="1" sqref="B68">
      <formula1>relaciondremiere</formula1>
    </dataValidation>
  </dataValidations>
  <pageMargins left="0.25" right="0.25" top="0.75" bottom="0.75" header="0.3" footer="0.3"/>
  <pageSetup orientation="portrait" horizontalDpi="0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46"/>
  <sheetViews>
    <sheetView workbookViewId="0">
      <selection activeCell="G243" sqref="G243"/>
    </sheetView>
  </sheetViews>
  <sheetFormatPr baseColWidth="10" defaultRowHeight="15"/>
  <cols>
    <col min="3" max="3" width="11.85546875" bestFit="1" customWidth="1"/>
    <col min="7" max="7" width="11.85546875" bestFit="1" customWidth="1"/>
  </cols>
  <sheetData>
    <row r="1" spans="1:14" ht="21.75" thickBot="1">
      <c r="A1" s="539" t="s">
        <v>722</v>
      </c>
      <c r="B1" s="540"/>
      <c r="C1" s="540"/>
      <c r="D1" s="540"/>
      <c r="E1" s="540"/>
      <c r="F1" s="540"/>
      <c r="G1" s="540"/>
      <c r="H1" s="540"/>
      <c r="I1" s="540"/>
      <c r="J1" s="540"/>
      <c r="K1" s="540"/>
      <c r="L1" s="540"/>
      <c r="M1" s="540"/>
      <c r="N1" s="660"/>
    </row>
    <row r="2" spans="1:14">
      <c r="A2" s="319"/>
      <c r="B2" s="300"/>
      <c r="E2" s="696" t="s">
        <v>723</v>
      </c>
      <c r="F2" s="665"/>
      <c r="G2" s="665"/>
      <c r="H2" s="665"/>
      <c r="I2" s="697"/>
      <c r="J2" s="300"/>
      <c r="K2" s="300"/>
      <c r="L2" s="300"/>
      <c r="M2" s="300"/>
      <c r="N2" s="320"/>
    </row>
    <row r="3" spans="1:14">
      <c r="A3" s="319"/>
      <c r="B3" s="300"/>
      <c r="E3" s="319"/>
      <c r="F3" s="300"/>
      <c r="G3" s="300"/>
      <c r="H3" s="300"/>
      <c r="I3" s="320"/>
      <c r="J3" s="300"/>
      <c r="K3" s="300"/>
      <c r="L3" s="300"/>
      <c r="M3" s="300"/>
      <c r="N3" s="320"/>
    </row>
    <row r="4" spans="1:14">
      <c r="A4" s="319"/>
      <c r="B4" s="300"/>
      <c r="E4" s="474" t="str">
        <f t="array" ref="E4">'Dimensiones de la Red'!B45:E45</f>
        <v>Lima, Relinga Superior (L)</v>
      </c>
      <c r="F4" s="474"/>
      <c r="G4" s="474"/>
      <c r="H4" s="347">
        <f>Lima</f>
        <v>28.698</v>
      </c>
      <c r="I4" s="320" t="s">
        <v>560</v>
      </c>
      <c r="J4" s="300"/>
      <c r="K4" s="300"/>
      <c r="L4" s="300"/>
      <c r="M4" s="300"/>
      <c r="N4" s="320"/>
    </row>
    <row r="5" spans="1:14">
      <c r="A5" s="319"/>
      <c r="B5" s="300"/>
      <c r="E5" s="319"/>
      <c r="F5" s="300"/>
      <c r="G5" s="300"/>
      <c r="H5" s="300"/>
      <c r="I5" s="320"/>
      <c r="J5" s="300"/>
      <c r="K5" s="300"/>
      <c r="L5" s="300"/>
      <c r="M5" s="300"/>
      <c r="N5" s="320"/>
    </row>
    <row r="6" spans="1:14">
      <c r="A6" s="319"/>
      <c r="B6" s="300"/>
      <c r="E6" s="347" t="s">
        <v>730</v>
      </c>
      <c r="F6" s="313">
        <f>1.11*H4-6.81</f>
        <v>25.044780000000003</v>
      </c>
      <c r="G6" s="300" t="s">
        <v>55</v>
      </c>
      <c r="H6" s="300"/>
      <c r="I6" s="320"/>
      <c r="J6" s="300"/>
      <c r="K6" s="300"/>
      <c r="L6" s="300"/>
      <c r="M6" s="300"/>
      <c r="N6" s="320"/>
    </row>
    <row r="7" spans="1:14" ht="15.75" thickBot="1">
      <c r="A7" s="319"/>
      <c r="B7" s="300"/>
      <c r="E7" s="321"/>
      <c r="F7" s="322"/>
      <c r="G7" s="322"/>
      <c r="H7" s="322"/>
      <c r="I7" s="323"/>
      <c r="J7" s="300"/>
      <c r="K7" s="300"/>
      <c r="L7" s="300"/>
      <c r="M7" s="300"/>
      <c r="N7" s="320"/>
    </row>
    <row r="8" spans="1:14">
      <c r="A8" s="319"/>
      <c r="B8" s="300"/>
      <c r="C8" s="300"/>
      <c r="D8" s="300"/>
      <c r="E8" s="300"/>
      <c r="F8" s="300"/>
      <c r="G8" s="300"/>
      <c r="H8" s="300"/>
      <c r="I8" s="300"/>
      <c r="J8" s="300"/>
      <c r="K8" s="300"/>
      <c r="L8" s="300"/>
      <c r="M8" s="300"/>
      <c r="N8" s="320"/>
    </row>
    <row r="9" spans="1:14" ht="15.75" thickBot="1">
      <c r="A9" s="319"/>
      <c r="B9" s="300"/>
      <c r="H9" s="300"/>
      <c r="I9" s="300"/>
      <c r="J9" s="300"/>
      <c r="K9" s="300"/>
      <c r="L9" s="300"/>
      <c r="M9" s="300"/>
      <c r="N9" s="320"/>
    </row>
    <row r="10" spans="1:14">
      <c r="A10" s="319"/>
      <c r="B10" s="300"/>
      <c r="E10" s="696" t="s">
        <v>731</v>
      </c>
      <c r="F10" s="665"/>
      <c r="G10" s="665"/>
      <c r="H10" s="665"/>
      <c r="I10" s="697"/>
      <c r="J10" s="346"/>
      <c r="K10" s="346"/>
      <c r="L10" s="300"/>
      <c r="M10" s="300"/>
      <c r="N10" s="320"/>
    </row>
    <row r="11" spans="1:14">
      <c r="A11" s="319"/>
      <c r="B11" s="300"/>
      <c r="E11" s="354" t="s">
        <v>736</v>
      </c>
      <c r="F11" s="300"/>
      <c r="G11" s="300"/>
      <c r="H11" s="300"/>
      <c r="I11" s="320"/>
      <c r="J11" s="389"/>
      <c r="K11" s="300"/>
      <c r="L11" s="300"/>
      <c r="M11" s="300"/>
      <c r="N11" s="320"/>
    </row>
    <row r="12" spans="1:14">
      <c r="A12" s="319"/>
      <c r="B12" s="300"/>
      <c r="E12" s="354" t="str">
        <f t="array" ref="E12">'Potencia Disponible Arrastre OK'!A7:G7</f>
        <v>150 HP</v>
      </c>
      <c r="F12" s="300"/>
      <c r="G12" s="300"/>
      <c r="H12" s="474" t="s">
        <v>732</v>
      </c>
      <c r="I12" s="538"/>
      <c r="J12" s="300"/>
      <c r="K12" s="300"/>
      <c r="L12" s="300"/>
      <c r="M12" s="300"/>
      <c r="N12" s="320"/>
    </row>
    <row r="13" spans="1:14">
      <c r="A13" s="319"/>
      <c r="B13" s="300"/>
      <c r="E13" s="354" t="str">
        <f t="array" ref="E13">'Potencia Disponible Arrastre OK'!A19:G19</f>
        <v>180 HP</v>
      </c>
      <c r="F13" s="300"/>
      <c r="G13" s="300"/>
      <c r="H13" s="347" t="s">
        <v>733</v>
      </c>
      <c r="I13" s="339" t="s">
        <v>62</v>
      </c>
      <c r="J13" s="300"/>
      <c r="K13" s="300"/>
      <c r="L13" s="300"/>
      <c r="M13" s="300"/>
      <c r="N13" s="320"/>
    </row>
    <row r="14" spans="1:14">
      <c r="A14" s="319"/>
      <c r="B14" s="300"/>
      <c r="E14" s="319"/>
      <c r="F14" s="300"/>
      <c r="G14" s="300"/>
      <c r="H14" s="347" t="s">
        <v>734</v>
      </c>
      <c r="I14" s="339">
        <v>0.2</v>
      </c>
      <c r="J14" s="300"/>
      <c r="K14" s="300"/>
      <c r="L14" s="300"/>
      <c r="M14" s="300"/>
      <c r="N14" s="320"/>
    </row>
    <row r="15" spans="1:14">
      <c r="A15" s="319"/>
      <c r="B15" s="300"/>
      <c r="E15" s="319"/>
      <c r="F15" s="300"/>
      <c r="G15" s="300"/>
      <c r="H15" s="347" t="s">
        <v>735</v>
      </c>
      <c r="I15" s="339">
        <v>0.18</v>
      </c>
      <c r="J15" s="300"/>
      <c r="K15" s="300"/>
      <c r="L15" s="300"/>
      <c r="M15" s="300"/>
      <c r="N15" s="320"/>
    </row>
    <row r="16" spans="1:14">
      <c r="A16" s="319"/>
      <c r="B16" s="300"/>
      <c r="E16" s="354"/>
      <c r="F16" s="347" t="str">
        <f>E12</f>
        <v>150 HP</v>
      </c>
      <c r="G16" s="347" t="str">
        <f>E13</f>
        <v>180 HP</v>
      </c>
      <c r="H16" s="300"/>
      <c r="I16" s="320"/>
      <c r="J16" s="300"/>
      <c r="K16" s="300"/>
      <c r="L16" s="300"/>
      <c r="M16" s="300"/>
      <c r="N16" s="320"/>
    </row>
    <row r="17" spans="1:14">
      <c r="A17" s="319"/>
      <c r="B17" s="300"/>
      <c r="E17" s="354" t="s">
        <v>730</v>
      </c>
      <c r="F17" s="347">
        <f>I14*MID(F16,1,3)</f>
        <v>30</v>
      </c>
      <c r="G17" s="347">
        <f>I14*MID(G16,1,3)</f>
        <v>36</v>
      </c>
      <c r="H17" s="300"/>
      <c r="I17" s="320"/>
      <c r="J17" s="300"/>
      <c r="K17" s="300"/>
      <c r="L17" s="300"/>
      <c r="M17" s="300"/>
      <c r="N17" s="320"/>
    </row>
    <row r="18" spans="1:14" ht="15.75" thickBot="1">
      <c r="A18" s="319"/>
      <c r="B18" s="300"/>
      <c r="C18" s="300"/>
      <c r="D18" s="300"/>
      <c r="E18" s="321"/>
      <c r="F18" s="322"/>
      <c r="G18" s="322"/>
      <c r="H18" s="322"/>
      <c r="I18" s="323"/>
      <c r="J18" s="300"/>
      <c r="K18" s="300"/>
      <c r="L18" s="300"/>
      <c r="M18" s="300"/>
      <c r="N18" s="320"/>
    </row>
    <row r="19" spans="1:14" ht="21">
      <c r="A19" s="738" t="s">
        <v>737</v>
      </c>
      <c r="B19" s="709"/>
      <c r="C19" s="709"/>
      <c r="D19" s="709"/>
      <c r="E19" s="709"/>
      <c r="F19" s="709"/>
      <c r="G19" s="709"/>
      <c r="H19" s="709"/>
      <c r="I19" s="709"/>
      <c r="J19" s="709"/>
      <c r="K19" s="709"/>
      <c r="L19" s="709"/>
      <c r="M19" s="709"/>
      <c r="N19" s="710"/>
    </row>
    <row r="20" spans="1:14">
      <c r="A20" s="319"/>
      <c r="B20" s="300"/>
      <c r="C20" s="300"/>
      <c r="D20" s="300"/>
      <c r="E20" s="300"/>
      <c r="F20" s="300"/>
      <c r="G20" s="300"/>
      <c r="H20" s="300"/>
      <c r="I20" s="300"/>
      <c r="J20" s="300"/>
      <c r="K20" s="300"/>
      <c r="L20" s="300"/>
      <c r="M20" s="300"/>
      <c r="N20" s="320"/>
    </row>
    <row r="21" spans="1:14">
      <c r="A21" s="319"/>
      <c r="B21" s="300"/>
      <c r="C21" s="300"/>
      <c r="D21" s="300"/>
      <c r="E21" s="300"/>
      <c r="F21" s="300"/>
      <c r="G21" s="300"/>
      <c r="H21" s="300"/>
      <c r="I21" s="300"/>
      <c r="J21" s="300"/>
      <c r="K21" s="300"/>
      <c r="L21" s="300"/>
      <c r="M21" s="300"/>
      <c r="N21" s="320"/>
    </row>
    <row r="22" spans="1:14" ht="15.75" thickBot="1">
      <c r="A22" s="319"/>
      <c r="B22" s="739" t="str">
        <f>'Portones y aparejamiento'!B39:E39</f>
        <v>Angulo entre la brida Superior e Inferior (α)</v>
      </c>
      <c r="C22" s="739"/>
      <c r="D22" s="739"/>
      <c r="E22" s="739"/>
      <c r="F22" s="205">
        <f>'Portones y aparejamiento'!F39</f>
        <v>4.8</v>
      </c>
      <c r="G22" s="300"/>
      <c r="H22" s="300"/>
      <c r="I22" s="300"/>
      <c r="J22" s="300"/>
      <c r="K22" s="300"/>
      <c r="L22" s="300"/>
      <c r="M22" s="300"/>
      <c r="N22" s="320"/>
    </row>
    <row r="23" spans="1:14" ht="15.75" thickBot="1">
      <c r="A23" s="319"/>
      <c r="B23" s="740" t="s">
        <v>600</v>
      </c>
      <c r="C23" s="741"/>
      <c r="D23" s="741"/>
      <c r="E23" s="741"/>
      <c r="F23" s="360">
        <f>DEGREES(ATAN((F24/2)/F25))</f>
        <v>3.1898134536754732</v>
      </c>
      <c r="G23" s="300"/>
      <c r="H23" s="300"/>
      <c r="I23" s="300"/>
      <c r="J23" s="300"/>
      <c r="K23" s="300"/>
      <c r="L23" s="300"/>
      <c r="M23" s="300"/>
      <c r="N23" s="320"/>
    </row>
    <row r="24" spans="1:14">
      <c r="A24" s="319"/>
      <c r="B24" s="742" t="str">
        <f t="array" ref="B24">'Dimensiones de la Red'!B60:E60</f>
        <v>Abertura Vertical (AV) [m]</v>
      </c>
      <c r="C24" s="742"/>
      <c r="D24" s="742"/>
      <c r="E24" s="742"/>
      <c r="F24" s="356">
        <f>'Dimensiones de la Red'!F60</f>
        <v>1.9840000000000002</v>
      </c>
      <c r="G24" s="300"/>
      <c r="H24" s="300"/>
      <c r="I24" s="300"/>
      <c r="J24" s="300"/>
      <c r="K24" s="300"/>
      <c r="L24" s="300"/>
      <c r="M24" s="300"/>
      <c r="N24" s="320"/>
    </row>
    <row r="25" spans="1:14">
      <c r="A25" s="319"/>
      <c r="B25" s="737" t="str">
        <f t="array" ref="B25">'Dimensiones de la Red'!C103</f>
        <v>LCUERPO=</v>
      </c>
      <c r="C25" s="737"/>
      <c r="D25" s="737"/>
      <c r="E25" s="737"/>
      <c r="F25" s="347">
        <f>'Dimensiones de la Red'!D103</f>
        <v>17.8</v>
      </c>
      <c r="G25" s="300"/>
      <c r="H25" s="300"/>
      <c r="I25" s="300"/>
      <c r="J25" s="300"/>
      <c r="K25" s="300"/>
      <c r="L25" s="300"/>
      <c r="M25" s="300"/>
      <c r="N25" s="320"/>
    </row>
    <row r="26" spans="1:14">
      <c r="A26" s="319"/>
      <c r="B26" s="737" t="str">
        <f t="array" ref="B26">'Dimensiones de la Red'!B48:E48</f>
        <v>Largo total (dorso) sin la bolsa  [m]</v>
      </c>
      <c r="C26" s="737"/>
      <c r="D26" s="737"/>
      <c r="E26" s="737"/>
      <c r="F26" s="347">
        <f t="array" ref="F26">Largototal</f>
        <v>32.68</v>
      </c>
      <c r="G26" s="300"/>
      <c r="H26" s="300"/>
      <c r="I26" s="300"/>
      <c r="J26" s="300"/>
      <c r="K26" s="300"/>
      <c r="L26" s="300"/>
      <c r="M26" s="300"/>
      <c r="N26" s="320"/>
    </row>
    <row r="27" spans="1:14">
      <c r="A27" s="319"/>
      <c r="B27" s="737" t="str">
        <f>'Dimensiones de la Red'!B140</f>
        <v>L ala=</v>
      </c>
      <c r="C27" s="737"/>
      <c r="D27" s="737"/>
      <c r="E27" s="737"/>
      <c r="F27" s="347">
        <f>'Dimensiones de la Red'!C140</f>
        <v>12.48</v>
      </c>
      <c r="G27" s="300"/>
      <c r="H27" s="300"/>
      <c r="I27" s="300"/>
      <c r="J27" s="300"/>
      <c r="K27" s="300"/>
      <c r="L27" s="300"/>
      <c r="M27" s="300"/>
      <c r="N27" s="320"/>
    </row>
    <row r="28" spans="1:14">
      <c r="A28" s="319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20"/>
    </row>
    <row r="29" spans="1:14">
      <c r="A29" s="319"/>
      <c r="B29" s="361"/>
      <c r="C29" s="671" t="s">
        <v>738</v>
      </c>
      <c r="D29" s="671"/>
      <c r="E29" s="671"/>
      <c r="F29" s="671"/>
      <c r="G29" s="672"/>
      <c r="H29" s="300"/>
      <c r="I29" s="300"/>
      <c r="J29" s="300"/>
      <c r="K29" s="300"/>
      <c r="L29" s="300"/>
      <c r="M29" s="300"/>
      <c r="N29" s="320"/>
    </row>
    <row r="30" spans="1:14">
      <c r="A30" s="319"/>
      <c r="B30" s="249"/>
      <c r="C30" s="300"/>
      <c r="D30" s="300"/>
      <c r="E30" s="300"/>
      <c r="F30" s="300"/>
      <c r="G30" s="311"/>
      <c r="H30" s="300"/>
      <c r="I30" s="300"/>
      <c r="J30" s="300"/>
      <c r="K30" s="300"/>
      <c r="L30" s="300"/>
      <c r="M30" s="300"/>
      <c r="N30" s="320"/>
    </row>
    <row r="31" spans="1:14">
      <c r="A31" s="319"/>
      <c r="B31" s="543" t="str">
        <f>E4</f>
        <v>Lima, Relinga Superior (L)</v>
      </c>
      <c r="C31" s="543"/>
      <c r="D31" s="543"/>
      <c r="E31" s="543"/>
      <c r="F31" s="474">
        <f>H4</f>
        <v>28.698</v>
      </c>
      <c r="G31" s="474"/>
      <c r="H31" s="300"/>
      <c r="I31" s="300"/>
      <c r="J31" s="300"/>
      <c r="K31" s="300"/>
      <c r="L31" s="300"/>
      <c r="M31" s="300"/>
      <c r="N31" s="320"/>
    </row>
    <row r="32" spans="1:14">
      <c r="A32" s="319"/>
      <c r="B32" s="543" t="s">
        <v>747</v>
      </c>
      <c r="C32" s="543"/>
      <c r="D32" s="543"/>
      <c r="E32" s="543"/>
      <c r="F32" s="474">
        <f>'Cables Y Cabulleria'!I3</f>
        <v>12</v>
      </c>
      <c r="G32" s="474"/>
      <c r="H32" s="300"/>
      <c r="I32" s="300"/>
      <c r="J32" s="300"/>
      <c r="K32" s="300"/>
      <c r="L32" s="300"/>
      <c r="M32" s="300"/>
      <c r="N32" s="320"/>
    </row>
    <row r="33" spans="1:14">
      <c r="A33" s="319"/>
      <c r="B33" s="543" t="str">
        <f>'Tablas de Referencias'!B292</f>
        <v>Material</v>
      </c>
      <c r="C33" s="543"/>
      <c r="D33" s="543"/>
      <c r="E33" s="543"/>
      <c r="F33" s="743" t="str">
        <f>resulmat</f>
        <v>COMBINADO 12 Acero6x24+7</v>
      </c>
      <c r="G33" s="743"/>
      <c r="H33" s="300"/>
      <c r="I33" s="300"/>
      <c r="J33" s="300"/>
      <c r="K33" s="300"/>
      <c r="L33" s="300"/>
      <c r="M33" s="300"/>
      <c r="N33" s="320"/>
    </row>
    <row r="34" spans="1:14">
      <c r="A34" s="319"/>
      <c r="B34" s="543" t="str">
        <f>'Tablas de Referencias'!D292</f>
        <v>CONSTRUCCION</v>
      </c>
      <c r="C34" s="543"/>
      <c r="D34" s="543"/>
      <c r="E34" s="543"/>
      <c r="F34" s="743" t="str">
        <f>F33</f>
        <v>COMBINADO 12 Acero6x24+7</v>
      </c>
      <c r="G34" s="743"/>
      <c r="H34" s="300"/>
      <c r="I34" s="300"/>
      <c r="J34" s="300"/>
      <c r="K34" s="300"/>
      <c r="L34" s="300"/>
      <c r="M34" s="300"/>
      <c r="N34" s="320"/>
    </row>
    <row r="35" spans="1:14">
      <c r="A35" s="319"/>
      <c r="B35" s="543" t="str">
        <f>'Tablas de Referencias'!E292</f>
        <v>Kg/m</v>
      </c>
      <c r="C35" s="543"/>
      <c r="D35" s="543"/>
      <c r="E35" s="543"/>
      <c r="F35" s="474">
        <f>'Cables Y Cabulleria'!G3</f>
        <v>0.438</v>
      </c>
      <c r="G35" s="474"/>
      <c r="H35" s="300"/>
      <c r="I35" s="300"/>
      <c r="J35" s="300"/>
      <c r="K35" s="300"/>
      <c r="L35" s="300"/>
      <c r="M35" s="300"/>
      <c r="N35" s="320"/>
    </row>
    <row r="36" spans="1:14">
      <c r="A36" s="319"/>
      <c r="B36" s="543" t="s">
        <v>748</v>
      </c>
      <c r="C36" s="543"/>
      <c r="D36" s="543"/>
      <c r="E36" s="543"/>
      <c r="F36" s="678">
        <f>F31*F35</f>
        <v>12.569724000000001</v>
      </c>
      <c r="G36" s="678"/>
      <c r="H36" s="300"/>
      <c r="I36" s="300"/>
      <c r="J36" s="300"/>
      <c r="K36" s="300"/>
      <c r="L36" s="300"/>
      <c r="M36" s="300"/>
      <c r="N36" s="320"/>
    </row>
    <row r="37" spans="1:14">
      <c r="A37" s="319"/>
      <c r="B37" s="543" t="s">
        <v>705</v>
      </c>
      <c r="C37" s="543"/>
      <c r="D37" s="543"/>
      <c r="E37" s="543"/>
      <c r="F37" s="678">
        <f>F36*0.087</f>
        <v>1.0935659879999999</v>
      </c>
      <c r="G37" s="678"/>
      <c r="H37" s="300"/>
      <c r="I37" s="300"/>
      <c r="J37" s="300"/>
      <c r="K37" s="300"/>
      <c r="L37" s="300"/>
      <c r="M37" s="300"/>
      <c r="N37" s="320"/>
    </row>
    <row r="38" spans="1:14">
      <c r="A38" s="319"/>
      <c r="B38" s="300"/>
      <c r="C38" s="300"/>
      <c r="D38" s="300"/>
      <c r="E38" s="365" t="s">
        <v>98</v>
      </c>
      <c r="F38" s="363"/>
      <c r="G38" s="300"/>
      <c r="H38" s="300"/>
      <c r="I38" s="300"/>
      <c r="J38" s="300"/>
      <c r="K38" s="300"/>
      <c r="L38" s="300"/>
      <c r="M38" s="300"/>
      <c r="N38" s="320"/>
    </row>
    <row r="39" spans="1:14" ht="15.75" thickBot="1">
      <c r="A39" s="319"/>
      <c r="B39" s="300"/>
      <c r="C39" s="300"/>
      <c r="D39" s="300"/>
      <c r="E39" s="247" t="str">
        <f t="array" ref="E39">'Potencia Disponible Arrastre OK'!L8:M8</f>
        <v>150 HP</v>
      </c>
      <c r="F39" s="300"/>
      <c r="G39" s="300"/>
      <c r="H39" s="300"/>
      <c r="I39" s="300"/>
      <c r="J39" s="300"/>
      <c r="K39" s="300"/>
      <c r="L39" s="300"/>
      <c r="M39" s="300"/>
      <c r="N39" s="320"/>
    </row>
    <row r="40" spans="1:14">
      <c r="A40" s="319"/>
      <c r="B40" s="205" t="str">
        <f>'Resistencia de la RED'!B212</f>
        <v>Velocidad</v>
      </c>
      <c r="C40" s="217" t="str">
        <f>'Resistencia de la RED'!C212</f>
        <v>RN Estándar</v>
      </c>
      <c r="D40" s="364" t="str">
        <f>'Resistencia de la RED'!D212</f>
        <v>RN Modificada</v>
      </c>
      <c r="E40" s="247" t="str">
        <f>'Potencia Disponible Arrastre OK'!L9</f>
        <v>FT(PF)</v>
      </c>
      <c r="F40" s="205" t="s">
        <v>749</v>
      </c>
      <c r="G40" s="205" t="s">
        <v>750</v>
      </c>
      <c r="H40" s="364" t="s">
        <v>751</v>
      </c>
      <c r="I40" s="205" t="s">
        <v>752</v>
      </c>
      <c r="J40" s="217" t="s">
        <v>753</v>
      </c>
      <c r="K40" s="364" t="s">
        <v>754</v>
      </c>
      <c r="L40" s="333" t="s">
        <v>755</v>
      </c>
      <c r="M40" s="371" t="s">
        <v>756</v>
      </c>
      <c r="N40" s="374" t="s">
        <v>371</v>
      </c>
    </row>
    <row r="41" spans="1:14">
      <c r="A41" s="319"/>
      <c r="B41" s="199" t="str">
        <f>'Resistencia de la RED'!B213</f>
        <v>Nudos</v>
      </c>
      <c r="C41" s="199" t="str">
        <f>'Resistencia de la RED'!C213</f>
        <v>Ton</v>
      </c>
      <c r="D41" s="199" t="str">
        <f>'Resistencia de la RED'!D213</f>
        <v>Ton</v>
      </c>
      <c r="E41" s="199" t="str">
        <f>'Potencia Disponible Arrastre OK'!L10</f>
        <v>Kgf)</v>
      </c>
      <c r="F41" s="199" t="s">
        <v>55</v>
      </c>
      <c r="G41" s="199" t="s">
        <v>55</v>
      </c>
      <c r="H41" s="199" t="s">
        <v>55</v>
      </c>
      <c r="I41" s="199" t="s">
        <v>55</v>
      </c>
      <c r="J41" s="199" t="s">
        <v>55</v>
      </c>
      <c r="K41" s="199" t="s">
        <v>55</v>
      </c>
      <c r="L41" s="366" t="s">
        <v>55</v>
      </c>
      <c r="M41" s="372" t="s">
        <v>55</v>
      </c>
      <c r="N41" s="375" t="s">
        <v>761</v>
      </c>
    </row>
    <row r="42" spans="1:14">
      <c r="A42" s="319"/>
      <c r="B42" s="347">
        <f>'Resistencia de la RED'!B214</f>
        <v>1</v>
      </c>
      <c r="C42" s="197">
        <f>'Resistencia de la RED'!C214*1000</f>
        <v>422.36322657644956</v>
      </c>
      <c r="D42" s="197">
        <f>'Resistencia de la RED'!D214*1000</f>
        <v>413.44914989192739</v>
      </c>
      <c r="E42" s="347">
        <f>'Potencia Disponible Arrastre OK'!L11</f>
        <v>1395</v>
      </c>
      <c r="F42" s="347">
        <f>(0.8*E42)/4</f>
        <v>279</v>
      </c>
      <c r="G42" s="197">
        <f>C42/4</f>
        <v>105.59080664411239</v>
      </c>
      <c r="H42" s="197">
        <f>D42/4</f>
        <v>103.36228747298185</v>
      </c>
      <c r="I42" s="197">
        <f>F42*SIN(RADIANS($F$22))</f>
        <v>23.346118289716021</v>
      </c>
      <c r="J42" s="197">
        <f>G42*SIN(RADIANS($F$23))</f>
        <v>5.8754940586467912</v>
      </c>
      <c r="K42" s="197">
        <f>H42*SIN(RADIANS($F$23))</f>
        <v>5.75149035448257</v>
      </c>
      <c r="L42" s="197">
        <f>ROUNDDOWN(I42+J42+$F$37,0)</f>
        <v>30</v>
      </c>
      <c r="M42" s="373">
        <f>ROUNDDOWN(I42+K42+$F$37,0)</f>
        <v>30</v>
      </c>
      <c r="N42" s="376" t="s">
        <v>55</v>
      </c>
    </row>
    <row r="43" spans="1:14" ht="15.75" thickBot="1">
      <c r="A43" s="319"/>
      <c r="B43" s="347">
        <f>'Resistencia de la RED'!B215</f>
        <v>1.5</v>
      </c>
      <c r="C43" s="197">
        <f>'Resistencia de la RED'!C215*1000</f>
        <v>631.52956087214341</v>
      </c>
      <c r="D43" s="197">
        <f>'Resistencia de la RED'!D215*1000</f>
        <v>618.20097878939919</v>
      </c>
      <c r="E43" s="347">
        <f>'Potencia Disponible Arrastre OK'!L12</f>
        <v>1342.5</v>
      </c>
      <c r="F43" s="347">
        <f t="shared" ref="F43:F50" si="0">(0.8*E43)/4</f>
        <v>268.5</v>
      </c>
      <c r="G43" s="197">
        <f t="shared" ref="G43:H50" si="1">C43/4</f>
        <v>157.88239021803585</v>
      </c>
      <c r="H43" s="197">
        <f t="shared" si="1"/>
        <v>154.5502446973498</v>
      </c>
      <c r="I43" s="197">
        <f t="shared" ref="I43:I50" si="2">F43*SIN(RADIANS($F$22))</f>
        <v>22.467500934726708</v>
      </c>
      <c r="J43" s="197">
        <f t="shared" ref="J43:J50" si="3">G43*SIN(RADIANS($F$23))</f>
        <v>8.7852065456566706</v>
      </c>
      <c r="K43" s="197">
        <f t="shared" ref="K43:K50" si="4">H43*SIN(RADIANS($F$23))</f>
        <v>8.5997926651156877</v>
      </c>
      <c r="L43" s="197">
        <f t="shared" ref="L43:L50" si="5">ROUNDDOWN(I43+J43+$F$37,0)</f>
        <v>32</v>
      </c>
      <c r="M43" s="373">
        <f>I43+K43+$F$37</f>
        <v>32.160859587842396</v>
      </c>
      <c r="N43" s="377">
        <f>AVERAGE(L42:M46)</f>
        <v>36.015666788391499</v>
      </c>
    </row>
    <row r="44" spans="1:14">
      <c r="A44" s="319"/>
      <c r="B44" s="347">
        <f>'Resistencia de la RED'!B216</f>
        <v>2</v>
      </c>
      <c r="C44" s="197">
        <f>'Resistencia de la RED'!C216*1000</f>
        <v>914.90100549547947</v>
      </c>
      <c r="D44" s="197">
        <f>'Resistencia de la RED'!D216*1000</f>
        <v>895.5918014536428</v>
      </c>
      <c r="E44" s="347">
        <f>'Potencia Disponible Arrastre OK'!L13</f>
        <v>1290</v>
      </c>
      <c r="F44" s="347">
        <f t="shared" si="0"/>
        <v>258</v>
      </c>
      <c r="G44" s="197">
        <f t="shared" si="1"/>
        <v>228.72525137386987</v>
      </c>
      <c r="H44" s="197">
        <f t="shared" si="1"/>
        <v>223.8979503634107</v>
      </c>
      <c r="I44" s="197">
        <f t="shared" si="2"/>
        <v>21.588883579737395</v>
      </c>
      <c r="J44" s="197">
        <f t="shared" si="3"/>
        <v>12.727186184296462</v>
      </c>
      <c r="K44" s="197">
        <f t="shared" si="4"/>
        <v>12.458575882815884</v>
      </c>
      <c r="L44" s="197">
        <f t="shared" si="5"/>
        <v>35</v>
      </c>
      <c r="M44" s="197">
        <f>I44+K44+$F$37</f>
        <v>35.141025450553279</v>
      </c>
      <c r="N44" s="320"/>
    </row>
    <row r="45" spans="1:14">
      <c r="A45" s="319"/>
      <c r="B45" s="347">
        <f>'Resistencia de la RED'!B217</f>
        <v>2.5</v>
      </c>
      <c r="C45" s="197">
        <f>'Resistencia de la RED'!C217*1000</f>
        <v>1266.3281776772249</v>
      </c>
      <c r="D45" s="197">
        <f>'Resistencia de la RED'!D217*1000</f>
        <v>1239.6020193061838</v>
      </c>
      <c r="E45" s="347">
        <f>'Potencia Disponible Arrastre OK'!L14</f>
        <v>1237.5</v>
      </c>
      <c r="F45" s="347">
        <f t="shared" si="0"/>
        <v>247.5</v>
      </c>
      <c r="G45" s="197">
        <f t="shared" si="1"/>
        <v>316.58204441930621</v>
      </c>
      <c r="H45" s="197">
        <f t="shared" si="1"/>
        <v>309.90050482654595</v>
      </c>
      <c r="I45" s="197">
        <f t="shared" si="2"/>
        <v>20.710266224748082</v>
      </c>
      <c r="J45" s="197">
        <f t="shared" si="3"/>
        <v>17.615888922310869</v>
      </c>
      <c r="K45" s="197">
        <f t="shared" si="4"/>
        <v>17.244101382963898</v>
      </c>
      <c r="L45" s="197">
        <f t="shared" si="5"/>
        <v>39</v>
      </c>
      <c r="M45" s="197">
        <f t="shared" ref="M45:M50" si="6">I45+K45+$F$37</f>
        <v>39.047933595711982</v>
      </c>
      <c r="N45" s="320"/>
    </row>
    <row r="46" spans="1:14">
      <c r="A46" s="319"/>
      <c r="B46" s="347">
        <f>'Resistencia de la RED'!B218</f>
        <v>3</v>
      </c>
      <c r="C46" s="197">
        <f>'Resistencia de la RED'!C218*1000</f>
        <v>1680.3228964186867</v>
      </c>
      <c r="D46" s="197">
        <f>'Resistencia de la RED'!D218*1000</f>
        <v>1644.8592807179402</v>
      </c>
      <c r="E46" s="347">
        <f>'Potencia Disponible Arrastre OK'!L15</f>
        <v>1185</v>
      </c>
      <c r="F46" s="347">
        <f t="shared" si="0"/>
        <v>237</v>
      </c>
      <c r="G46" s="197">
        <f t="shared" si="1"/>
        <v>420.08072410467167</v>
      </c>
      <c r="H46" s="197">
        <f t="shared" si="1"/>
        <v>411.21482017948506</v>
      </c>
      <c r="I46" s="197">
        <f t="shared" si="2"/>
        <v>19.831648869758769</v>
      </c>
      <c r="J46" s="197">
        <f t="shared" si="3"/>
        <v>23.374968684043697</v>
      </c>
      <c r="K46" s="197">
        <f t="shared" si="4"/>
        <v>22.881634392048575</v>
      </c>
      <c r="L46" s="197">
        <f t="shared" si="5"/>
        <v>44</v>
      </c>
      <c r="M46" s="197">
        <f t="shared" si="6"/>
        <v>43.80684924980735</v>
      </c>
      <c r="N46" s="320"/>
    </row>
    <row r="47" spans="1:14">
      <c r="A47" s="319"/>
      <c r="B47" s="347">
        <f>'Resistencia de la RED'!B219</f>
        <v>3.5</v>
      </c>
      <c r="C47" s="197">
        <f>'Resistencia de la RED'!C219*1000</f>
        <v>2151.9716405847998</v>
      </c>
      <c r="D47" s="197">
        <f>'Resistencia de la RED'!D219*1000</f>
        <v>2106.5537655899047</v>
      </c>
      <c r="E47" s="347">
        <f>'Potencia Disponible Arrastre OK'!L16</f>
        <v>1132.5</v>
      </c>
      <c r="F47" s="347">
        <f t="shared" si="0"/>
        <v>226.5</v>
      </c>
      <c r="G47" s="197">
        <f t="shared" si="1"/>
        <v>537.99291014619996</v>
      </c>
      <c r="H47" s="197">
        <f t="shared" si="1"/>
        <v>526.63844139747619</v>
      </c>
      <c r="I47" s="197">
        <f t="shared" si="2"/>
        <v>18.953031514769457</v>
      </c>
      <c r="J47" s="197">
        <f t="shared" si="3"/>
        <v>29.936073486131917</v>
      </c>
      <c r="K47" s="197">
        <f t="shared" si="4"/>
        <v>29.304265511626433</v>
      </c>
      <c r="L47" s="197">
        <f t="shared" si="5"/>
        <v>49</v>
      </c>
      <c r="M47" s="197">
        <f t="shared" si="6"/>
        <v>49.350863014395891</v>
      </c>
      <c r="N47" s="320"/>
    </row>
    <row r="48" spans="1:14">
      <c r="A48" s="319"/>
      <c r="B48" s="347">
        <f>'Resistencia de la RED'!B220</f>
        <v>4</v>
      </c>
      <c r="C48" s="197">
        <f>'Resistencia de la RED'!C220*1000</f>
        <v>2676.8622527857369</v>
      </c>
      <c r="D48" s="197">
        <f>'Resistencia de la RED'!D220*1000</f>
        <v>2620.3664361668261</v>
      </c>
      <c r="E48" s="347">
        <f>'Potencia Disponible Arrastre OK'!L17</f>
        <v>1080</v>
      </c>
      <c r="F48" s="347">
        <f t="shared" si="0"/>
        <v>216</v>
      </c>
      <c r="G48" s="197">
        <f t="shared" si="1"/>
        <v>669.21556319643423</v>
      </c>
      <c r="H48" s="197">
        <f t="shared" si="1"/>
        <v>655.09160904170653</v>
      </c>
      <c r="I48" s="197">
        <f t="shared" si="2"/>
        <v>18.074414159780144</v>
      </c>
      <c r="J48" s="197">
        <f t="shared" si="3"/>
        <v>37.237825815339178</v>
      </c>
      <c r="K48" s="197">
        <f t="shared" si="4"/>
        <v>36.451912615524357</v>
      </c>
      <c r="L48" s="197">
        <f t="shared" si="5"/>
        <v>56</v>
      </c>
      <c r="M48" s="197">
        <f t="shared" si="6"/>
        <v>55.619892763304499</v>
      </c>
      <c r="N48" s="320"/>
    </row>
    <row r="49" spans="1:14">
      <c r="A49" s="319"/>
      <c r="B49" s="347">
        <f>'Resistencia de la RED'!B221</f>
        <v>4.5</v>
      </c>
      <c r="C49" s="197">
        <f>'Resistencia de la RED'!C221*1000</f>
        <v>3251.0215826380531</v>
      </c>
      <c r="D49" s="197">
        <f>'Resistencia de la RED'!D221*1000</f>
        <v>3182.4079963522054</v>
      </c>
      <c r="E49" s="347">
        <f>'Potencia Disponible Arrastre OK'!L18</f>
        <v>1027.5</v>
      </c>
      <c r="F49" s="347">
        <f t="shared" si="0"/>
        <v>205.5</v>
      </c>
      <c r="G49" s="197">
        <f t="shared" si="1"/>
        <v>812.75539565951328</v>
      </c>
      <c r="H49" s="197">
        <f t="shared" si="1"/>
        <v>795.60199908805134</v>
      </c>
      <c r="I49" s="197">
        <f t="shared" si="2"/>
        <v>17.195796804790831</v>
      </c>
      <c r="J49" s="197">
        <f t="shared" si="3"/>
        <v>45.224955184077658</v>
      </c>
      <c r="K49" s="197">
        <f t="shared" si="4"/>
        <v>44.27047171298414</v>
      </c>
      <c r="L49" s="197">
        <f t="shared" si="5"/>
        <v>63</v>
      </c>
      <c r="M49" s="197">
        <f t="shared" si="6"/>
        <v>62.559834505774973</v>
      </c>
      <c r="N49" s="320"/>
    </row>
    <row r="50" spans="1:14">
      <c r="A50" s="319"/>
      <c r="B50" s="347">
        <f>'Resistencia de la RED'!B222</f>
        <v>5</v>
      </c>
      <c r="C50" s="197">
        <f>'Resistencia de la RED'!C222*1000</f>
        <v>3870.8622108292311</v>
      </c>
      <c r="D50" s="197">
        <f>'Resistencia de la RED'!D222*1000</f>
        <v>3789.1667401741761</v>
      </c>
      <c r="E50" s="347">
        <f>'Potencia Disponible Arrastre OK'!L19</f>
        <v>975</v>
      </c>
      <c r="F50" s="347">
        <f t="shared" si="0"/>
        <v>195</v>
      </c>
      <c r="G50" s="197">
        <f t="shared" si="1"/>
        <v>967.71555270730778</v>
      </c>
      <c r="H50" s="197">
        <f t="shared" si="1"/>
        <v>947.29168504354402</v>
      </c>
      <c r="I50" s="197">
        <f t="shared" si="2"/>
        <v>16.317179449801518</v>
      </c>
      <c r="J50" s="197">
        <f t="shared" si="3"/>
        <v>53.847557008969169</v>
      </c>
      <c r="K50" s="197">
        <f t="shared" si="4"/>
        <v>52.711091468768437</v>
      </c>
      <c r="L50" s="197">
        <f t="shared" si="5"/>
        <v>71</v>
      </c>
      <c r="M50" s="197">
        <f t="shared" si="6"/>
        <v>70.121836906569953</v>
      </c>
      <c r="N50" s="320"/>
    </row>
    <row r="51" spans="1:14">
      <c r="A51" s="319"/>
      <c r="B51" s="300"/>
      <c r="C51" s="300"/>
      <c r="D51" s="300"/>
      <c r="E51" s="205" t="s">
        <v>98</v>
      </c>
      <c r="F51" s="300"/>
      <c r="G51" s="300"/>
      <c r="H51" s="300"/>
      <c r="I51" s="300"/>
      <c r="J51" s="300"/>
      <c r="K51" s="300"/>
      <c r="L51" s="400"/>
      <c r="M51" s="400"/>
      <c r="N51" s="320"/>
    </row>
    <row r="52" spans="1:14" ht="15.75" thickBot="1">
      <c r="A52" s="319"/>
      <c r="B52" s="300"/>
      <c r="C52" s="300"/>
      <c r="D52" s="300"/>
      <c r="E52" s="247" t="str">
        <f t="array" ref="E52">'Potencia Disponible Arrastre OK'!N8:O8</f>
        <v>180 HP</v>
      </c>
      <c r="F52" s="300"/>
      <c r="G52" s="300"/>
      <c r="H52" s="300"/>
      <c r="I52" s="300"/>
      <c r="J52" s="300"/>
      <c r="K52" s="300"/>
      <c r="L52" s="400"/>
      <c r="M52" s="400"/>
      <c r="N52" s="320"/>
    </row>
    <row r="53" spans="1:14">
      <c r="A53" s="319"/>
      <c r="B53" s="205" t="str">
        <f>B40</f>
        <v>Velocidad</v>
      </c>
      <c r="C53" s="217" t="str">
        <f>C40</f>
        <v>RN Estándar</v>
      </c>
      <c r="D53" s="364" t="str">
        <f>D40</f>
        <v>RN Modificada</v>
      </c>
      <c r="E53" s="247" t="str">
        <f>'Potencia Disponible Arrastre OK'!N9</f>
        <v>FT(PF)</v>
      </c>
      <c r="F53" s="205" t="str">
        <f t="shared" ref="F53:M54" si="7">F40</f>
        <v>F1</v>
      </c>
      <c r="G53" s="217" t="str">
        <f t="shared" si="7"/>
        <v>F2 Estándar</v>
      </c>
      <c r="H53" s="364" t="str">
        <f t="shared" si="7"/>
        <v>F2 Modificada</v>
      </c>
      <c r="I53" s="205" t="str">
        <f t="shared" si="7"/>
        <v>F1'</v>
      </c>
      <c r="J53" s="217" t="str">
        <f t="shared" si="7"/>
        <v>F2' Estandar</v>
      </c>
      <c r="K53" s="364" t="str">
        <f t="shared" si="7"/>
        <v>F2' Modificada</v>
      </c>
      <c r="L53" s="367" t="str">
        <f t="shared" si="7"/>
        <v>F Total Estandar</v>
      </c>
      <c r="M53" s="378" t="str">
        <f t="shared" si="7"/>
        <v>F Total Modificada</v>
      </c>
      <c r="N53" s="374" t="s">
        <v>371</v>
      </c>
    </row>
    <row r="54" spans="1:14">
      <c r="A54" s="319"/>
      <c r="B54" s="199" t="str">
        <f t="shared" ref="B54:C63" si="8">B41</f>
        <v>Nudos</v>
      </c>
      <c r="C54" s="199" t="str">
        <f t="shared" si="8"/>
        <v>Ton</v>
      </c>
      <c r="D54" s="199" t="str">
        <f t="shared" ref="D54:D63" si="9">D41</f>
        <v>Ton</v>
      </c>
      <c r="E54" s="199" t="str">
        <f>'Potencia Disponible Arrastre OK'!N10</f>
        <v>Kgf)</v>
      </c>
      <c r="F54" s="199" t="str">
        <f t="shared" si="7"/>
        <v>[Kgf]</v>
      </c>
      <c r="G54" s="199" t="str">
        <f t="shared" si="7"/>
        <v>[Kgf]</v>
      </c>
      <c r="H54" s="199" t="str">
        <f t="shared" si="7"/>
        <v>[Kgf]</v>
      </c>
      <c r="I54" s="199" t="str">
        <f t="shared" si="7"/>
        <v>[Kgf]</v>
      </c>
      <c r="J54" s="199" t="str">
        <f t="shared" si="7"/>
        <v>[Kgf]</v>
      </c>
      <c r="K54" s="199" t="str">
        <f t="shared" si="7"/>
        <v>[Kgf]</v>
      </c>
      <c r="L54" s="197" t="str">
        <f t="shared" si="7"/>
        <v>[Kgf]</v>
      </c>
      <c r="M54" s="197" t="str">
        <f t="shared" si="7"/>
        <v>[Kgf]</v>
      </c>
      <c r="N54" s="320" t="s">
        <v>761</v>
      </c>
    </row>
    <row r="55" spans="1:14" ht="15.75" thickBot="1">
      <c r="A55" s="319"/>
      <c r="B55" s="347">
        <f t="shared" si="8"/>
        <v>1</v>
      </c>
      <c r="C55" s="197">
        <f t="shared" si="8"/>
        <v>422.36322657644956</v>
      </c>
      <c r="D55" s="197">
        <f t="shared" si="9"/>
        <v>413.44914989192739</v>
      </c>
      <c r="E55" s="347">
        <f>'Potencia Disponible Arrastre OK'!N11</f>
        <v>1674.0000000000002</v>
      </c>
      <c r="F55" s="347">
        <f>(0.8*E55)/4</f>
        <v>334.80000000000007</v>
      </c>
      <c r="G55" s="197">
        <f>C55/4</f>
        <v>105.59080664411239</v>
      </c>
      <c r="H55" s="197">
        <f>D55/4</f>
        <v>103.36228747298185</v>
      </c>
      <c r="I55" s="197">
        <f>F55*SIN(RADIANS($F$22))</f>
        <v>28.01534194765923</v>
      </c>
      <c r="J55" s="197">
        <f>G55*SIN(RADIANS($F$23))</f>
        <v>5.8754940586467912</v>
      </c>
      <c r="K55" s="197">
        <f>H55*SIN(RADIANS($F$23))</f>
        <v>5.75149035448257</v>
      </c>
      <c r="L55" s="197">
        <f>ROUNDDOWN(I55+J55+$F$37,0)</f>
        <v>34</v>
      </c>
      <c r="M55" s="197">
        <f>ROUNDDOWN(I55+K55+$F$37,0)</f>
        <v>34</v>
      </c>
      <c r="N55" s="426">
        <f>AVERAGE(L55:M59)</f>
        <v>39.9</v>
      </c>
    </row>
    <row r="56" spans="1:14">
      <c r="A56" s="319"/>
      <c r="B56" s="347">
        <f t="shared" si="8"/>
        <v>1.5</v>
      </c>
      <c r="C56" s="197">
        <f t="shared" si="8"/>
        <v>631.52956087214341</v>
      </c>
      <c r="D56" s="197">
        <f t="shared" si="9"/>
        <v>618.20097878939919</v>
      </c>
      <c r="E56" s="347">
        <f>'Potencia Disponible Arrastre OK'!N12</f>
        <v>1610.9999999999998</v>
      </c>
      <c r="F56" s="347">
        <f t="shared" ref="F56:F63" si="10">(0.8*E56)/4</f>
        <v>322.2</v>
      </c>
      <c r="G56" s="197">
        <f t="shared" ref="G56:H63" si="11">C56/4</f>
        <v>157.88239021803585</v>
      </c>
      <c r="H56" s="197">
        <f t="shared" si="11"/>
        <v>154.5502446973498</v>
      </c>
      <c r="I56" s="197">
        <f t="shared" ref="I56:I63" si="12">F56*SIN(RADIANS($F$22))</f>
        <v>26.961001121672048</v>
      </c>
      <c r="J56" s="197">
        <f t="shared" ref="J56:K63" si="13">G56*SIN(RADIANS($F$23))</f>
        <v>8.7852065456566706</v>
      </c>
      <c r="K56" s="197">
        <f t="shared" si="13"/>
        <v>8.5997926651156877</v>
      </c>
      <c r="L56" s="197">
        <f t="shared" ref="L56:L63" si="14">ROUNDDOWN(I56+J56+$F$37,0)</f>
        <v>36</v>
      </c>
      <c r="M56" s="197">
        <f t="shared" ref="M56:M63" si="15">ROUNDDOWN(I56+K56+$F$37,0)</f>
        <v>36</v>
      </c>
      <c r="N56" s="320"/>
    </row>
    <row r="57" spans="1:14">
      <c r="A57" s="319"/>
      <c r="B57" s="347">
        <f t="shared" si="8"/>
        <v>2</v>
      </c>
      <c r="C57" s="197">
        <f t="shared" si="8"/>
        <v>914.90100549547947</v>
      </c>
      <c r="D57" s="197">
        <f t="shared" si="9"/>
        <v>895.5918014536428</v>
      </c>
      <c r="E57" s="347">
        <f>'Potencia Disponible Arrastre OK'!N13</f>
        <v>1548</v>
      </c>
      <c r="F57" s="347">
        <f t="shared" si="10"/>
        <v>309.60000000000002</v>
      </c>
      <c r="G57" s="197">
        <f t="shared" si="11"/>
        <v>228.72525137386987</v>
      </c>
      <c r="H57" s="197">
        <f t="shared" si="11"/>
        <v>223.8979503634107</v>
      </c>
      <c r="I57" s="197">
        <f t="shared" si="12"/>
        <v>25.906660295684876</v>
      </c>
      <c r="J57" s="197">
        <f t="shared" si="13"/>
        <v>12.727186184296462</v>
      </c>
      <c r="K57" s="197">
        <f t="shared" si="13"/>
        <v>12.458575882815884</v>
      </c>
      <c r="L57" s="197">
        <f t="shared" si="14"/>
        <v>39</v>
      </c>
      <c r="M57" s="197">
        <f t="shared" si="15"/>
        <v>39</v>
      </c>
      <c r="N57" s="320"/>
    </row>
    <row r="58" spans="1:14">
      <c r="A58" s="319"/>
      <c r="B58" s="347">
        <f t="shared" si="8"/>
        <v>2.5</v>
      </c>
      <c r="C58" s="197">
        <f t="shared" si="8"/>
        <v>1266.3281776772249</v>
      </c>
      <c r="D58" s="197">
        <f t="shared" si="9"/>
        <v>1239.6020193061838</v>
      </c>
      <c r="E58" s="347">
        <f>'Potencia Disponible Arrastre OK'!N14</f>
        <v>1485</v>
      </c>
      <c r="F58" s="347">
        <f t="shared" si="10"/>
        <v>297</v>
      </c>
      <c r="G58" s="197">
        <f t="shared" si="11"/>
        <v>316.58204441930621</v>
      </c>
      <c r="H58" s="197">
        <f t="shared" si="11"/>
        <v>309.90050482654595</v>
      </c>
      <c r="I58" s="197">
        <f t="shared" si="12"/>
        <v>24.852319469697697</v>
      </c>
      <c r="J58" s="197">
        <f t="shared" si="13"/>
        <v>17.615888922310869</v>
      </c>
      <c r="K58" s="197">
        <f t="shared" si="13"/>
        <v>17.244101382963898</v>
      </c>
      <c r="L58" s="197">
        <f t="shared" si="14"/>
        <v>43</v>
      </c>
      <c r="M58" s="197">
        <f t="shared" si="15"/>
        <v>43</v>
      </c>
      <c r="N58" s="320"/>
    </row>
    <row r="59" spans="1:14">
      <c r="A59" s="319"/>
      <c r="B59" s="347">
        <f t="shared" si="8"/>
        <v>3</v>
      </c>
      <c r="C59" s="197">
        <f t="shared" si="8"/>
        <v>1680.3228964186867</v>
      </c>
      <c r="D59" s="197">
        <f t="shared" si="9"/>
        <v>1644.8592807179402</v>
      </c>
      <c r="E59" s="347">
        <f>'Potencia Disponible Arrastre OK'!N15</f>
        <v>1422</v>
      </c>
      <c r="F59" s="347">
        <f t="shared" si="10"/>
        <v>284.40000000000003</v>
      </c>
      <c r="G59" s="197">
        <f t="shared" si="11"/>
        <v>420.08072410467167</v>
      </c>
      <c r="H59" s="197">
        <f t="shared" si="11"/>
        <v>411.21482017948506</v>
      </c>
      <c r="I59" s="197">
        <f t="shared" si="12"/>
        <v>23.797978643710525</v>
      </c>
      <c r="J59" s="197">
        <f t="shared" si="13"/>
        <v>23.374968684043697</v>
      </c>
      <c r="K59" s="197">
        <f t="shared" si="13"/>
        <v>22.881634392048575</v>
      </c>
      <c r="L59" s="197">
        <f t="shared" si="14"/>
        <v>48</v>
      </c>
      <c r="M59" s="197">
        <f t="shared" si="15"/>
        <v>47</v>
      </c>
      <c r="N59" s="320"/>
    </row>
    <row r="60" spans="1:14">
      <c r="A60" s="319"/>
      <c r="B60" s="347">
        <f t="shared" si="8"/>
        <v>3.5</v>
      </c>
      <c r="C60" s="197">
        <f t="shared" si="8"/>
        <v>2151.9716405847998</v>
      </c>
      <c r="D60" s="197">
        <f t="shared" si="9"/>
        <v>2106.5537655899047</v>
      </c>
      <c r="E60" s="347">
        <f>'Potencia Disponible Arrastre OK'!N16</f>
        <v>1359.0000000000002</v>
      </c>
      <c r="F60" s="347">
        <f t="shared" si="10"/>
        <v>271.80000000000007</v>
      </c>
      <c r="G60" s="197">
        <f t="shared" si="11"/>
        <v>537.99291014619996</v>
      </c>
      <c r="H60" s="197">
        <f t="shared" si="11"/>
        <v>526.63844139747619</v>
      </c>
      <c r="I60" s="197">
        <f t="shared" si="12"/>
        <v>22.743637817723354</v>
      </c>
      <c r="J60" s="197">
        <f t="shared" si="13"/>
        <v>29.936073486131917</v>
      </c>
      <c r="K60" s="197">
        <f t="shared" si="13"/>
        <v>29.304265511626433</v>
      </c>
      <c r="L60" s="197">
        <f t="shared" si="14"/>
        <v>53</v>
      </c>
      <c r="M60" s="197">
        <f t="shared" si="15"/>
        <v>53</v>
      </c>
      <c r="N60" s="320"/>
    </row>
    <row r="61" spans="1:14">
      <c r="A61" s="319"/>
      <c r="B61" s="347">
        <f t="shared" si="8"/>
        <v>4</v>
      </c>
      <c r="C61" s="197">
        <f t="shared" si="8"/>
        <v>2676.8622527857369</v>
      </c>
      <c r="D61" s="197">
        <f t="shared" si="9"/>
        <v>2620.3664361668261</v>
      </c>
      <c r="E61" s="347">
        <f>'Potencia Disponible Arrastre OK'!N17</f>
        <v>1296</v>
      </c>
      <c r="F61" s="347">
        <f t="shared" si="10"/>
        <v>259.2</v>
      </c>
      <c r="G61" s="197">
        <f t="shared" si="11"/>
        <v>669.21556319643423</v>
      </c>
      <c r="H61" s="197">
        <f t="shared" si="11"/>
        <v>655.09160904170653</v>
      </c>
      <c r="I61" s="197">
        <f t="shared" si="12"/>
        <v>21.689296991736171</v>
      </c>
      <c r="J61" s="197">
        <f t="shared" si="13"/>
        <v>37.237825815339178</v>
      </c>
      <c r="K61" s="197">
        <f t="shared" si="13"/>
        <v>36.451912615524357</v>
      </c>
      <c r="L61" s="197">
        <f t="shared" si="14"/>
        <v>60</v>
      </c>
      <c r="M61" s="197">
        <f t="shared" si="15"/>
        <v>59</v>
      </c>
      <c r="N61" s="320"/>
    </row>
    <row r="62" spans="1:14">
      <c r="A62" s="319"/>
      <c r="B62" s="347">
        <f t="shared" si="8"/>
        <v>4.5</v>
      </c>
      <c r="C62" s="197">
        <f t="shared" si="8"/>
        <v>3251.0215826380531</v>
      </c>
      <c r="D62" s="197">
        <f t="shared" si="9"/>
        <v>3182.4079963522054</v>
      </c>
      <c r="E62" s="347">
        <f>'Potencia Disponible Arrastre OK'!N18</f>
        <v>1233</v>
      </c>
      <c r="F62" s="347">
        <f t="shared" si="10"/>
        <v>246.60000000000002</v>
      </c>
      <c r="G62" s="197">
        <f t="shared" si="11"/>
        <v>812.75539565951328</v>
      </c>
      <c r="H62" s="197">
        <f t="shared" si="11"/>
        <v>795.60199908805134</v>
      </c>
      <c r="I62" s="197">
        <f t="shared" si="12"/>
        <v>20.634956165748999</v>
      </c>
      <c r="J62" s="197">
        <f t="shared" si="13"/>
        <v>45.224955184077658</v>
      </c>
      <c r="K62" s="197">
        <f t="shared" si="13"/>
        <v>44.27047171298414</v>
      </c>
      <c r="L62" s="197">
        <f t="shared" si="14"/>
        <v>66</v>
      </c>
      <c r="M62" s="197">
        <f t="shared" si="15"/>
        <v>65</v>
      </c>
      <c r="N62" s="320"/>
    </row>
    <row r="63" spans="1:14">
      <c r="A63" s="319"/>
      <c r="B63" s="347">
        <f t="shared" si="8"/>
        <v>5</v>
      </c>
      <c r="C63" s="197">
        <f t="shared" si="8"/>
        <v>3870.8622108292311</v>
      </c>
      <c r="D63" s="197">
        <f t="shared" si="9"/>
        <v>3789.1667401741761</v>
      </c>
      <c r="E63" s="347">
        <f>'Potencia Disponible Arrastre OK'!N19</f>
        <v>1170</v>
      </c>
      <c r="F63" s="347">
        <f t="shared" si="10"/>
        <v>234</v>
      </c>
      <c r="G63" s="197">
        <f t="shared" si="11"/>
        <v>967.71555270730778</v>
      </c>
      <c r="H63" s="197">
        <f t="shared" si="11"/>
        <v>947.29168504354402</v>
      </c>
      <c r="I63" s="197">
        <f t="shared" si="12"/>
        <v>19.580615339761824</v>
      </c>
      <c r="J63" s="197">
        <f t="shared" si="13"/>
        <v>53.847557008969169</v>
      </c>
      <c r="K63" s="197">
        <f t="shared" si="13"/>
        <v>52.711091468768437</v>
      </c>
      <c r="L63" s="197">
        <f t="shared" si="14"/>
        <v>74</v>
      </c>
      <c r="M63" s="197">
        <f t="shared" si="15"/>
        <v>73</v>
      </c>
      <c r="N63" s="320"/>
    </row>
    <row r="64" spans="1:14">
      <c r="A64" s="319"/>
      <c r="B64" s="300"/>
      <c r="C64" s="300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20"/>
    </row>
    <row r="65" spans="1:14" ht="15.75" thickBot="1">
      <c r="A65" s="321"/>
      <c r="B65" s="322"/>
      <c r="C65" s="322"/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3"/>
    </row>
    <row r="67" spans="1:14" ht="11.25" customHeight="1" thickBot="1"/>
    <row r="68" spans="1:14" ht="27" customHeight="1">
      <c r="A68" s="691" t="s">
        <v>757</v>
      </c>
      <c r="B68" s="692"/>
      <c r="C68" s="692"/>
      <c r="D68" s="692"/>
      <c r="E68" s="692"/>
      <c r="F68" s="692"/>
      <c r="G68" s="692"/>
      <c r="H68" s="692"/>
      <c r="I68" s="692"/>
      <c r="J68" s="692"/>
      <c r="K68" s="692"/>
      <c r="L68" s="692"/>
      <c r="M68" s="693"/>
    </row>
    <row r="69" spans="1:14">
      <c r="A69" s="319"/>
      <c r="D69" s="474" t="s">
        <v>758</v>
      </c>
      <c r="E69" s="474"/>
      <c r="F69" s="474" t="s">
        <v>760</v>
      </c>
      <c r="G69" s="474"/>
      <c r="J69" s="300"/>
      <c r="K69" s="300"/>
      <c r="L69" s="300"/>
      <c r="M69" s="320"/>
    </row>
    <row r="70" spans="1:14">
      <c r="A70" s="319"/>
      <c r="D70" s="347" t="s">
        <v>257</v>
      </c>
      <c r="E70" s="333" t="s">
        <v>759</v>
      </c>
      <c r="F70" s="198">
        <f>N43</f>
        <v>36.015666788391499</v>
      </c>
      <c r="G70" s="313">
        <f>N55</f>
        <v>39.9</v>
      </c>
      <c r="J70" s="300"/>
      <c r="K70" s="300"/>
      <c r="L70" s="300"/>
      <c r="M70" s="320"/>
    </row>
    <row r="71" spans="1:14">
      <c r="A71" s="319"/>
      <c r="D71" s="347" t="s">
        <v>258</v>
      </c>
      <c r="E71" s="347" t="s">
        <v>55</v>
      </c>
      <c r="F71" s="347" t="s">
        <v>55</v>
      </c>
      <c r="G71" s="347" t="s">
        <v>55</v>
      </c>
      <c r="J71" s="300"/>
      <c r="K71" s="300"/>
      <c r="L71" s="300"/>
      <c r="M71" s="320"/>
    </row>
    <row r="72" spans="1:14">
      <c r="A72" s="319"/>
      <c r="D72" s="347">
        <v>100</v>
      </c>
      <c r="E72" s="347">
        <v>0.3</v>
      </c>
      <c r="F72" s="313">
        <f t="shared" ref="F72:F82" si="16">ROUND($F$70/E72,0)</f>
        <v>120</v>
      </c>
      <c r="G72" s="313">
        <f t="shared" ref="G72:G82" si="17">ROUND($G$70/E72,0)</f>
        <v>133</v>
      </c>
      <c r="J72" s="300"/>
      <c r="K72" s="300"/>
      <c r="L72" s="300"/>
      <c r="M72" s="320"/>
    </row>
    <row r="73" spans="1:14">
      <c r="A73" s="319"/>
      <c r="D73" s="347">
        <v>135</v>
      </c>
      <c r="E73" s="347">
        <v>0.76</v>
      </c>
      <c r="F73" s="313">
        <f t="shared" si="16"/>
        <v>47</v>
      </c>
      <c r="G73" s="313">
        <f t="shared" si="17"/>
        <v>53</v>
      </c>
      <c r="J73" s="300"/>
      <c r="K73" s="300"/>
      <c r="L73" s="300"/>
      <c r="M73" s="320"/>
    </row>
    <row r="74" spans="1:14">
      <c r="A74" s="319"/>
      <c r="D74" s="347">
        <v>200</v>
      </c>
      <c r="E74" s="347">
        <v>3.2</v>
      </c>
      <c r="F74" s="313">
        <f t="shared" si="16"/>
        <v>11</v>
      </c>
      <c r="G74" s="313">
        <f t="shared" si="17"/>
        <v>12</v>
      </c>
      <c r="J74" s="300"/>
      <c r="K74" s="300"/>
      <c r="L74" s="300"/>
      <c r="M74" s="320"/>
    </row>
    <row r="75" spans="1:14">
      <c r="A75" s="319"/>
      <c r="D75" s="347">
        <v>280</v>
      </c>
      <c r="E75" s="347">
        <v>7.5</v>
      </c>
      <c r="F75" s="313">
        <f t="shared" si="16"/>
        <v>5</v>
      </c>
      <c r="G75" s="313">
        <f t="shared" si="17"/>
        <v>5</v>
      </c>
      <c r="J75" s="300"/>
      <c r="K75" s="300"/>
      <c r="L75" s="300"/>
      <c r="M75" s="320"/>
    </row>
    <row r="76" spans="1:14">
      <c r="A76" s="319"/>
      <c r="D76" s="347">
        <v>200</v>
      </c>
      <c r="E76" s="347">
        <v>3.2</v>
      </c>
      <c r="F76" s="313">
        <f t="shared" si="16"/>
        <v>11</v>
      </c>
      <c r="G76" s="313">
        <f t="shared" si="17"/>
        <v>12</v>
      </c>
      <c r="J76" s="300"/>
      <c r="K76" s="300"/>
      <c r="L76" s="300"/>
      <c r="M76" s="320"/>
    </row>
    <row r="77" spans="1:14">
      <c r="A77" s="319"/>
      <c r="D77" s="347">
        <v>200</v>
      </c>
      <c r="E77" s="347">
        <v>3</v>
      </c>
      <c r="F77" s="313">
        <f t="shared" si="16"/>
        <v>12</v>
      </c>
      <c r="G77" s="313">
        <f t="shared" si="17"/>
        <v>13</v>
      </c>
      <c r="J77" s="300"/>
      <c r="K77" s="300"/>
      <c r="L77" s="300"/>
      <c r="M77" s="320"/>
    </row>
    <row r="78" spans="1:14">
      <c r="A78" s="319"/>
      <c r="D78" s="347">
        <v>250</v>
      </c>
      <c r="E78" s="347">
        <v>6.54</v>
      </c>
      <c r="F78" s="313">
        <f t="shared" si="16"/>
        <v>6</v>
      </c>
      <c r="G78" s="313">
        <f t="shared" si="17"/>
        <v>6</v>
      </c>
      <c r="J78" s="300"/>
      <c r="K78" s="300"/>
      <c r="L78" s="300"/>
      <c r="M78" s="320"/>
    </row>
    <row r="79" spans="1:14">
      <c r="A79" s="319"/>
      <c r="D79" s="347">
        <v>250</v>
      </c>
      <c r="E79" s="347">
        <v>5.75</v>
      </c>
      <c r="F79" s="313">
        <f t="shared" si="16"/>
        <v>6</v>
      </c>
      <c r="G79" s="313">
        <f t="shared" si="17"/>
        <v>7</v>
      </c>
      <c r="J79" s="300"/>
      <c r="K79" s="300"/>
      <c r="L79" s="300"/>
      <c r="M79" s="320"/>
    </row>
    <row r="80" spans="1:14">
      <c r="A80" s="319"/>
      <c r="D80" s="347">
        <v>300</v>
      </c>
      <c r="E80" s="347">
        <v>10.01</v>
      </c>
      <c r="F80" s="313">
        <f t="shared" si="16"/>
        <v>4</v>
      </c>
      <c r="G80" s="313">
        <f t="shared" si="17"/>
        <v>4</v>
      </c>
      <c r="J80" s="300"/>
      <c r="K80" s="300"/>
      <c r="L80" s="300"/>
      <c r="M80" s="320"/>
    </row>
    <row r="81" spans="1:13">
      <c r="A81" s="319"/>
      <c r="D81" s="347">
        <v>300</v>
      </c>
      <c r="E81" s="347">
        <v>8.33</v>
      </c>
      <c r="F81" s="313">
        <f t="shared" si="16"/>
        <v>4</v>
      </c>
      <c r="G81" s="313">
        <f t="shared" si="17"/>
        <v>5</v>
      </c>
      <c r="J81" s="300"/>
      <c r="K81" s="300"/>
      <c r="L81" s="300"/>
      <c r="M81" s="320"/>
    </row>
    <row r="82" spans="1:13">
      <c r="A82" s="319"/>
      <c r="D82" s="347">
        <v>200</v>
      </c>
      <c r="E82" s="347">
        <v>3.1</v>
      </c>
      <c r="F82" s="313">
        <f t="shared" si="16"/>
        <v>12</v>
      </c>
      <c r="G82" s="313">
        <f t="shared" si="17"/>
        <v>13</v>
      </c>
      <c r="J82" s="300"/>
      <c r="K82" s="300"/>
      <c r="L82" s="300"/>
      <c r="M82" s="320"/>
    </row>
    <row r="83" spans="1:13" ht="15.75" thickBot="1">
      <c r="A83" s="319"/>
      <c r="B83" s="300"/>
      <c r="C83" s="300"/>
      <c r="D83" s="300"/>
      <c r="E83" s="300"/>
      <c r="F83" s="300"/>
      <c r="G83" s="300"/>
      <c r="H83" s="300"/>
      <c r="I83" s="300"/>
      <c r="J83" s="300"/>
      <c r="K83" s="300"/>
      <c r="L83" s="300"/>
      <c r="M83" s="320"/>
    </row>
    <row r="84" spans="1:13">
      <c r="A84" s="334"/>
      <c r="B84" s="384"/>
      <c r="C84" s="736" t="s">
        <v>762</v>
      </c>
      <c r="D84" s="736"/>
      <c r="E84" s="736"/>
      <c r="F84" s="397">
        <v>12</v>
      </c>
      <c r="G84" s="397" t="s">
        <v>763</v>
      </c>
      <c r="H84" s="386"/>
      <c r="I84" s="384"/>
      <c r="J84" s="384"/>
      <c r="K84" s="384"/>
      <c r="L84" s="335"/>
      <c r="M84" s="320"/>
    </row>
    <row r="85" spans="1:13">
      <c r="A85" s="319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20"/>
      <c r="M85" s="320"/>
    </row>
    <row r="86" spans="1:13">
      <c r="A86" s="319"/>
      <c r="B86" s="300"/>
      <c r="C86" s="543" t="str">
        <f>B31</f>
        <v>Lima, Relinga Superior (L)</v>
      </c>
      <c r="D86" s="543"/>
      <c r="E86" s="543"/>
      <c r="F86" s="347">
        <f>F31</f>
        <v>28.698</v>
      </c>
      <c r="G86" s="300" t="s">
        <v>560</v>
      </c>
      <c r="H86" s="300"/>
      <c r="I86" s="300"/>
      <c r="J86" s="300"/>
      <c r="K86" s="300"/>
      <c r="L86" s="320"/>
      <c r="M86" s="320"/>
    </row>
    <row r="87" spans="1:13">
      <c r="A87" s="319"/>
      <c r="B87" s="300"/>
      <c r="C87" s="543" t="str">
        <f>'Dimensiones de la Red'!B143</f>
        <v>L ala corregido=</v>
      </c>
      <c r="D87" s="543"/>
      <c r="E87" s="543"/>
      <c r="F87" s="347">
        <f>'Dimensiones de la Red'!C143</f>
        <v>13.104000000000001</v>
      </c>
      <c r="G87" s="300" t="s">
        <v>560</v>
      </c>
      <c r="H87" s="300"/>
      <c r="I87" s="300"/>
      <c r="J87" s="300"/>
      <c r="K87" s="300"/>
      <c r="L87" s="320"/>
      <c r="M87" s="320"/>
    </row>
    <row r="88" spans="1:13">
      <c r="A88" s="319"/>
      <c r="B88" s="300"/>
      <c r="C88" s="543" t="str">
        <f>'Dimensiones de la Red'!B143</f>
        <v>L ala corregido=</v>
      </c>
      <c r="D88" s="543"/>
      <c r="E88" s="543"/>
      <c r="F88" s="347">
        <f>F87</f>
        <v>13.104000000000001</v>
      </c>
      <c r="G88" s="73" t="s">
        <v>560</v>
      </c>
      <c r="H88" s="300"/>
      <c r="I88" s="300"/>
      <c r="J88" s="300"/>
      <c r="K88" s="300"/>
      <c r="L88" s="320"/>
      <c r="M88" s="320"/>
    </row>
    <row r="89" spans="1:13">
      <c r="A89" s="319"/>
      <c r="B89" s="300"/>
      <c r="C89" s="543" t="str">
        <f t="array" ref="C89">'Dimensiones de la Red'!E143:F143</f>
        <v>L bocana corregido</v>
      </c>
      <c r="D89" s="543"/>
      <c r="E89" s="543"/>
      <c r="F89" s="347">
        <f>'Dimensiones de la Red'!G143</f>
        <v>2.4899999999999998</v>
      </c>
      <c r="G89" s="73" t="s">
        <v>560</v>
      </c>
      <c r="H89" s="300"/>
      <c r="I89" s="300"/>
      <c r="J89" s="300"/>
      <c r="K89" s="300"/>
      <c r="L89" s="320"/>
      <c r="M89" s="320"/>
    </row>
    <row r="90" spans="1:13">
      <c r="A90" s="319"/>
      <c r="B90" s="300"/>
      <c r="C90" s="543" t="str">
        <f>F69</f>
        <v>Flotación total</v>
      </c>
      <c r="D90" s="543"/>
      <c r="E90" s="543"/>
      <c r="F90" s="198">
        <f>ROUND(F70,0)</f>
        <v>36</v>
      </c>
      <c r="G90" s="73" t="s">
        <v>55</v>
      </c>
      <c r="H90" s="300"/>
      <c r="I90" s="300"/>
      <c r="J90" s="300"/>
      <c r="K90" s="300"/>
      <c r="L90" s="320"/>
      <c r="M90" s="320"/>
    </row>
    <row r="91" spans="1:13">
      <c r="A91" s="319"/>
      <c r="B91" s="300"/>
      <c r="C91" s="543" t="s">
        <v>764</v>
      </c>
      <c r="D91" s="543"/>
      <c r="E91" s="543"/>
      <c r="F91" s="347">
        <f>F84</f>
        <v>12</v>
      </c>
      <c r="G91" s="73" t="s">
        <v>791</v>
      </c>
      <c r="H91" s="300"/>
      <c r="I91" s="300"/>
      <c r="J91" s="300"/>
      <c r="K91" s="300"/>
      <c r="L91" s="320"/>
      <c r="M91" s="320"/>
    </row>
    <row r="92" spans="1:13">
      <c r="A92" s="319"/>
      <c r="B92" s="300"/>
      <c r="C92" s="543" t="s">
        <v>765</v>
      </c>
      <c r="D92" s="543"/>
      <c r="E92" s="543"/>
      <c r="F92" s="347">
        <f>LOOKUP(F91,cincuenta,D72:D82)</f>
        <v>200</v>
      </c>
      <c r="G92" s="73" t="s">
        <v>258</v>
      </c>
      <c r="H92" s="300"/>
      <c r="I92" s="300"/>
      <c r="J92" s="300"/>
      <c r="K92" s="300"/>
      <c r="L92" s="320"/>
      <c r="M92" s="320"/>
    </row>
    <row r="93" spans="1:13" s="255" customFormat="1">
      <c r="A93" s="319"/>
      <c r="B93" s="300"/>
      <c r="C93" s="312"/>
      <c r="D93" s="300"/>
      <c r="E93" s="312"/>
      <c r="F93" s="312"/>
      <c r="G93" s="300"/>
      <c r="H93" s="300"/>
      <c r="I93" s="300"/>
      <c r="J93" s="300"/>
      <c r="K93" s="300"/>
      <c r="L93" s="320"/>
      <c r="M93" s="320"/>
    </row>
    <row r="94" spans="1:13" ht="23.25">
      <c r="A94" s="398"/>
      <c r="B94" s="312"/>
      <c r="C94" s="734" t="s">
        <v>766</v>
      </c>
      <c r="D94" s="735"/>
      <c r="E94" s="735"/>
      <c r="F94" s="392">
        <f>F86/F91</f>
        <v>2.3915000000000002</v>
      </c>
      <c r="G94" s="312" t="s">
        <v>560</v>
      </c>
      <c r="H94" s="312"/>
      <c r="I94" s="312"/>
      <c r="J94" s="312"/>
      <c r="K94" s="312"/>
      <c r="L94" s="399"/>
      <c r="M94" s="320"/>
    </row>
    <row r="95" spans="1:13">
      <c r="A95" s="319"/>
      <c r="B95" s="300"/>
      <c r="C95" s="713" t="s">
        <v>767</v>
      </c>
      <c r="D95" s="543"/>
      <c r="E95" s="543"/>
      <c r="F95" s="339">
        <f>INT(F87/F94)</f>
        <v>5</v>
      </c>
      <c r="G95" s="73" t="s">
        <v>792</v>
      </c>
      <c r="H95" s="300"/>
      <c r="I95" s="300"/>
      <c r="J95" s="300"/>
      <c r="K95" s="300"/>
      <c r="L95" s="320"/>
      <c r="M95" s="320"/>
    </row>
    <row r="96" spans="1:13" ht="15.75" thickBot="1">
      <c r="A96" s="319"/>
      <c r="B96" s="300"/>
      <c r="C96" s="721" t="s">
        <v>768</v>
      </c>
      <c r="D96" s="722"/>
      <c r="E96" s="722"/>
      <c r="F96" s="383">
        <f>F91-2*F95</f>
        <v>2</v>
      </c>
      <c r="G96" s="73" t="s">
        <v>792</v>
      </c>
      <c r="H96" s="300"/>
      <c r="I96" s="300"/>
      <c r="J96" s="300"/>
      <c r="K96" s="300"/>
      <c r="L96" s="320"/>
      <c r="M96" s="320"/>
    </row>
    <row r="97" spans="1:13">
      <c r="A97" s="319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20"/>
      <c r="M97" s="320"/>
    </row>
    <row r="98" spans="1:13" ht="15.75" thickBot="1">
      <c r="A98" s="319"/>
      <c r="B98" s="300"/>
      <c r="C98" s="300"/>
      <c r="D98" s="300"/>
      <c r="E98" s="300"/>
      <c r="F98" s="300"/>
      <c r="G98" s="300"/>
      <c r="H98" s="300"/>
      <c r="I98" s="300"/>
      <c r="J98" s="300"/>
      <c r="K98" s="300"/>
      <c r="L98" s="320"/>
      <c r="M98" s="320"/>
    </row>
    <row r="99" spans="1:13">
      <c r="A99" s="340"/>
      <c r="B99" s="393" t="s">
        <v>769</v>
      </c>
      <c r="C99" s="394"/>
      <c r="D99" s="394"/>
      <c r="E99" s="394">
        <f>F91</f>
        <v>12</v>
      </c>
      <c r="F99" s="394" t="s">
        <v>770</v>
      </c>
      <c r="G99" s="394">
        <f>F92</f>
        <v>200</v>
      </c>
      <c r="H99" s="394" t="s">
        <v>771</v>
      </c>
      <c r="I99" s="394"/>
      <c r="J99" s="395">
        <f>F94</f>
        <v>2.3915000000000002</v>
      </c>
      <c r="K99" s="396" t="s">
        <v>153</v>
      </c>
      <c r="L99" s="341"/>
      <c r="M99" s="320"/>
    </row>
    <row r="100" spans="1:13">
      <c r="A100" s="319"/>
      <c r="B100" s="300"/>
      <c r="C100" s="300"/>
      <c r="D100" s="300"/>
      <c r="E100" s="300"/>
      <c r="F100" s="300"/>
      <c r="G100" s="300"/>
      <c r="H100" s="300"/>
      <c r="I100" s="300"/>
      <c r="J100" s="300"/>
      <c r="K100" s="300"/>
      <c r="L100" s="320"/>
      <c r="M100" s="320"/>
    </row>
    <row r="101" spans="1:13">
      <c r="A101" s="398"/>
      <c r="B101" s="312"/>
      <c r="C101" s="731" t="s">
        <v>772</v>
      </c>
      <c r="D101" s="608"/>
      <c r="E101" s="608"/>
      <c r="F101" s="205" t="s">
        <v>776</v>
      </c>
      <c r="G101" s="312" t="s">
        <v>778</v>
      </c>
      <c r="H101" s="538" t="s">
        <v>781</v>
      </c>
      <c r="I101" s="312"/>
      <c r="J101" s="312"/>
      <c r="K101" s="312"/>
      <c r="L101" s="399"/>
      <c r="M101" s="320"/>
    </row>
    <row r="102" spans="1:13">
      <c r="A102" s="319"/>
      <c r="B102" s="300"/>
      <c r="C102" s="732"/>
      <c r="D102" s="689"/>
      <c r="E102" s="689"/>
      <c r="F102" s="199" t="s">
        <v>777</v>
      </c>
      <c r="G102" s="300" t="s">
        <v>779</v>
      </c>
      <c r="H102" s="538"/>
      <c r="I102" s="300"/>
      <c r="J102" s="300"/>
      <c r="K102" s="300"/>
      <c r="L102" s="320"/>
      <c r="M102" s="320"/>
    </row>
    <row r="103" spans="1:13">
      <c r="A103" s="319"/>
      <c r="B103" s="300"/>
      <c r="C103" s="713" t="s">
        <v>773</v>
      </c>
      <c r="D103" s="543"/>
      <c r="E103" s="543"/>
      <c r="F103" s="347">
        <v>0.7</v>
      </c>
      <c r="G103" s="1">
        <f>EVEN(F91*F103)</f>
        <v>10</v>
      </c>
      <c r="H103" s="339">
        <f>G103/2</f>
        <v>5</v>
      </c>
      <c r="I103" s="300"/>
      <c r="J103" s="300"/>
      <c r="K103" s="300"/>
      <c r="L103" s="320"/>
      <c r="M103" s="320"/>
    </row>
    <row r="104" spans="1:13">
      <c r="A104" s="319"/>
      <c r="B104" s="300"/>
      <c r="C104" s="729" t="s">
        <v>774</v>
      </c>
      <c r="D104" s="730"/>
      <c r="E104" s="730"/>
      <c r="F104" s="205">
        <f>1-F103</f>
        <v>0.30000000000000004</v>
      </c>
      <c r="G104" s="387">
        <f>F91-G103</f>
        <v>2</v>
      </c>
      <c r="H104" s="427" t="s">
        <v>857</v>
      </c>
      <c r="I104" s="300"/>
      <c r="J104" s="300"/>
      <c r="K104" s="300"/>
      <c r="L104" s="320"/>
      <c r="M104" s="320"/>
    </row>
    <row r="105" spans="1:13">
      <c r="A105" s="319"/>
      <c r="B105" s="300"/>
      <c r="C105" s="733" t="s">
        <v>780</v>
      </c>
      <c r="D105" s="602"/>
      <c r="E105" s="602"/>
      <c r="F105" s="602"/>
      <c r="G105" s="603"/>
      <c r="H105" s="320"/>
      <c r="I105" s="300"/>
      <c r="J105" s="300"/>
      <c r="K105" s="300"/>
      <c r="L105" s="320"/>
      <c r="M105" s="320"/>
    </row>
    <row r="106" spans="1:13">
      <c r="A106" s="319"/>
      <c r="B106" s="300"/>
      <c r="C106" s="713" t="s">
        <v>782</v>
      </c>
      <c r="D106" s="543"/>
      <c r="E106" s="543"/>
      <c r="F106" s="543"/>
      <c r="G106" s="347">
        <v>0.6</v>
      </c>
      <c r="H106" s="320"/>
      <c r="I106" s="300"/>
      <c r="J106" s="389"/>
      <c r="K106" s="300"/>
      <c r="L106" s="320"/>
      <c r="M106" s="320"/>
    </row>
    <row r="107" spans="1:13" ht="15.75" thickBot="1">
      <c r="A107" s="319"/>
      <c r="B107" s="300"/>
      <c r="C107" s="721" t="s">
        <v>783</v>
      </c>
      <c r="D107" s="722"/>
      <c r="E107" s="722"/>
      <c r="F107" s="722"/>
      <c r="G107" s="385">
        <f>H103*G106</f>
        <v>3</v>
      </c>
      <c r="H107" s="323"/>
      <c r="I107" s="300"/>
      <c r="J107" s="300"/>
      <c r="K107" s="300"/>
      <c r="L107" s="320"/>
      <c r="M107" s="320"/>
    </row>
    <row r="108" spans="1:13">
      <c r="A108" s="319"/>
      <c r="B108" s="300"/>
      <c r="C108" s="300"/>
      <c r="D108" s="300"/>
      <c r="E108" s="300"/>
      <c r="F108" s="300"/>
      <c r="G108" s="300"/>
      <c r="H108" s="300"/>
      <c r="I108" s="300"/>
      <c r="J108" s="300"/>
      <c r="K108" s="300"/>
      <c r="L108" s="320"/>
      <c r="M108" s="320"/>
    </row>
    <row r="109" spans="1:13">
      <c r="A109" s="319"/>
      <c r="B109" s="300"/>
      <c r="C109" s="300"/>
      <c r="D109" s="300"/>
      <c r="E109" s="300"/>
      <c r="F109" s="300"/>
      <c r="G109" s="300"/>
      <c r="H109" s="300"/>
      <c r="I109" s="300"/>
      <c r="J109" s="300"/>
      <c r="K109" s="300"/>
      <c r="L109" s="320"/>
      <c r="M109" s="320"/>
    </row>
    <row r="110" spans="1:13">
      <c r="A110" s="723" t="s">
        <v>785</v>
      </c>
      <c r="B110" s="671"/>
      <c r="C110" s="671"/>
      <c r="D110" s="671"/>
      <c r="E110" s="671"/>
      <c r="F110" s="353">
        <f>G107</f>
        <v>3</v>
      </c>
      <c r="G110" s="312" t="s">
        <v>784</v>
      </c>
      <c r="H110" s="353">
        <f>ROUND((F89)/(G107-1),2)</f>
        <v>1.25</v>
      </c>
      <c r="I110" s="312" t="s">
        <v>856</v>
      </c>
      <c r="J110" s="353">
        <f>F92</f>
        <v>200</v>
      </c>
      <c r="K110" s="671" t="s">
        <v>786</v>
      </c>
      <c r="L110" s="724"/>
      <c r="M110" s="320"/>
    </row>
    <row r="111" spans="1:13">
      <c r="A111" s="725" t="s">
        <v>787</v>
      </c>
      <c r="B111" s="529"/>
      <c r="C111" s="388">
        <f>F88-F89</f>
        <v>10.614000000000001</v>
      </c>
      <c r="D111" s="529" t="s">
        <v>852</v>
      </c>
      <c r="E111" s="529"/>
      <c r="F111" s="346">
        <f>H103-G104</f>
        <v>3</v>
      </c>
      <c r="G111" s="300" t="s">
        <v>784</v>
      </c>
      <c r="H111" s="346">
        <f>(INT(C111/F111))</f>
        <v>3</v>
      </c>
      <c r="I111" s="527" t="s">
        <v>858</v>
      </c>
      <c r="J111" s="527"/>
      <c r="K111" s="527"/>
      <c r="L111" s="726"/>
      <c r="M111" s="320"/>
    </row>
    <row r="112" spans="1:13" ht="15.75" thickBot="1">
      <c r="A112" s="727" t="s">
        <v>859</v>
      </c>
      <c r="B112" s="728"/>
      <c r="C112" s="728"/>
      <c r="D112" s="728"/>
      <c r="E112" s="390">
        <f>C111-(H111*F111)</f>
        <v>1.6140000000000008</v>
      </c>
      <c r="F112" s="728" t="s">
        <v>788</v>
      </c>
      <c r="G112" s="728"/>
      <c r="H112" s="728"/>
      <c r="I112" s="391">
        <f>G104</f>
        <v>2</v>
      </c>
      <c r="J112" s="322" t="s">
        <v>789</v>
      </c>
      <c r="K112" s="391">
        <f>F89/3</f>
        <v>0.83</v>
      </c>
      <c r="L112" s="323" t="s">
        <v>790</v>
      </c>
      <c r="M112" s="320"/>
    </row>
    <row r="113" spans="1:13" s="255" customFormat="1" ht="15.75" thickBot="1">
      <c r="A113" s="425"/>
      <c r="B113" s="391"/>
      <c r="C113" s="391"/>
      <c r="D113" s="391"/>
      <c r="E113" s="390"/>
      <c r="F113" s="391"/>
      <c r="G113" s="391"/>
      <c r="H113" s="391"/>
      <c r="I113" s="391"/>
      <c r="J113" s="322"/>
      <c r="K113" s="391"/>
      <c r="L113" s="322"/>
      <c r="M113" s="320"/>
    </row>
    <row r="114" spans="1:13" ht="15.75" thickBot="1">
      <c r="A114" s="321"/>
      <c r="B114" s="322"/>
      <c r="C114" s="322"/>
      <c r="D114" s="322"/>
      <c r="E114" s="322"/>
      <c r="F114" s="322"/>
      <c r="G114" s="322"/>
      <c r="H114" s="322"/>
      <c r="I114" s="322"/>
      <c r="J114" s="322"/>
      <c r="K114" s="322"/>
      <c r="L114" s="322"/>
      <c r="M114" s="323"/>
    </row>
    <row r="115" spans="1:13" ht="15.75" thickBot="1"/>
    <row r="116" spans="1:13">
      <c r="A116" s="691" t="s">
        <v>793</v>
      </c>
      <c r="B116" s="692"/>
      <c r="C116" s="692"/>
      <c r="D116" s="692"/>
      <c r="E116" s="692"/>
      <c r="F116" s="692"/>
      <c r="G116" s="692"/>
      <c r="H116" s="692"/>
      <c r="I116" s="692"/>
      <c r="J116" s="692"/>
      <c r="K116" s="692"/>
      <c r="L116" s="692"/>
      <c r="M116" s="693"/>
    </row>
    <row r="117" spans="1:13">
      <c r="A117" s="718"/>
      <c r="B117" s="719"/>
      <c r="C117" s="719"/>
      <c r="D117" s="719"/>
      <c r="E117" s="719"/>
      <c r="F117" s="719"/>
      <c r="G117" s="719"/>
      <c r="H117" s="719"/>
      <c r="I117" s="719"/>
      <c r="J117" s="719"/>
      <c r="K117" s="719"/>
      <c r="L117" s="719"/>
      <c r="M117" s="720"/>
    </row>
    <row r="118" spans="1:13">
      <c r="A118" s="319"/>
      <c r="B118" s="300"/>
      <c r="C118" s="300"/>
      <c r="D118" s="300"/>
      <c r="E118" s="300"/>
      <c r="F118" s="300"/>
      <c r="G118" s="300"/>
      <c r="H118" s="300"/>
      <c r="I118" s="300"/>
      <c r="J118" s="300"/>
      <c r="K118" s="300"/>
      <c r="L118" s="300"/>
      <c r="M118" s="320"/>
    </row>
    <row r="119" spans="1:13">
      <c r="A119" s="319"/>
      <c r="B119" s="300"/>
      <c r="C119" s="300"/>
      <c r="D119" s="300"/>
      <c r="E119" s="300"/>
      <c r="F119" s="300"/>
      <c r="G119" s="300"/>
      <c r="H119" s="300"/>
      <c r="I119" s="300"/>
      <c r="J119" s="300"/>
      <c r="K119" s="300"/>
      <c r="L119" s="300"/>
      <c r="M119" s="320"/>
    </row>
    <row r="120" spans="1:13">
      <c r="A120" s="319"/>
      <c r="B120" s="300"/>
      <c r="C120" s="300"/>
      <c r="D120" s="300"/>
      <c r="E120" s="300"/>
      <c r="F120" s="300"/>
      <c r="G120" s="300"/>
      <c r="H120" s="300"/>
      <c r="I120" s="300"/>
      <c r="J120" s="300"/>
      <c r="K120" s="300"/>
      <c r="L120" s="300"/>
      <c r="M120" s="320"/>
    </row>
    <row r="121" spans="1:13">
      <c r="A121" s="319"/>
      <c r="B121" s="300"/>
      <c r="C121" s="300"/>
      <c r="D121" s="300"/>
      <c r="E121" s="300"/>
      <c r="F121" s="300"/>
      <c r="G121" s="300"/>
      <c r="H121" s="300"/>
      <c r="I121" s="300"/>
      <c r="J121" s="300"/>
      <c r="K121" s="300"/>
      <c r="L121" s="300"/>
      <c r="M121" s="320"/>
    </row>
    <row r="122" spans="1:13">
      <c r="A122" s="319"/>
      <c r="B122" s="300"/>
      <c r="C122" s="300"/>
      <c r="D122" s="300"/>
      <c r="E122" s="300"/>
      <c r="F122" s="300"/>
      <c r="G122" s="300"/>
      <c r="H122" s="300"/>
      <c r="I122" s="300"/>
      <c r="J122" s="300"/>
      <c r="K122" s="300"/>
      <c r="L122" s="300"/>
      <c r="M122" s="320"/>
    </row>
    <row r="123" spans="1:13">
      <c r="D123" s="535" t="str">
        <f>C91</f>
        <v>Numero total de boyas</v>
      </c>
      <c r="E123" s="474"/>
      <c r="F123" s="474"/>
      <c r="G123" s="474"/>
      <c r="H123" s="347">
        <f>F91</f>
        <v>12</v>
      </c>
      <c r="I123" s="347" t="str">
        <f>G91</f>
        <v>Unidades</v>
      </c>
      <c r="J123" s="300"/>
      <c r="K123" s="300"/>
      <c r="L123" s="300"/>
      <c r="M123" s="320"/>
    </row>
    <row r="124" spans="1:13">
      <c r="D124" s="535" t="str">
        <f t="array" ref="D124">'Portones y aparejamiento'!B203:D203</f>
        <v>Densidad del agua de mar (ρmar) =</v>
      </c>
      <c r="E124" s="474"/>
      <c r="F124" s="474"/>
      <c r="G124" s="474"/>
      <c r="H124" s="347">
        <f t="array" ref="H124">'Portones y aparejamiento'!E203:G203</f>
        <v>1024</v>
      </c>
      <c r="I124" s="347"/>
      <c r="J124" s="300"/>
      <c r="K124" s="300"/>
      <c r="L124" s="300"/>
      <c r="M124" s="320"/>
    </row>
    <row r="125" spans="1:13">
      <c r="D125" s="535" t="str">
        <f t="array" ref="D125">'Portones y aparejamiento'!B204:D204</f>
        <v>Densidad del agua dulce (ρdulce) =</v>
      </c>
      <c r="E125" s="474"/>
      <c r="F125" s="474"/>
      <c r="G125" s="474"/>
      <c r="H125" s="347">
        <f t="array" ref="H125">'Portones y aparejamiento'!E204:G204</f>
        <v>1000</v>
      </c>
      <c r="I125" s="347"/>
      <c r="J125" s="300"/>
      <c r="K125" s="300"/>
      <c r="L125" s="300"/>
      <c r="M125" s="320"/>
    </row>
    <row r="126" spans="1:13">
      <c r="D126" s="535" t="str">
        <f t="array" ref="D126">'Portones y aparejamiento'!B205:D205</f>
        <v>Aceleración de la gravedad (g) =</v>
      </c>
      <c r="E126" s="474"/>
      <c r="F126" s="474"/>
      <c r="G126" s="474"/>
      <c r="H126" s="347">
        <f t="array" ref="H126">'Portones y aparejamiento'!E205:G205</f>
        <v>9.81</v>
      </c>
      <c r="I126" s="347"/>
      <c r="J126" s="300"/>
      <c r="K126" s="300"/>
      <c r="L126" s="300"/>
      <c r="M126" s="320"/>
    </row>
    <row r="127" spans="1:13">
      <c r="D127" s="535" t="str">
        <f t="array" ref="D127">C92</f>
        <v>Diametro de la boya</v>
      </c>
      <c r="E127" s="474"/>
      <c r="F127" s="474"/>
      <c r="G127" s="474"/>
      <c r="H127" s="347">
        <f>F92</f>
        <v>200</v>
      </c>
      <c r="I127" s="347" t="s">
        <v>258</v>
      </c>
      <c r="J127" s="300"/>
      <c r="K127" s="300"/>
      <c r="L127" s="300"/>
      <c r="M127" s="320"/>
    </row>
    <row r="128" spans="1:13">
      <c r="D128" s="535" t="str">
        <f>D127</f>
        <v>Diametro de la boya</v>
      </c>
      <c r="E128" s="474"/>
      <c r="F128" s="474"/>
      <c r="G128" s="474"/>
      <c r="H128" s="347">
        <f>H127/1000</f>
        <v>0.2</v>
      </c>
      <c r="I128" s="347" t="s">
        <v>560</v>
      </c>
      <c r="J128" s="300"/>
      <c r="K128" s="300"/>
      <c r="L128" s="300"/>
      <c r="M128" s="320"/>
    </row>
    <row r="129" spans="1:13">
      <c r="D129" s="535" t="s">
        <v>794</v>
      </c>
      <c r="E129" s="474"/>
      <c r="F129" s="474"/>
      <c r="G129" s="474"/>
      <c r="H129" s="347">
        <f>0.47</f>
        <v>0.47</v>
      </c>
      <c r="I129" s="218" t="s">
        <v>136</v>
      </c>
      <c r="J129" s="300"/>
      <c r="K129" s="300"/>
      <c r="L129" s="300"/>
      <c r="M129" s="320"/>
    </row>
    <row r="130" spans="1:13">
      <c r="D130" s="535" t="s">
        <v>797</v>
      </c>
      <c r="E130" s="474"/>
      <c r="F130" s="474"/>
      <c r="G130" s="474"/>
      <c r="H130" s="347">
        <f>0.00000183</f>
        <v>1.8300000000000001E-6</v>
      </c>
      <c r="I130" s="347" t="s">
        <v>795</v>
      </c>
      <c r="J130" s="300"/>
      <c r="K130" s="300"/>
      <c r="L130" s="300"/>
      <c r="M130" s="320"/>
    </row>
    <row r="131" spans="1:13">
      <c r="D131" s="535" t="s">
        <v>796</v>
      </c>
      <c r="E131" s="474"/>
      <c r="F131" s="474"/>
      <c r="G131" s="474"/>
      <c r="H131" s="347">
        <f>0.00000105</f>
        <v>1.0499999999999999E-6</v>
      </c>
      <c r="I131" s="347" t="s">
        <v>795</v>
      </c>
      <c r="J131" s="300"/>
      <c r="K131" s="300"/>
      <c r="L131" s="300"/>
      <c r="M131" s="320"/>
    </row>
    <row r="132" spans="1:13">
      <c r="D132" s="535" t="s">
        <v>798</v>
      </c>
      <c r="E132" s="474"/>
      <c r="F132" s="474"/>
      <c r="G132" s="474"/>
      <c r="H132" s="347">
        <f>AVERAGE(H130:H131)</f>
        <v>1.44E-6</v>
      </c>
      <c r="I132" s="347" t="s">
        <v>795</v>
      </c>
      <c r="J132" s="300"/>
      <c r="K132" s="300"/>
      <c r="L132" s="300"/>
      <c r="M132" s="320"/>
    </row>
    <row r="133" spans="1:13">
      <c r="A133" s="319"/>
      <c r="B133" s="300"/>
      <c r="C133" s="300"/>
      <c r="D133" s="300"/>
      <c r="E133" s="300"/>
      <c r="F133" s="300"/>
      <c r="G133" s="300"/>
      <c r="H133" s="300"/>
      <c r="I133" s="300"/>
      <c r="J133" s="300"/>
      <c r="K133" s="300"/>
      <c r="L133" s="300"/>
      <c r="M133" s="320"/>
    </row>
    <row r="134" spans="1:13">
      <c r="A134" s="319"/>
      <c r="B134" s="300"/>
      <c r="C134" s="300"/>
      <c r="D134" s="300"/>
      <c r="E134" s="300"/>
      <c r="F134" s="300"/>
      <c r="G134" s="300"/>
      <c r="H134" s="300"/>
      <c r="I134" s="300"/>
      <c r="J134" s="300"/>
      <c r="K134" s="300"/>
      <c r="L134" s="300"/>
      <c r="M134" s="320"/>
    </row>
    <row r="135" spans="1:13">
      <c r="A135" s="319"/>
      <c r="B135" s="300"/>
      <c r="C135" s="300"/>
      <c r="D135" s="300"/>
      <c r="E135" s="300"/>
      <c r="F135" s="300"/>
      <c r="G135" s="300"/>
      <c r="H135" s="300"/>
      <c r="I135" s="300"/>
      <c r="J135" s="300"/>
      <c r="K135" s="300"/>
      <c r="L135" s="300"/>
      <c r="M135" s="320"/>
    </row>
    <row r="136" spans="1:13">
      <c r="A136" s="319"/>
      <c r="D136" s="526" t="str">
        <f t="array" ref="D136">'Resistencia de la RED'!A300:B300</f>
        <v>Velocidad</v>
      </c>
      <c r="E136" s="603"/>
      <c r="F136" s="401" t="str">
        <f>'Resistencia de la RED'!C212</f>
        <v>RN Estándar</v>
      </c>
      <c r="G136" s="402" t="str">
        <f>'Resistencia de la RED'!D212</f>
        <v>RN Modificada</v>
      </c>
      <c r="H136" s="344" t="s">
        <v>799</v>
      </c>
      <c r="I136" s="344" t="s">
        <v>708</v>
      </c>
      <c r="J136" s="344" t="s">
        <v>800</v>
      </c>
      <c r="K136" s="300"/>
      <c r="L136" s="300"/>
      <c r="M136" s="320"/>
    </row>
    <row r="137" spans="1:13">
      <c r="A137" s="319"/>
      <c r="D137" s="344" t="str">
        <f t="array" ref="D137">'Resistencia de la RED'!A301:B301</f>
        <v>Nudos</v>
      </c>
      <c r="E137" s="344" t="str">
        <f t="array" ref="E137">'Resistencia de la RED'!B301:C301</f>
        <v>[m/s]</v>
      </c>
      <c r="F137" s="344" t="s">
        <v>55</v>
      </c>
      <c r="G137" s="344" t="s">
        <v>55</v>
      </c>
      <c r="H137" s="402" t="s">
        <v>547</v>
      </c>
      <c r="I137" s="402" t="s">
        <v>547</v>
      </c>
      <c r="J137" s="344" t="s">
        <v>55</v>
      </c>
      <c r="K137" s="300"/>
      <c r="L137" s="300"/>
      <c r="M137" s="320"/>
    </row>
    <row r="138" spans="1:13">
      <c r="A138" s="319"/>
      <c r="D138" s="347">
        <f t="array" ref="D138">'Resistencia de la RED'!A302:B302</f>
        <v>1</v>
      </c>
      <c r="E138" s="347">
        <f t="array" ref="E138">'Resistencia de la RED'!B302:C302</f>
        <v>0.51439999999999997</v>
      </c>
      <c r="F138" s="197">
        <f>'Resistencia de la RED'!C214*1000</f>
        <v>422.36322657644956</v>
      </c>
      <c r="G138" s="197">
        <f>'Resistencia de la RED'!D214*1000</f>
        <v>413.44914989192739</v>
      </c>
      <c r="H138" s="313">
        <f t="shared" ref="H138:H146" si="18">(PI()*($H$128^2)*$E138)/$H$132</f>
        <v>44889.86836129416</v>
      </c>
      <c r="I138" s="347">
        <f>$H$129</f>
        <v>0.47</v>
      </c>
      <c r="J138" s="198">
        <f t="shared" ref="J138:J146" si="19">0.5*$H$123*$I138*($H$124/$H$126)*((PI()*$H$128^2)/4)*$E138^2</f>
        <v>2.446988059294398</v>
      </c>
      <c r="K138" s="300"/>
      <c r="L138" s="300"/>
      <c r="M138" s="320"/>
    </row>
    <row r="139" spans="1:13">
      <c r="A139" s="319"/>
      <c r="D139" s="347">
        <f t="array" ref="D139">'Resistencia de la RED'!A303:B303</f>
        <v>1.5</v>
      </c>
      <c r="E139" s="347">
        <f t="array" ref="E139">'Resistencia de la RED'!B303:C303</f>
        <v>0.77159999999999995</v>
      </c>
      <c r="F139" s="197">
        <f>'Resistencia de la RED'!C215*1000</f>
        <v>631.52956087214341</v>
      </c>
      <c r="G139" s="197">
        <f>'Resistencia de la RED'!D215*1000</f>
        <v>618.20097878939919</v>
      </c>
      <c r="H139" s="313">
        <f t="shared" si="18"/>
        <v>67334.80254194123</v>
      </c>
      <c r="I139" s="347">
        <f>$H$129</f>
        <v>0.47</v>
      </c>
      <c r="J139" s="198">
        <f t="shared" si="19"/>
        <v>5.5057231334123946</v>
      </c>
      <c r="K139" s="300"/>
      <c r="L139" s="300"/>
      <c r="M139" s="320"/>
    </row>
    <row r="140" spans="1:13">
      <c r="A140" s="319"/>
      <c r="D140" s="347">
        <f t="array" ref="D140">'Resistencia de la RED'!A304:B304</f>
        <v>2</v>
      </c>
      <c r="E140" s="347">
        <f t="array" ref="E140">'Resistencia de la RED'!B304:C304</f>
        <v>1.0287999999999999</v>
      </c>
      <c r="F140" s="197">
        <f>'Resistencia de la RED'!C216*1000</f>
        <v>914.90100549547947</v>
      </c>
      <c r="G140" s="197">
        <f>'Resistencia de la RED'!D216*1000</f>
        <v>895.5918014536428</v>
      </c>
      <c r="H140" s="313">
        <f t="shared" si="18"/>
        <v>89779.736722588321</v>
      </c>
      <c r="I140" s="347">
        <f>$H$129</f>
        <v>0.47</v>
      </c>
      <c r="J140" s="198">
        <f t="shared" si="19"/>
        <v>9.787952237177592</v>
      </c>
      <c r="K140" s="300"/>
      <c r="L140" s="300"/>
      <c r="M140" s="320"/>
    </row>
    <row r="141" spans="1:13">
      <c r="A141" s="319"/>
      <c r="D141" s="347">
        <f t="array" ref="D141">'Resistencia de la RED'!A305:B305</f>
        <v>2.5</v>
      </c>
      <c r="E141" s="347">
        <f t="array" ref="E141">'Resistencia de la RED'!B305:C305</f>
        <v>1.286</v>
      </c>
      <c r="F141" s="197">
        <f>'Resistencia de la RED'!C217*1000</f>
        <v>1266.3281776772249</v>
      </c>
      <c r="G141" s="197">
        <f>'Resistencia de la RED'!D217*1000</f>
        <v>1239.6020193061838</v>
      </c>
      <c r="H141" s="313">
        <f t="shared" si="18"/>
        <v>112224.6709032354</v>
      </c>
      <c r="I141" s="347">
        <f>$H$129</f>
        <v>0.47</v>
      </c>
      <c r="J141" s="198">
        <f t="shared" si="19"/>
        <v>15.293675370589989</v>
      </c>
      <c r="K141" s="300"/>
      <c r="L141" s="300"/>
      <c r="M141" s="320"/>
    </row>
    <row r="142" spans="1:13">
      <c r="A142" s="319"/>
      <c r="D142" s="347">
        <f t="array" ref="D142">'Resistencia de la RED'!A306:B306</f>
        <v>3</v>
      </c>
      <c r="E142" s="347">
        <f t="array" ref="E142">'Resistencia de la RED'!B306:C306</f>
        <v>1.5432000000000001</v>
      </c>
      <c r="F142" s="197">
        <f>'Resistencia de la RED'!C218*1000</f>
        <v>1680.3228964186867</v>
      </c>
      <c r="G142" s="197">
        <f>'Resistencia de la RED'!D218*1000</f>
        <v>1644.8592807179402</v>
      </c>
      <c r="H142" s="313">
        <f t="shared" si="18"/>
        <v>134669.60508388249</v>
      </c>
      <c r="I142" s="347">
        <f>0.5</f>
        <v>0.5</v>
      </c>
      <c r="J142" s="198">
        <f t="shared" si="19"/>
        <v>23.428609078350629</v>
      </c>
      <c r="K142" s="300"/>
      <c r="L142" s="300"/>
      <c r="M142" s="320"/>
    </row>
    <row r="143" spans="1:13">
      <c r="A143" s="319"/>
      <c r="D143" s="347">
        <f t="array" ref="D143">'Resistencia de la RED'!A307:B307</f>
        <v>3.5</v>
      </c>
      <c r="E143" s="347">
        <f t="array" ref="E143">'Resistencia de la RED'!B307:C307</f>
        <v>1.8004</v>
      </c>
      <c r="F143" s="197">
        <f>'Resistencia de la RED'!C219*1000</f>
        <v>2151.9716405847998</v>
      </c>
      <c r="G143" s="197">
        <f>'Resistencia de la RED'!D219*1000</f>
        <v>2106.5537655899047</v>
      </c>
      <c r="H143" s="313">
        <f t="shared" si="18"/>
        <v>157114.53926452957</v>
      </c>
      <c r="I143" s="347">
        <f t="shared" ref="I143:I146" si="20">0.5</f>
        <v>0.5</v>
      </c>
      <c r="J143" s="198">
        <f t="shared" si="19"/>
        <v>31.888940134421681</v>
      </c>
      <c r="K143" s="300"/>
      <c r="L143" s="300"/>
      <c r="M143" s="320"/>
    </row>
    <row r="144" spans="1:13">
      <c r="A144" s="319"/>
      <c r="D144" s="347">
        <f t="array" ref="D144">'Resistencia de la RED'!A308:B308</f>
        <v>4</v>
      </c>
      <c r="E144" s="347">
        <f t="array" ref="E144">'Resistencia de la RED'!B308:C308</f>
        <v>2.0575999999999999</v>
      </c>
      <c r="F144" s="197">
        <f>'Resistencia de la RED'!C220*1000</f>
        <v>2676.8622527857369</v>
      </c>
      <c r="G144" s="197">
        <f>'Resistencia de la RED'!D220*1000</f>
        <v>2620.3664361668261</v>
      </c>
      <c r="H144" s="313">
        <f t="shared" si="18"/>
        <v>179559.47344517664</v>
      </c>
      <c r="I144" s="347">
        <f t="shared" si="20"/>
        <v>0.5</v>
      </c>
      <c r="J144" s="198">
        <f t="shared" si="19"/>
        <v>41.650860583734435</v>
      </c>
      <c r="K144" s="300"/>
      <c r="L144" s="300"/>
      <c r="M144" s="320"/>
    </row>
    <row r="145" spans="1:13">
      <c r="A145" s="319"/>
      <c r="D145" s="347">
        <f t="array" ref="D145">'Resistencia de la RED'!A309:B309</f>
        <v>4.5</v>
      </c>
      <c r="E145" s="347">
        <f t="array" ref="E145">'Resistencia de la RED'!B309:C309</f>
        <v>2.3148</v>
      </c>
      <c r="F145" s="197">
        <f>'Resistencia de la RED'!C221*1000</f>
        <v>3251.0215826380531</v>
      </c>
      <c r="G145" s="197">
        <f>'Resistencia de la RED'!D221*1000</f>
        <v>3182.4079963522054</v>
      </c>
      <c r="H145" s="313">
        <f t="shared" si="18"/>
        <v>202004.40762582372</v>
      </c>
      <c r="I145" s="347">
        <f t="shared" si="20"/>
        <v>0.5</v>
      </c>
      <c r="J145" s="198">
        <f t="shared" si="19"/>
        <v>52.714370426288895</v>
      </c>
      <c r="K145" s="300"/>
      <c r="L145" s="300"/>
      <c r="M145" s="320"/>
    </row>
    <row r="146" spans="1:13">
      <c r="A146" s="319"/>
      <c r="D146" s="347">
        <f t="array" ref="D146">'Resistencia de la RED'!A310:B310</f>
        <v>5</v>
      </c>
      <c r="E146" s="347">
        <f t="array" ref="E146">'Resistencia de la RED'!B310:C310</f>
        <v>2.5720000000000001</v>
      </c>
      <c r="F146" s="197">
        <f>'Resistencia de la RED'!C222*1000</f>
        <v>3870.8622108292311</v>
      </c>
      <c r="G146" s="197">
        <f>'Resistencia de la RED'!D222*1000</f>
        <v>3789.1667401741761</v>
      </c>
      <c r="H146" s="313">
        <f t="shared" si="18"/>
        <v>224449.34180647079</v>
      </c>
      <c r="I146" s="347">
        <f t="shared" si="20"/>
        <v>0.5</v>
      </c>
      <c r="J146" s="198">
        <f t="shared" si="19"/>
        <v>65.079469662085074</v>
      </c>
      <c r="K146" s="300"/>
      <c r="L146" s="300"/>
      <c r="M146" s="320"/>
    </row>
    <row r="147" spans="1:13" ht="15.75" thickBot="1">
      <c r="A147" s="321"/>
      <c r="B147" s="322"/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3"/>
    </row>
    <row r="149" spans="1:13" ht="15.75" thickBot="1"/>
    <row r="150" spans="1:13">
      <c r="A150" s="334"/>
      <c r="B150" s="659" t="s">
        <v>808</v>
      </c>
      <c r="C150" s="659"/>
      <c r="D150" s="659"/>
      <c r="E150" s="659"/>
      <c r="F150" s="659"/>
      <c r="G150" s="659"/>
      <c r="H150" s="659"/>
      <c r="I150" s="659"/>
      <c r="J150" s="659"/>
      <c r="K150" s="659"/>
      <c r="L150" s="659"/>
      <c r="M150" s="716"/>
    </row>
    <row r="151" spans="1:13">
      <c r="A151" s="319"/>
      <c r="B151" s="689"/>
      <c r="C151" s="689"/>
      <c r="D151" s="689"/>
      <c r="E151" s="689"/>
      <c r="F151" s="689"/>
      <c r="G151" s="689"/>
      <c r="H151" s="689"/>
      <c r="I151" s="689"/>
      <c r="J151" s="689"/>
      <c r="K151" s="689"/>
      <c r="L151" s="689"/>
      <c r="M151" s="717"/>
    </row>
    <row r="152" spans="1:13" ht="15.75" thickBot="1">
      <c r="A152" s="319"/>
      <c r="B152" s="300"/>
      <c r="C152" s="300"/>
      <c r="D152" s="300"/>
      <c r="E152" s="300"/>
      <c r="F152" s="300"/>
      <c r="G152" s="300"/>
      <c r="H152" s="300"/>
      <c r="I152" s="300"/>
      <c r="J152" s="300"/>
      <c r="K152" s="300"/>
      <c r="L152" s="300"/>
      <c r="M152" s="320"/>
    </row>
    <row r="153" spans="1:13">
      <c r="A153" s="319"/>
      <c r="B153" s="300"/>
      <c r="C153" s="300"/>
      <c r="D153" s="696" t="s">
        <v>809</v>
      </c>
      <c r="E153" s="665"/>
      <c r="F153" s="665"/>
      <c r="G153" s="665"/>
      <c r="H153" s="665"/>
      <c r="I153" s="697"/>
      <c r="J153" s="300"/>
      <c r="K153" s="300"/>
      <c r="L153" s="300"/>
      <c r="M153" s="320"/>
    </row>
    <row r="154" spans="1:13">
      <c r="A154" s="319"/>
      <c r="B154" s="300"/>
      <c r="C154" s="300"/>
      <c r="D154" s="319"/>
      <c r="E154" s="300"/>
      <c r="F154" s="300"/>
      <c r="G154" s="300"/>
      <c r="H154" s="300"/>
      <c r="I154" s="320"/>
      <c r="J154" s="300"/>
      <c r="K154" s="300"/>
      <c r="L154" s="300"/>
      <c r="M154" s="320"/>
    </row>
    <row r="155" spans="1:13">
      <c r="A155" s="319"/>
      <c r="B155" s="300"/>
      <c r="C155" s="300"/>
      <c r="D155" s="535" t="str">
        <f t="array" ref="D155">'Dimensiones de la Red'!B45:E45</f>
        <v>Lima, Relinga Superior (L)</v>
      </c>
      <c r="E155" s="474"/>
      <c r="F155" s="474"/>
      <c r="G155" s="197">
        <f>Lima</f>
        <v>28.698</v>
      </c>
      <c r="H155" s="300" t="s">
        <v>560</v>
      </c>
      <c r="I155" s="320"/>
      <c r="J155" s="300"/>
      <c r="K155" s="300"/>
      <c r="L155" s="300"/>
      <c r="M155" s="320"/>
    </row>
    <row r="156" spans="1:13">
      <c r="A156" s="319"/>
      <c r="B156" s="300"/>
      <c r="C156" s="300"/>
      <c r="D156" s="319"/>
      <c r="E156" s="300"/>
      <c r="F156" s="300"/>
      <c r="G156" s="300"/>
      <c r="H156" s="300"/>
      <c r="I156" s="320"/>
      <c r="J156" s="300"/>
      <c r="K156" s="300"/>
      <c r="L156" s="300"/>
      <c r="M156" s="320"/>
    </row>
    <row r="157" spans="1:13">
      <c r="A157" s="319"/>
      <c r="B157" s="300"/>
      <c r="C157" s="300"/>
      <c r="D157" s="319"/>
      <c r="E157" s="300"/>
      <c r="F157" s="300"/>
      <c r="G157" s="300"/>
      <c r="H157" s="300"/>
      <c r="I157" s="320"/>
      <c r="J157" s="300"/>
      <c r="K157" s="300"/>
      <c r="L157" s="300"/>
      <c r="M157" s="320"/>
    </row>
    <row r="158" spans="1:13">
      <c r="A158" s="319"/>
      <c r="B158" s="300"/>
      <c r="C158" s="300"/>
      <c r="D158" s="319"/>
      <c r="E158" s="300"/>
      <c r="F158" s="300"/>
      <c r="G158" s="300"/>
      <c r="H158" s="300"/>
      <c r="I158" s="320"/>
      <c r="J158" s="300"/>
      <c r="K158" s="300"/>
      <c r="L158" s="300"/>
      <c r="M158" s="320"/>
    </row>
    <row r="159" spans="1:13" ht="15.75" thickBot="1">
      <c r="A159" s="319"/>
      <c r="B159" s="300"/>
      <c r="C159" s="300"/>
      <c r="D159" s="715" t="s">
        <v>810</v>
      </c>
      <c r="E159" s="714"/>
      <c r="F159" s="714"/>
      <c r="G159" s="385">
        <f>(1.81*G155)-4.54</f>
        <v>47.403380000000006</v>
      </c>
      <c r="H159" s="322" t="s">
        <v>811</v>
      </c>
      <c r="I159" s="323"/>
      <c r="J159" s="300"/>
      <c r="K159" s="300"/>
      <c r="L159" s="300"/>
      <c r="M159" s="320"/>
    </row>
    <row r="160" spans="1:13">
      <c r="A160" s="319"/>
      <c r="B160" s="300"/>
      <c r="C160" s="300"/>
      <c r="D160" s="300"/>
      <c r="E160" s="300"/>
      <c r="F160" s="300"/>
      <c r="G160" s="300"/>
      <c r="H160" s="300"/>
      <c r="I160" s="300"/>
      <c r="J160" s="300"/>
      <c r="K160" s="300"/>
      <c r="L160" s="300"/>
      <c r="M160" s="320"/>
    </row>
    <row r="161" spans="1:13" ht="15.75" thickBot="1">
      <c r="A161" s="319"/>
      <c r="B161" s="300"/>
      <c r="C161" s="300"/>
      <c r="D161" s="300"/>
      <c r="E161" s="300"/>
      <c r="F161" s="300"/>
      <c r="G161" s="300"/>
      <c r="H161" s="300"/>
      <c r="I161" s="300"/>
      <c r="J161" s="300"/>
      <c r="K161" s="300"/>
      <c r="L161" s="300"/>
      <c r="M161" s="320"/>
    </row>
    <row r="162" spans="1:13" ht="18.75">
      <c r="A162" s="319"/>
      <c r="B162" s="300"/>
      <c r="C162" s="300"/>
      <c r="D162" s="334"/>
      <c r="E162" s="384"/>
      <c r="F162" s="702" t="s">
        <v>812</v>
      </c>
      <c r="G162" s="702"/>
      <c r="H162" s="702"/>
      <c r="I162" s="702"/>
      <c r="J162" s="384"/>
      <c r="K162" s="335"/>
      <c r="L162" s="300"/>
      <c r="M162" s="320"/>
    </row>
    <row r="163" spans="1:13">
      <c r="A163" s="319"/>
      <c r="B163" s="300"/>
      <c r="C163" s="300"/>
      <c r="D163" s="354" t="s">
        <v>813</v>
      </c>
      <c r="E163" s="300"/>
      <c r="F163" s="300"/>
      <c r="G163" s="300"/>
      <c r="H163" s="300"/>
      <c r="I163" s="300"/>
      <c r="J163" s="300"/>
      <c r="K163" s="320"/>
      <c r="L163" s="300"/>
      <c r="M163" s="320"/>
    </row>
    <row r="164" spans="1:13">
      <c r="A164" s="319"/>
      <c r="B164" s="300"/>
      <c r="C164" s="300"/>
      <c r="D164" s="354" t="str">
        <f>E12</f>
        <v>150 HP</v>
      </c>
      <c r="E164" s="300"/>
      <c r="F164" s="300"/>
      <c r="G164" s="300"/>
      <c r="H164" s="300"/>
      <c r="I164" s="300"/>
      <c r="J164" s="300"/>
      <c r="K164" s="320"/>
      <c r="L164" s="300"/>
      <c r="M164" s="320"/>
    </row>
    <row r="165" spans="1:13">
      <c r="A165" s="319"/>
      <c r="B165" s="300"/>
      <c r="C165" s="300"/>
      <c r="D165" s="354" t="str">
        <f>E13</f>
        <v>180 HP</v>
      </c>
      <c r="E165" s="300"/>
      <c r="F165" s="300"/>
      <c r="G165" s="300"/>
      <c r="H165" s="300"/>
      <c r="I165" s="300"/>
      <c r="J165" s="300"/>
      <c r="K165" s="320"/>
      <c r="L165" s="300"/>
      <c r="M165" s="320"/>
    </row>
    <row r="166" spans="1:13">
      <c r="A166" s="319"/>
      <c r="B166" s="300"/>
      <c r="C166" s="300"/>
      <c r="D166" s="319"/>
      <c r="E166" s="300"/>
      <c r="F166" s="300"/>
      <c r="G166" s="300"/>
      <c r="H166" s="300"/>
      <c r="I166" s="300"/>
      <c r="J166" s="300"/>
      <c r="K166" s="320"/>
      <c r="L166" s="300"/>
      <c r="M166" s="320"/>
    </row>
    <row r="167" spans="1:13">
      <c r="A167" s="319"/>
      <c r="B167" s="300"/>
      <c r="C167" s="300"/>
      <c r="D167" s="354" t="s">
        <v>733</v>
      </c>
      <c r="E167" s="347" t="s">
        <v>62</v>
      </c>
      <c r="F167" s="300"/>
      <c r="G167" s="474" t="s">
        <v>819</v>
      </c>
      <c r="H167" s="474"/>
      <c r="I167" s="257"/>
      <c r="J167" s="300"/>
      <c r="K167" s="320"/>
      <c r="L167" s="300"/>
      <c r="M167" s="320"/>
    </row>
    <row r="168" spans="1:13">
      <c r="A168" s="319"/>
      <c r="B168" s="300"/>
      <c r="C168" s="300"/>
      <c r="D168" s="354" t="s">
        <v>814</v>
      </c>
      <c r="E168" s="347">
        <v>0.28000000000000003</v>
      </c>
      <c r="F168" s="300"/>
      <c r="G168" s="474">
        <v>0.28000000000000003</v>
      </c>
      <c r="H168" s="474"/>
      <c r="I168" s="311"/>
      <c r="J168" s="300"/>
      <c r="K168" s="320"/>
      <c r="L168" s="300"/>
      <c r="M168" s="320"/>
    </row>
    <row r="169" spans="1:13">
      <c r="A169" s="319"/>
      <c r="B169" s="300"/>
      <c r="C169" s="300"/>
      <c r="D169" s="354" t="s">
        <v>815</v>
      </c>
      <c r="E169" s="347">
        <v>0.25</v>
      </c>
      <c r="F169" s="300"/>
      <c r="G169" s="249"/>
      <c r="H169" s="300"/>
      <c r="I169" s="311"/>
      <c r="J169" s="300"/>
      <c r="K169" s="320"/>
      <c r="L169" s="300"/>
      <c r="M169" s="320"/>
    </row>
    <row r="170" spans="1:13">
      <c r="A170" s="319"/>
      <c r="B170" s="300"/>
      <c r="C170" s="300"/>
      <c r="D170" s="413" t="s">
        <v>816</v>
      </c>
      <c r="E170" s="347">
        <v>0.22</v>
      </c>
      <c r="F170" s="300"/>
      <c r="G170" s="474" t="s">
        <v>820</v>
      </c>
      <c r="H170" s="474"/>
      <c r="I170" s="311"/>
      <c r="J170" s="300"/>
      <c r="K170" s="320"/>
      <c r="L170" s="300"/>
      <c r="M170" s="320"/>
    </row>
    <row r="171" spans="1:13">
      <c r="A171" s="319"/>
      <c r="B171" s="300"/>
      <c r="C171" s="300"/>
      <c r="D171" s="413" t="s">
        <v>817</v>
      </c>
      <c r="E171" s="347">
        <v>0.22</v>
      </c>
      <c r="F171" s="300"/>
      <c r="G171" s="474">
        <v>150</v>
      </c>
      <c r="H171" s="474"/>
      <c r="I171" s="311"/>
      <c r="J171" s="300"/>
      <c r="K171" s="320"/>
      <c r="L171" s="300"/>
      <c r="M171" s="320"/>
    </row>
    <row r="172" spans="1:13">
      <c r="A172" s="319"/>
      <c r="B172" s="300"/>
      <c r="C172" s="300"/>
      <c r="D172" s="413" t="s">
        <v>818</v>
      </c>
      <c r="E172" s="347">
        <v>0.2</v>
      </c>
      <c r="F172" s="300"/>
      <c r="G172" s="249"/>
      <c r="H172" s="300"/>
      <c r="I172" s="350" t="s">
        <v>822</v>
      </c>
      <c r="J172" s="300"/>
      <c r="K172" s="320"/>
      <c r="L172" s="300"/>
      <c r="M172" s="320"/>
    </row>
    <row r="173" spans="1:13">
      <c r="A173" s="319"/>
      <c r="B173" s="300"/>
      <c r="C173" s="300"/>
      <c r="D173" s="319"/>
      <c r="E173" s="300"/>
      <c r="F173" s="300"/>
      <c r="G173" s="474" t="str">
        <f>"W lastre para" &amp; D164</f>
        <v>W lastre para150 HP</v>
      </c>
      <c r="H173" s="474"/>
      <c r="I173" s="347">
        <f>G168*G171</f>
        <v>42.000000000000007</v>
      </c>
      <c r="J173" s="300"/>
      <c r="K173" s="320"/>
      <c r="L173" s="300"/>
      <c r="M173" s="320"/>
    </row>
    <row r="174" spans="1:13">
      <c r="A174" s="319"/>
      <c r="B174" s="300"/>
      <c r="C174" s="300"/>
      <c r="D174" s="319"/>
      <c r="E174" s="300"/>
      <c r="F174" s="300"/>
      <c r="G174" s="300"/>
      <c r="H174" s="300"/>
      <c r="I174" s="300"/>
      <c r="J174" s="300"/>
      <c r="K174" s="320"/>
      <c r="L174" s="300"/>
      <c r="M174" s="320"/>
    </row>
    <row r="175" spans="1:13">
      <c r="A175" s="319"/>
      <c r="B175" s="300"/>
      <c r="C175" s="300"/>
      <c r="D175" s="319"/>
      <c r="E175" s="300"/>
      <c r="F175" s="300"/>
      <c r="G175" s="474" t="s">
        <v>819</v>
      </c>
      <c r="H175" s="474"/>
      <c r="I175" s="257"/>
      <c r="J175" s="300"/>
      <c r="K175" s="320"/>
      <c r="L175" s="300"/>
      <c r="M175" s="320"/>
    </row>
    <row r="176" spans="1:13">
      <c r="A176" s="319"/>
      <c r="B176" s="300"/>
      <c r="C176" s="300"/>
      <c r="D176" s="319"/>
      <c r="E176" s="300"/>
      <c r="F176" s="300"/>
      <c r="G176" s="474">
        <v>0.28000000000000003</v>
      </c>
      <c r="H176" s="474"/>
      <c r="I176" s="311"/>
      <c r="J176" s="300"/>
      <c r="K176" s="320"/>
      <c r="L176" s="300"/>
      <c r="M176" s="320"/>
    </row>
    <row r="177" spans="1:13">
      <c r="A177" s="319"/>
      <c r="B177" s="300"/>
      <c r="C177" s="300"/>
      <c r="D177" s="319"/>
      <c r="E177" s="300"/>
      <c r="F177" s="300"/>
      <c r="G177" s="474" t="s">
        <v>820</v>
      </c>
      <c r="H177" s="474"/>
      <c r="I177" s="311"/>
      <c r="J177" s="300"/>
      <c r="K177" s="320"/>
      <c r="L177" s="300"/>
      <c r="M177" s="320"/>
    </row>
    <row r="178" spans="1:13">
      <c r="A178" s="319"/>
      <c r="B178" s="300"/>
      <c r="C178" s="300"/>
      <c r="D178" s="319"/>
      <c r="E178" s="300"/>
      <c r="F178" s="300"/>
      <c r="G178" s="474">
        <v>180</v>
      </c>
      <c r="H178" s="474"/>
      <c r="I178" s="311"/>
      <c r="J178" s="300"/>
      <c r="K178" s="320"/>
      <c r="L178" s="300"/>
      <c r="M178" s="320"/>
    </row>
    <row r="179" spans="1:13">
      <c r="A179" s="319"/>
      <c r="B179" s="300"/>
      <c r="C179" s="300"/>
      <c r="D179" s="319"/>
      <c r="E179" s="300"/>
      <c r="F179" s="300"/>
      <c r="G179" s="249"/>
      <c r="H179" s="300"/>
      <c r="I179" s="350" t="s">
        <v>822</v>
      </c>
      <c r="J179" s="300"/>
      <c r="K179" s="320"/>
      <c r="L179" s="300"/>
      <c r="M179" s="320"/>
    </row>
    <row r="180" spans="1:13" ht="15.75" thickBot="1">
      <c r="A180" s="319"/>
      <c r="B180" s="300"/>
      <c r="C180" s="300"/>
      <c r="D180" s="321"/>
      <c r="E180" s="322"/>
      <c r="F180" s="322"/>
      <c r="G180" s="714" t="str">
        <f>"W lastre para" &amp; D165</f>
        <v>W lastre para180 HP</v>
      </c>
      <c r="H180" s="714"/>
      <c r="I180" s="385">
        <f>G176*G178</f>
        <v>50.400000000000006</v>
      </c>
      <c r="J180" s="322"/>
      <c r="K180" s="323"/>
      <c r="L180" s="300"/>
      <c r="M180" s="320"/>
    </row>
    <row r="181" spans="1:13">
      <c r="A181" s="300"/>
      <c r="B181" s="300"/>
      <c r="C181" s="300"/>
      <c r="D181" s="384"/>
      <c r="E181" s="384"/>
      <c r="F181" s="384"/>
      <c r="G181" s="300"/>
      <c r="H181" s="300"/>
      <c r="I181" s="300"/>
      <c r="J181" s="300"/>
      <c r="K181" s="384"/>
      <c r="L181" s="300"/>
      <c r="M181" s="320"/>
    </row>
    <row r="182" spans="1:13" ht="18.75">
      <c r="A182" s="319"/>
      <c r="B182" s="300"/>
      <c r="C182" s="300"/>
      <c r="D182" s="300"/>
      <c r="E182" s="534" t="s">
        <v>823</v>
      </c>
      <c r="F182" s="534"/>
      <c r="G182" s="534"/>
      <c r="H182" s="534"/>
      <c r="I182" s="534"/>
      <c r="J182" s="300"/>
      <c r="K182" s="300"/>
      <c r="L182" s="300"/>
      <c r="M182" s="320"/>
    </row>
    <row r="183" spans="1:13">
      <c r="A183" s="319"/>
      <c r="B183" s="300"/>
      <c r="C183" s="300"/>
      <c r="D183" s="300"/>
      <c r="E183" s="300"/>
      <c r="F183" s="300"/>
      <c r="G183" s="300"/>
      <c r="H183" s="300"/>
      <c r="I183" s="300"/>
      <c r="J183" s="300"/>
      <c r="K183" s="300"/>
      <c r="L183" s="300"/>
      <c r="M183" s="320"/>
    </row>
    <row r="184" spans="1:13">
      <c r="A184" s="319"/>
      <c r="B184" s="300"/>
      <c r="C184" s="300"/>
      <c r="D184" s="543" t="str">
        <f t="array" ref="D184">'Dimensiones de la Red'!B46:E46</f>
        <v>Burlon, Relinga Inferior (m)</v>
      </c>
      <c r="E184" s="543"/>
      <c r="F184" s="543"/>
      <c r="G184" s="347">
        <f>Burlon</f>
        <v>33.299999999999997</v>
      </c>
      <c r="H184" s="300" t="s">
        <v>560</v>
      </c>
      <c r="I184" s="300"/>
      <c r="J184" s="300"/>
      <c r="K184" s="300"/>
      <c r="L184" s="300"/>
      <c r="M184" s="320"/>
    </row>
    <row r="185" spans="1:13">
      <c r="A185" s="319"/>
      <c r="B185" s="300"/>
      <c r="C185" s="300"/>
      <c r="D185" s="474" t="str">
        <f t="array" ref="D185">'Cables Y Cabulleria'!E2  &amp; 'Dimensiones de la Red'!B46:E46</f>
        <v>DiametroBurlon, Relinga Inferior (m)</v>
      </c>
      <c r="E185" s="474"/>
      <c r="F185" s="474"/>
      <c r="G185" s="347">
        <f>'Cables Y Cabulleria'!I4</f>
        <v>14</v>
      </c>
      <c r="H185" s="300" t="s">
        <v>258</v>
      </c>
      <c r="I185" s="300"/>
      <c r="J185" s="300"/>
      <c r="K185" s="300"/>
      <c r="L185" s="300"/>
      <c r="M185" s="320"/>
    </row>
    <row r="186" spans="1:13">
      <c r="A186" s="319"/>
      <c r="B186" s="300"/>
      <c r="C186" s="300"/>
      <c r="D186" s="526" t="str">
        <f>'Cables Y Cabulleria'!D4:F4</f>
        <v>COMBINADO 14 Acero6x24+7</v>
      </c>
      <c r="E186" s="602"/>
      <c r="F186" s="602"/>
      <c r="G186" s="603"/>
      <c r="H186" s="300"/>
      <c r="I186" s="300"/>
      <c r="J186" s="300"/>
      <c r="K186" s="300"/>
      <c r="L186" s="300"/>
      <c r="M186" s="320"/>
    </row>
    <row r="187" spans="1:13">
      <c r="A187" s="319"/>
      <c r="B187" s="300"/>
      <c r="C187" s="300"/>
      <c r="D187" s="543" t="str">
        <f>'Cables Y Cabulleria'!G2</f>
        <v>Kg/m</v>
      </c>
      <c r="E187" s="543"/>
      <c r="F187" s="543"/>
      <c r="G187" s="347">
        <f>'Cables Y Cabulleria'!G4</f>
        <v>0.624</v>
      </c>
      <c r="H187" s="300" t="s">
        <v>829</v>
      </c>
      <c r="I187" s="300"/>
      <c r="J187" s="300"/>
      <c r="K187" s="300"/>
      <c r="L187" s="300"/>
      <c r="M187" s="320"/>
    </row>
    <row r="188" spans="1:13">
      <c r="A188" s="319"/>
      <c r="B188" s="300"/>
      <c r="C188" s="300"/>
      <c r="D188" s="347" t="s">
        <v>828</v>
      </c>
      <c r="E188" s="347"/>
      <c r="F188" s="347"/>
      <c r="G188" s="347">
        <f>G184*G187</f>
        <v>20.779199999999999</v>
      </c>
      <c r="H188" s="300" t="s">
        <v>250</v>
      </c>
      <c r="I188" s="300"/>
      <c r="J188" s="300"/>
      <c r="K188" s="300"/>
      <c r="L188" s="300"/>
      <c r="M188" s="320"/>
    </row>
    <row r="189" spans="1:13">
      <c r="A189" s="319"/>
      <c r="B189" s="300"/>
      <c r="C189" s="300"/>
      <c r="D189" s="543" t="s">
        <v>830</v>
      </c>
      <c r="E189" s="543"/>
      <c r="F189" s="543"/>
      <c r="G189" s="347">
        <v>0.1</v>
      </c>
      <c r="H189" s="300"/>
      <c r="I189" s="300"/>
      <c r="J189" s="300"/>
      <c r="K189" s="300"/>
      <c r="L189" s="300"/>
      <c r="M189" s="320"/>
    </row>
    <row r="190" spans="1:13">
      <c r="A190" s="319"/>
      <c r="B190" s="300"/>
      <c r="C190" s="300"/>
      <c r="D190" s="543" t="s">
        <v>831</v>
      </c>
      <c r="E190" s="543"/>
      <c r="F190" s="543"/>
      <c r="G190" s="347">
        <v>0.87</v>
      </c>
      <c r="H190" s="300"/>
      <c r="I190" s="300"/>
      <c r="J190" s="300"/>
      <c r="K190" s="300"/>
      <c r="L190" s="300"/>
      <c r="M190" s="320"/>
    </row>
    <row r="191" spans="1:13">
      <c r="A191" s="319"/>
      <c r="B191" s="300"/>
      <c r="C191" s="300"/>
      <c r="D191" s="543" t="s">
        <v>832</v>
      </c>
      <c r="E191" s="543"/>
      <c r="F191" s="543"/>
      <c r="G191" s="197">
        <f>G188*G190/10</f>
        <v>1.8077904</v>
      </c>
      <c r="H191" s="300" t="s">
        <v>551</v>
      </c>
      <c r="I191" s="300"/>
      <c r="J191" s="300"/>
      <c r="K191" s="300"/>
      <c r="L191" s="300"/>
      <c r="M191" s="320"/>
    </row>
    <row r="192" spans="1:13">
      <c r="A192" s="319"/>
      <c r="B192" s="300"/>
      <c r="C192" s="300"/>
      <c r="D192" s="300"/>
      <c r="E192" s="300"/>
      <c r="F192" s="300"/>
      <c r="G192" s="300"/>
      <c r="H192" s="300"/>
      <c r="I192" s="300"/>
      <c r="J192" s="300"/>
      <c r="K192" s="300"/>
      <c r="L192" s="300"/>
      <c r="M192" s="320"/>
    </row>
    <row r="193" spans="1:13">
      <c r="A193" s="319"/>
      <c r="B193" s="300"/>
      <c r="C193" s="300"/>
      <c r="D193" s="300"/>
      <c r="E193" s="332" t="str">
        <f t="shared" ref="E193:E218" si="21">E38</f>
        <v>Fridman</v>
      </c>
      <c r="F193" s="431"/>
      <c r="G193" s="300"/>
      <c r="H193" s="300"/>
      <c r="I193" s="300"/>
      <c r="J193" s="300"/>
      <c r="K193" s="300"/>
      <c r="L193" s="300"/>
      <c r="M193" s="320"/>
    </row>
    <row r="194" spans="1:13">
      <c r="A194" s="319"/>
      <c r="B194" s="300"/>
      <c r="C194" s="300"/>
      <c r="D194" s="300"/>
      <c r="E194" s="332" t="str">
        <f t="shared" si="21"/>
        <v>150 HP</v>
      </c>
      <c r="F194" s="431"/>
      <c r="G194" s="300"/>
      <c r="H194" s="300"/>
      <c r="I194" s="300"/>
      <c r="J194" s="300"/>
      <c r="K194" s="300"/>
      <c r="L194" s="347" t="s">
        <v>833</v>
      </c>
      <c r="M194" s="339" t="s">
        <v>512</v>
      </c>
    </row>
    <row r="195" spans="1:13">
      <c r="A195" s="535" t="str">
        <f t="shared" ref="A195:A205" si="22">D136</f>
        <v>Velocidad</v>
      </c>
      <c r="B195" s="474"/>
      <c r="C195" s="332" t="str">
        <f t="shared" ref="C195:C205" si="23">F136</f>
        <v>RN Estándar</v>
      </c>
      <c r="D195" s="418" t="str">
        <f t="shared" ref="D195:D205" si="24">G136</f>
        <v>RN Modificada</v>
      </c>
      <c r="E195" s="332" t="str">
        <f t="shared" si="21"/>
        <v>FT(PF)</v>
      </c>
      <c r="F195" s="419" t="str">
        <f t="shared" ref="F195:K205" si="25">F40</f>
        <v>F1</v>
      </c>
      <c r="G195" s="332" t="str">
        <f t="shared" si="25"/>
        <v>F2 Estándar</v>
      </c>
      <c r="H195" s="332" t="str">
        <f t="shared" si="25"/>
        <v>F2 Modificada</v>
      </c>
      <c r="I195" s="332" t="str">
        <f t="shared" si="25"/>
        <v>F1'</v>
      </c>
      <c r="J195" s="332" t="str">
        <f t="shared" si="25"/>
        <v>F2' Estandar</v>
      </c>
      <c r="K195" s="418" t="str">
        <f t="shared" si="25"/>
        <v>F2' Modificada</v>
      </c>
      <c r="L195" s="332" t="str">
        <f>"Wlastre"&amp;E194</f>
        <v>Wlastre150 HP</v>
      </c>
      <c r="M195" s="404" t="str">
        <f>"W lastre"&amp;E194</f>
        <v>W lastre150 HP</v>
      </c>
    </row>
    <row r="196" spans="1:13">
      <c r="A196" s="354" t="str">
        <f t="shared" si="22"/>
        <v>Nudos</v>
      </c>
      <c r="B196" s="347" t="str">
        <f t="shared" ref="B196:B205" si="26">E137</f>
        <v>[m/s]</v>
      </c>
      <c r="C196" s="347" t="str">
        <f t="shared" si="23"/>
        <v>[Kgf]</v>
      </c>
      <c r="D196" s="347" t="str">
        <f t="shared" si="24"/>
        <v>[Kgf]</v>
      </c>
      <c r="E196" s="332" t="str">
        <f t="shared" si="21"/>
        <v>Kgf)</v>
      </c>
      <c r="F196" s="332" t="str">
        <f t="shared" si="25"/>
        <v>[Kgf]</v>
      </c>
      <c r="G196" s="332" t="str">
        <f t="shared" si="25"/>
        <v>[Kgf]</v>
      </c>
      <c r="H196" s="332" t="str">
        <f t="shared" si="25"/>
        <v>[Kgf]</v>
      </c>
      <c r="I196" s="332" t="str">
        <f t="shared" si="25"/>
        <v>[Kgf]</v>
      </c>
      <c r="J196" s="332" t="str">
        <f t="shared" si="25"/>
        <v>[Kgf]</v>
      </c>
      <c r="K196" s="332" t="str">
        <f t="shared" si="25"/>
        <v>[Kgf]</v>
      </c>
      <c r="L196" s="332" t="s">
        <v>55</v>
      </c>
      <c r="M196" s="403" t="s">
        <v>55</v>
      </c>
    </row>
    <row r="197" spans="1:13">
      <c r="A197" s="354">
        <f t="shared" si="22"/>
        <v>1</v>
      </c>
      <c r="B197" s="197">
        <f t="shared" si="26"/>
        <v>0.51439999999999997</v>
      </c>
      <c r="C197" s="198">
        <f t="shared" si="23"/>
        <v>422.36322657644956</v>
      </c>
      <c r="D197" s="198">
        <f t="shared" si="24"/>
        <v>413.44914989192739</v>
      </c>
      <c r="E197" s="332">
        <f t="shared" si="21"/>
        <v>1395</v>
      </c>
      <c r="F197" s="332">
        <f t="shared" si="25"/>
        <v>279</v>
      </c>
      <c r="G197" s="417">
        <f t="shared" si="25"/>
        <v>105.59080664411239</v>
      </c>
      <c r="H197" s="417">
        <f t="shared" si="25"/>
        <v>103.36228747298185</v>
      </c>
      <c r="I197" s="417">
        <f t="shared" si="25"/>
        <v>23.346118289716021</v>
      </c>
      <c r="J197" s="417">
        <f t="shared" si="25"/>
        <v>5.8754940586467912</v>
      </c>
      <c r="K197" s="417">
        <f t="shared" si="25"/>
        <v>5.75149035448257</v>
      </c>
      <c r="L197" s="417">
        <f>(I197+J197)-$G$191</f>
        <v>27.413821948362809</v>
      </c>
      <c r="M197" s="432">
        <f>(I197+K197)-$G$191</f>
        <v>27.289818244198592</v>
      </c>
    </row>
    <row r="198" spans="1:13">
      <c r="A198" s="354">
        <f t="shared" si="22"/>
        <v>1.5</v>
      </c>
      <c r="B198" s="197">
        <f t="shared" si="26"/>
        <v>0.77159999999999995</v>
      </c>
      <c r="C198" s="198">
        <f t="shared" si="23"/>
        <v>631.52956087214341</v>
      </c>
      <c r="D198" s="198">
        <f t="shared" si="24"/>
        <v>618.20097878939919</v>
      </c>
      <c r="E198" s="332">
        <f t="shared" si="21"/>
        <v>1342.5</v>
      </c>
      <c r="F198" s="332">
        <f t="shared" si="25"/>
        <v>268.5</v>
      </c>
      <c r="G198" s="417">
        <f t="shared" si="25"/>
        <v>157.88239021803585</v>
      </c>
      <c r="H198" s="417">
        <f t="shared" si="25"/>
        <v>154.5502446973498</v>
      </c>
      <c r="I198" s="417">
        <f t="shared" si="25"/>
        <v>22.467500934726708</v>
      </c>
      <c r="J198" s="417">
        <f t="shared" si="25"/>
        <v>8.7852065456566706</v>
      </c>
      <c r="K198" s="417">
        <f t="shared" si="25"/>
        <v>8.5997926651156877</v>
      </c>
      <c r="L198" s="417">
        <f t="shared" ref="L198:L205" si="27">(I198+J198)-$G$191</f>
        <v>29.444917080383377</v>
      </c>
      <c r="M198" s="432">
        <f t="shared" ref="M198:M205" si="28">(I198+K198)-$G$191</f>
        <v>29.259503199842392</v>
      </c>
    </row>
    <row r="199" spans="1:13">
      <c r="A199" s="354">
        <f t="shared" si="22"/>
        <v>2</v>
      </c>
      <c r="B199" s="197">
        <f t="shared" si="26"/>
        <v>1.0287999999999999</v>
      </c>
      <c r="C199" s="198">
        <f t="shared" si="23"/>
        <v>914.90100549547947</v>
      </c>
      <c r="D199" s="198">
        <f t="shared" si="24"/>
        <v>895.5918014536428</v>
      </c>
      <c r="E199" s="332">
        <f t="shared" si="21"/>
        <v>1290</v>
      </c>
      <c r="F199" s="332">
        <f t="shared" si="25"/>
        <v>258</v>
      </c>
      <c r="G199" s="417">
        <f t="shared" si="25"/>
        <v>228.72525137386987</v>
      </c>
      <c r="H199" s="417">
        <f t="shared" si="25"/>
        <v>223.8979503634107</v>
      </c>
      <c r="I199" s="417">
        <f t="shared" si="25"/>
        <v>21.588883579737395</v>
      </c>
      <c r="J199" s="417">
        <f t="shared" si="25"/>
        <v>12.727186184296462</v>
      </c>
      <c r="K199" s="417">
        <f t="shared" si="25"/>
        <v>12.458575882815884</v>
      </c>
      <c r="L199" s="417">
        <f t="shared" si="27"/>
        <v>32.508279364033854</v>
      </c>
      <c r="M199" s="432">
        <f t="shared" si="28"/>
        <v>32.239669062553276</v>
      </c>
    </row>
    <row r="200" spans="1:13">
      <c r="A200" s="354">
        <f t="shared" si="22"/>
        <v>2.5</v>
      </c>
      <c r="B200" s="197">
        <f t="shared" si="26"/>
        <v>1.286</v>
      </c>
      <c r="C200" s="198">
        <f t="shared" si="23"/>
        <v>1266.3281776772249</v>
      </c>
      <c r="D200" s="198">
        <f t="shared" si="24"/>
        <v>1239.6020193061838</v>
      </c>
      <c r="E200" s="332">
        <f t="shared" si="21"/>
        <v>1237.5</v>
      </c>
      <c r="F200" s="332">
        <f t="shared" si="25"/>
        <v>247.5</v>
      </c>
      <c r="G200" s="417">
        <f t="shared" si="25"/>
        <v>316.58204441930621</v>
      </c>
      <c r="H200" s="417">
        <f t="shared" si="25"/>
        <v>309.90050482654595</v>
      </c>
      <c r="I200" s="417">
        <f t="shared" si="25"/>
        <v>20.710266224748082</v>
      </c>
      <c r="J200" s="417">
        <f t="shared" si="25"/>
        <v>17.615888922310869</v>
      </c>
      <c r="K200" s="417">
        <f t="shared" si="25"/>
        <v>17.244101382963898</v>
      </c>
      <c r="L200" s="417">
        <f t="shared" si="27"/>
        <v>36.518364747058953</v>
      </c>
      <c r="M200" s="432">
        <f t="shared" si="28"/>
        <v>36.146577207711978</v>
      </c>
    </row>
    <row r="201" spans="1:13">
      <c r="A201" s="354">
        <f t="shared" si="22"/>
        <v>3</v>
      </c>
      <c r="B201" s="197">
        <f t="shared" si="26"/>
        <v>1.5432000000000001</v>
      </c>
      <c r="C201" s="198">
        <f t="shared" si="23"/>
        <v>1680.3228964186867</v>
      </c>
      <c r="D201" s="198">
        <f t="shared" si="24"/>
        <v>1644.8592807179402</v>
      </c>
      <c r="E201" s="332">
        <f t="shared" si="21"/>
        <v>1185</v>
      </c>
      <c r="F201" s="332">
        <f t="shared" si="25"/>
        <v>237</v>
      </c>
      <c r="G201" s="417">
        <f t="shared" si="25"/>
        <v>420.08072410467167</v>
      </c>
      <c r="H201" s="417">
        <f t="shared" si="25"/>
        <v>411.21482017948506</v>
      </c>
      <c r="I201" s="417">
        <f t="shared" si="25"/>
        <v>19.831648869758769</v>
      </c>
      <c r="J201" s="417">
        <f t="shared" si="25"/>
        <v>23.374968684043697</v>
      </c>
      <c r="K201" s="417">
        <f t="shared" si="25"/>
        <v>22.881634392048575</v>
      </c>
      <c r="L201" s="417">
        <f t="shared" si="27"/>
        <v>41.398827153802465</v>
      </c>
      <c r="M201" s="432">
        <f t="shared" si="28"/>
        <v>40.905492861807346</v>
      </c>
    </row>
    <row r="202" spans="1:13">
      <c r="A202" s="354">
        <f t="shared" si="22"/>
        <v>3.5</v>
      </c>
      <c r="B202" s="197">
        <f t="shared" si="26"/>
        <v>1.8004</v>
      </c>
      <c r="C202" s="198">
        <f t="shared" si="23"/>
        <v>2151.9716405847998</v>
      </c>
      <c r="D202" s="198">
        <f t="shared" si="24"/>
        <v>2106.5537655899047</v>
      </c>
      <c r="E202" s="332">
        <f t="shared" si="21"/>
        <v>1132.5</v>
      </c>
      <c r="F202" s="332">
        <f t="shared" si="25"/>
        <v>226.5</v>
      </c>
      <c r="G202" s="417">
        <f t="shared" si="25"/>
        <v>537.99291014619996</v>
      </c>
      <c r="H202" s="417">
        <f t="shared" si="25"/>
        <v>526.63844139747619</v>
      </c>
      <c r="I202" s="417">
        <f t="shared" si="25"/>
        <v>18.953031514769457</v>
      </c>
      <c r="J202" s="417">
        <f t="shared" si="25"/>
        <v>29.936073486131917</v>
      </c>
      <c r="K202" s="417">
        <f t="shared" si="25"/>
        <v>29.304265511626433</v>
      </c>
      <c r="L202" s="417">
        <f t="shared" si="27"/>
        <v>47.081314600901372</v>
      </c>
      <c r="M202" s="432">
        <f t="shared" si="28"/>
        <v>46.449506626395888</v>
      </c>
    </row>
    <row r="203" spans="1:13">
      <c r="A203" s="354">
        <f t="shared" si="22"/>
        <v>4</v>
      </c>
      <c r="B203" s="197">
        <f t="shared" si="26"/>
        <v>2.0575999999999999</v>
      </c>
      <c r="C203" s="198">
        <f t="shared" si="23"/>
        <v>2676.8622527857369</v>
      </c>
      <c r="D203" s="198">
        <f t="shared" si="24"/>
        <v>2620.3664361668261</v>
      </c>
      <c r="E203" s="332">
        <f t="shared" si="21"/>
        <v>1080</v>
      </c>
      <c r="F203" s="332">
        <f t="shared" si="25"/>
        <v>216</v>
      </c>
      <c r="G203" s="417">
        <f t="shared" si="25"/>
        <v>669.21556319643423</v>
      </c>
      <c r="H203" s="417">
        <f t="shared" si="25"/>
        <v>655.09160904170653</v>
      </c>
      <c r="I203" s="417">
        <f t="shared" si="25"/>
        <v>18.074414159780144</v>
      </c>
      <c r="J203" s="417">
        <f t="shared" si="25"/>
        <v>37.237825815339178</v>
      </c>
      <c r="K203" s="417">
        <f t="shared" si="25"/>
        <v>36.451912615524357</v>
      </c>
      <c r="L203" s="417">
        <f t="shared" si="27"/>
        <v>53.504449575119324</v>
      </c>
      <c r="M203" s="432">
        <f t="shared" si="28"/>
        <v>52.718536375304495</v>
      </c>
    </row>
    <row r="204" spans="1:13">
      <c r="A204" s="354">
        <f t="shared" si="22"/>
        <v>4.5</v>
      </c>
      <c r="B204" s="197">
        <f t="shared" si="26"/>
        <v>2.3148</v>
      </c>
      <c r="C204" s="198">
        <f t="shared" si="23"/>
        <v>3251.0215826380531</v>
      </c>
      <c r="D204" s="198">
        <f t="shared" si="24"/>
        <v>3182.4079963522054</v>
      </c>
      <c r="E204" s="332">
        <f t="shared" si="21"/>
        <v>1027.5</v>
      </c>
      <c r="F204" s="332">
        <f t="shared" si="25"/>
        <v>205.5</v>
      </c>
      <c r="G204" s="417">
        <f t="shared" si="25"/>
        <v>812.75539565951328</v>
      </c>
      <c r="H204" s="417">
        <f t="shared" si="25"/>
        <v>795.60199908805134</v>
      </c>
      <c r="I204" s="417">
        <f t="shared" si="25"/>
        <v>17.195796804790831</v>
      </c>
      <c r="J204" s="417">
        <f t="shared" si="25"/>
        <v>45.224955184077658</v>
      </c>
      <c r="K204" s="417">
        <f t="shared" si="25"/>
        <v>44.27047171298414</v>
      </c>
      <c r="L204" s="417">
        <f t="shared" si="27"/>
        <v>60.612961588868487</v>
      </c>
      <c r="M204" s="432">
        <f t="shared" si="28"/>
        <v>59.658478117774969</v>
      </c>
    </row>
    <row r="205" spans="1:13">
      <c r="A205" s="354">
        <f t="shared" si="22"/>
        <v>5</v>
      </c>
      <c r="B205" s="197">
        <f t="shared" si="26"/>
        <v>2.5720000000000001</v>
      </c>
      <c r="C205" s="198">
        <f t="shared" si="23"/>
        <v>3870.8622108292311</v>
      </c>
      <c r="D205" s="198">
        <f t="shared" si="24"/>
        <v>3789.1667401741761</v>
      </c>
      <c r="E205" s="332">
        <f t="shared" si="21"/>
        <v>975</v>
      </c>
      <c r="F205" s="332">
        <f t="shared" si="25"/>
        <v>195</v>
      </c>
      <c r="G205" s="417">
        <f t="shared" si="25"/>
        <v>967.71555270730778</v>
      </c>
      <c r="H205" s="417">
        <f t="shared" si="25"/>
        <v>947.29168504354402</v>
      </c>
      <c r="I205" s="417">
        <f t="shared" si="25"/>
        <v>16.317179449801518</v>
      </c>
      <c r="J205" s="417">
        <f t="shared" si="25"/>
        <v>53.847557008969169</v>
      </c>
      <c r="K205" s="417">
        <f t="shared" si="25"/>
        <v>52.711091468768437</v>
      </c>
      <c r="L205" s="417">
        <f t="shared" si="27"/>
        <v>68.356946058770689</v>
      </c>
      <c r="M205" s="432">
        <f t="shared" si="28"/>
        <v>67.220480518569957</v>
      </c>
    </row>
    <row r="206" spans="1:13">
      <c r="A206" s="319"/>
      <c r="B206" s="300"/>
      <c r="C206" s="300"/>
      <c r="D206" s="300"/>
      <c r="E206" s="332" t="str">
        <f t="shared" si="21"/>
        <v>Fridman</v>
      </c>
      <c r="F206" s="300"/>
      <c r="G206" s="300"/>
      <c r="H206" s="300"/>
      <c r="I206" s="300"/>
      <c r="J206" s="300"/>
      <c r="K206" s="300"/>
      <c r="L206" s="300"/>
      <c r="M206" s="320"/>
    </row>
    <row r="207" spans="1:13">
      <c r="A207" s="319"/>
      <c r="B207" s="300"/>
      <c r="C207" s="300"/>
      <c r="D207" s="300"/>
      <c r="E207" s="420" t="str">
        <f t="shared" si="21"/>
        <v>180 HP</v>
      </c>
      <c r="F207" s="300"/>
      <c r="G207" s="300"/>
      <c r="H207" s="300"/>
      <c r="I207" s="300"/>
      <c r="J207" s="300"/>
      <c r="K207" s="300"/>
      <c r="L207" s="421" t="str">
        <f>L194</f>
        <v xml:space="preserve">Estándar </v>
      </c>
      <c r="M207" s="433" t="str">
        <f>M194</f>
        <v>Modificada</v>
      </c>
    </row>
    <row r="208" spans="1:13">
      <c r="A208" s="535" t="str">
        <f>A195</f>
        <v>Velocidad</v>
      </c>
      <c r="B208" s="474"/>
      <c r="C208" s="333" t="str">
        <f t="shared" ref="C208:D218" si="29">C53</f>
        <v>RN Estándar</v>
      </c>
      <c r="D208" s="333" t="str">
        <f t="shared" si="29"/>
        <v>RN Modificada</v>
      </c>
      <c r="E208" s="333" t="str">
        <f t="shared" si="21"/>
        <v>FT(PF)</v>
      </c>
      <c r="F208" s="333" t="str">
        <f t="shared" ref="F208:K218" si="30">F53</f>
        <v>F1</v>
      </c>
      <c r="G208" s="333" t="str">
        <f t="shared" si="30"/>
        <v>F2 Estándar</v>
      </c>
      <c r="H208" s="333" t="str">
        <f t="shared" si="30"/>
        <v>F2 Modificada</v>
      </c>
      <c r="I208" s="333" t="str">
        <f t="shared" si="30"/>
        <v>F1'</v>
      </c>
      <c r="J208" s="333" t="str">
        <f t="shared" si="30"/>
        <v>F2' Estandar</v>
      </c>
      <c r="K208" s="333" t="str">
        <f t="shared" si="30"/>
        <v>F2' Modificada</v>
      </c>
      <c r="L208" s="333" t="str">
        <f>"W lastre"&amp;E207</f>
        <v>W lastre180 HP</v>
      </c>
      <c r="M208" s="404" t="str">
        <f>"W lastre"&amp;E207</f>
        <v>W lastre180 HP</v>
      </c>
    </row>
    <row r="209" spans="1:13">
      <c r="A209" s="354" t="str">
        <f t="shared" ref="A209:B218" si="31">A196</f>
        <v>Nudos</v>
      </c>
      <c r="B209" s="347" t="str">
        <f t="shared" si="31"/>
        <v>[m/s]</v>
      </c>
      <c r="C209" s="347" t="str">
        <f t="shared" si="29"/>
        <v>Ton</v>
      </c>
      <c r="D209" s="347" t="str">
        <f t="shared" si="29"/>
        <v>Ton</v>
      </c>
      <c r="E209" s="347" t="str">
        <f t="shared" si="21"/>
        <v>Kgf)</v>
      </c>
      <c r="F209" s="347" t="str">
        <f t="shared" si="30"/>
        <v>[Kgf]</v>
      </c>
      <c r="G209" s="347" t="str">
        <f t="shared" si="30"/>
        <v>[Kgf]</v>
      </c>
      <c r="H209" s="347" t="str">
        <f t="shared" si="30"/>
        <v>[Kgf]</v>
      </c>
      <c r="I209" s="347" t="str">
        <f t="shared" si="30"/>
        <v>[Kgf]</v>
      </c>
      <c r="J209" s="347" t="str">
        <f t="shared" si="30"/>
        <v>[Kgf]</v>
      </c>
      <c r="K209" s="347" t="str">
        <f t="shared" si="30"/>
        <v>[Kgf]</v>
      </c>
      <c r="L209" s="347" t="str">
        <f>L54</f>
        <v>[Kgf]</v>
      </c>
      <c r="M209" s="339" t="str">
        <f>M54</f>
        <v>[Kgf]</v>
      </c>
    </row>
    <row r="210" spans="1:13">
      <c r="A210" s="354">
        <f t="shared" si="31"/>
        <v>1</v>
      </c>
      <c r="B210" s="197">
        <f t="shared" si="31"/>
        <v>0.51439999999999997</v>
      </c>
      <c r="C210" s="198">
        <f t="shared" si="29"/>
        <v>422.36322657644956</v>
      </c>
      <c r="D210" s="198">
        <f t="shared" si="29"/>
        <v>413.44914989192739</v>
      </c>
      <c r="E210" s="347">
        <f t="shared" si="21"/>
        <v>1674.0000000000002</v>
      </c>
      <c r="F210" s="347">
        <f t="shared" si="30"/>
        <v>334.80000000000007</v>
      </c>
      <c r="G210" s="198">
        <f t="shared" si="30"/>
        <v>105.59080664411239</v>
      </c>
      <c r="H210" s="198">
        <f t="shared" si="30"/>
        <v>103.36228747298185</v>
      </c>
      <c r="I210" s="198">
        <f t="shared" si="30"/>
        <v>28.01534194765923</v>
      </c>
      <c r="J210" s="198">
        <f t="shared" si="30"/>
        <v>5.8754940586467912</v>
      </c>
      <c r="K210" s="198">
        <f t="shared" si="30"/>
        <v>5.75149035448257</v>
      </c>
      <c r="L210" s="197">
        <f>(I210+J210)-$G$191</f>
        <v>32.083045606306023</v>
      </c>
      <c r="M210" s="392">
        <f>(I210+K210)-$G$191</f>
        <v>31.959041902141799</v>
      </c>
    </row>
    <row r="211" spans="1:13">
      <c r="A211" s="354">
        <f t="shared" si="31"/>
        <v>1.5</v>
      </c>
      <c r="B211" s="197">
        <f t="shared" si="31"/>
        <v>0.77159999999999995</v>
      </c>
      <c r="C211" s="198">
        <f t="shared" si="29"/>
        <v>631.52956087214341</v>
      </c>
      <c r="D211" s="198">
        <f t="shared" si="29"/>
        <v>618.20097878939919</v>
      </c>
      <c r="E211" s="347">
        <f t="shared" si="21"/>
        <v>1610.9999999999998</v>
      </c>
      <c r="F211" s="347">
        <f t="shared" si="30"/>
        <v>322.2</v>
      </c>
      <c r="G211" s="198">
        <f t="shared" si="30"/>
        <v>157.88239021803585</v>
      </c>
      <c r="H211" s="198">
        <f t="shared" si="30"/>
        <v>154.5502446973498</v>
      </c>
      <c r="I211" s="198">
        <f t="shared" si="30"/>
        <v>26.961001121672048</v>
      </c>
      <c r="J211" s="198">
        <f t="shared" si="30"/>
        <v>8.7852065456566706</v>
      </c>
      <c r="K211" s="198">
        <f t="shared" si="30"/>
        <v>8.5997926651156877</v>
      </c>
      <c r="L211" s="197">
        <f t="shared" ref="L211:L218" si="32">(I211+J211)-$G$191</f>
        <v>33.938417267328717</v>
      </c>
      <c r="M211" s="392">
        <f t="shared" ref="M211:M218" si="33">(I211+K211)-$G$191</f>
        <v>33.753003386787732</v>
      </c>
    </row>
    <row r="212" spans="1:13">
      <c r="A212" s="354">
        <f t="shared" si="31"/>
        <v>2</v>
      </c>
      <c r="B212" s="197">
        <f t="shared" si="31"/>
        <v>1.0287999999999999</v>
      </c>
      <c r="C212" s="198">
        <f t="shared" si="29"/>
        <v>914.90100549547947</v>
      </c>
      <c r="D212" s="198">
        <f t="shared" si="29"/>
        <v>895.5918014536428</v>
      </c>
      <c r="E212" s="347">
        <f t="shared" si="21"/>
        <v>1548</v>
      </c>
      <c r="F212" s="347">
        <f t="shared" si="30"/>
        <v>309.60000000000002</v>
      </c>
      <c r="G212" s="198">
        <f t="shared" si="30"/>
        <v>228.72525137386987</v>
      </c>
      <c r="H212" s="198">
        <f t="shared" si="30"/>
        <v>223.8979503634107</v>
      </c>
      <c r="I212" s="198">
        <f t="shared" si="30"/>
        <v>25.906660295684876</v>
      </c>
      <c r="J212" s="198">
        <f t="shared" si="30"/>
        <v>12.727186184296462</v>
      </c>
      <c r="K212" s="198">
        <f t="shared" si="30"/>
        <v>12.458575882815884</v>
      </c>
      <c r="L212" s="197">
        <f t="shared" si="32"/>
        <v>36.826056079981335</v>
      </c>
      <c r="M212" s="392">
        <f t="shared" si="33"/>
        <v>36.557445778500757</v>
      </c>
    </row>
    <row r="213" spans="1:13">
      <c r="A213" s="354">
        <f t="shared" si="31"/>
        <v>2.5</v>
      </c>
      <c r="B213" s="197">
        <f t="shared" si="31"/>
        <v>1.286</v>
      </c>
      <c r="C213" s="198">
        <f t="shared" si="29"/>
        <v>1266.3281776772249</v>
      </c>
      <c r="D213" s="198">
        <f t="shared" si="29"/>
        <v>1239.6020193061838</v>
      </c>
      <c r="E213" s="347">
        <f t="shared" si="21"/>
        <v>1485</v>
      </c>
      <c r="F213" s="347">
        <f t="shared" si="30"/>
        <v>297</v>
      </c>
      <c r="G213" s="198">
        <f t="shared" si="30"/>
        <v>316.58204441930621</v>
      </c>
      <c r="H213" s="198">
        <f t="shared" si="30"/>
        <v>309.90050482654595</v>
      </c>
      <c r="I213" s="198">
        <f t="shared" si="30"/>
        <v>24.852319469697697</v>
      </c>
      <c r="J213" s="198">
        <f t="shared" si="30"/>
        <v>17.615888922310869</v>
      </c>
      <c r="K213" s="198">
        <f t="shared" si="30"/>
        <v>17.244101382963898</v>
      </c>
      <c r="L213" s="197">
        <f t="shared" si="32"/>
        <v>40.660417992008561</v>
      </c>
      <c r="M213" s="392">
        <f t="shared" si="33"/>
        <v>40.288630452661593</v>
      </c>
    </row>
    <row r="214" spans="1:13">
      <c r="A214" s="354">
        <f t="shared" si="31"/>
        <v>3</v>
      </c>
      <c r="B214" s="197">
        <f t="shared" si="31"/>
        <v>1.5432000000000001</v>
      </c>
      <c r="C214" s="198">
        <f t="shared" si="29"/>
        <v>1680.3228964186867</v>
      </c>
      <c r="D214" s="198">
        <f t="shared" si="29"/>
        <v>1644.8592807179402</v>
      </c>
      <c r="E214" s="347">
        <f t="shared" si="21"/>
        <v>1422</v>
      </c>
      <c r="F214" s="347">
        <f t="shared" si="30"/>
        <v>284.40000000000003</v>
      </c>
      <c r="G214" s="198">
        <f t="shared" si="30"/>
        <v>420.08072410467167</v>
      </c>
      <c r="H214" s="198">
        <f t="shared" si="30"/>
        <v>411.21482017948506</v>
      </c>
      <c r="I214" s="198">
        <f t="shared" si="30"/>
        <v>23.797978643710525</v>
      </c>
      <c r="J214" s="198">
        <f t="shared" si="30"/>
        <v>23.374968684043697</v>
      </c>
      <c r="K214" s="198">
        <f t="shared" si="30"/>
        <v>22.881634392048575</v>
      </c>
      <c r="L214" s="197">
        <f t="shared" si="32"/>
        <v>45.365156927754221</v>
      </c>
      <c r="M214" s="392">
        <f t="shared" si="33"/>
        <v>44.871822635759102</v>
      </c>
    </row>
    <row r="215" spans="1:13">
      <c r="A215" s="354">
        <f t="shared" si="31"/>
        <v>3.5</v>
      </c>
      <c r="B215" s="197">
        <f t="shared" si="31"/>
        <v>1.8004</v>
      </c>
      <c r="C215" s="198">
        <f t="shared" si="29"/>
        <v>2151.9716405847998</v>
      </c>
      <c r="D215" s="198">
        <f t="shared" si="29"/>
        <v>2106.5537655899047</v>
      </c>
      <c r="E215" s="347">
        <f t="shared" si="21"/>
        <v>1359.0000000000002</v>
      </c>
      <c r="F215" s="347">
        <f t="shared" si="30"/>
        <v>271.80000000000007</v>
      </c>
      <c r="G215" s="198">
        <f t="shared" si="30"/>
        <v>537.99291014619996</v>
      </c>
      <c r="H215" s="198">
        <f t="shared" si="30"/>
        <v>526.63844139747619</v>
      </c>
      <c r="I215" s="198">
        <f t="shared" si="30"/>
        <v>22.743637817723354</v>
      </c>
      <c r="J215" s="198">
        <f t="shared" si="30"/>
        <v>29.936073486131917</v>
      </c>
      <c r="K215" s="198">
        <f t="shared" si="30"/>
        <v>29.304265511626433</v>
      </c>
      <c r="L215" s="197">
        <f t="shared" si="32"/>
        <v>50.871920903855269</v>
      </c>
      <c r="M215" s="392">
        <f t="shared" si="33"/>
        <v>50.240112929349785</v>
      </c>
    </row>
    <row r="216" spans="1:13">
      <c r="A216" s="354">
        <f t="shared" si="31"/>
        <v>4</v>
      </c>
      <c r="B216" s="197">
        <f t="shared" si="31"/>
        <v>2.0575999999999999</v>
      </c>
      <c r="C216" s="198">
        <f t="shared" si="29"/>
        <v>2676.8622527857369</v>
      </c>
      <c r="D216" s="198">
        <f t="shared" si="29"/>
        <v>2620.3664361668261</v>
      </c>
      <c r="E216" s="347">
        <f t="shared" si="21"/>
        <v>1296</v>
      </c>
      <c r="F216" s="347">
        <f t="shared" si="30"/>
        <v>259.2</v>
      </c>
      <c r="G216" s="198">
        <f t="shared" si="30"/>
        <v>669.21556319643423</v>
      </c>
      <c r="H216" s="198">
        <f t="shared" si="30"/>
        <v>655.09160904170653</v>
      </c>
      <c r="I216" s="198">
        <f t="shared" si="30"/>
        <v>21.689296991736171</v>
      </c>
      <c r="J216" s="198">
        <f t="shared" si="30"/>
        <v>37.237825815339178</v>
      </c>
      <c r="K216" s="198">
        <f t="shared" si="30"/>
        <v>36.451912615524357</v>
      </c>
      <c r="L216" s="197">
        <f t="shared" si="32"/>
        <v>57.119332407075348</v>
      </c>
      <c r="M216" s="392">
        <f t="shared" si="33"/>
        <v>56.333419207260526</v>
      </c>
    </row>
    <row r="217" spans="1:13">
      <c r="A217" s="354">
        <f t="shared" si="31"/>
        <v>4.5</v>
      </c>
      <c r="B217" s="197">
        <f t="shared" si="31"/>
        <v>2.3148</v>
      </c>
      <c r="C217" s="198">
        <f t="shared" si="29"/>
        <v>3251.0215826380531</v>
      </c>
      <c r="D217" s="198">
        <f t="shared" si="29"/>
        <v>3182.4079963522054</v>
      </c>
      <c r="E217" s="347">
        <f t="shared" si="21"/>
        <v>1233</v>
      </c>
      <c r="F217" s="347">
        <f t="shared" si="30"/>
        <v>246.60000000000002</v>
      </c>
      <c r="G217" s="198">
        <f t="shared" si="30"/>
        <v>812.75539565951328</v>
      </c>
      <c r="H217" s="198">
        <f t="shared" si="30"/>
        <v>795.60199908805134</v>
      </c>
      <c r="I217" s="198">
        <f t="shared" si="30"/>
        <v>20.634956165748999</v>
      </c>
      <c r="J217" s="198">
        <f t="shared" si="30"/>
        <v>45.224955184077658</v>
      </c>
      <c r="K217" s="198">
        <f t="shared" si="30"/>
        <v>44.27047171298414</v>
      </c>
      <c r="L217" s="197">
        <f t="shared" si="32"/>
        <v>64.052120949826659</v>
      </c>
      <c r="M217" s="392">
        <f t="shared" si="33"/>
        <v>63.097637478733134</v>
      </c>
    </row>
    <row r="218" spans="1:13">
      <c r="A218" s="354">
        <f t="shared" si="31"/>
        <v>5</v>
      </c>
      <c r="B218" s="197">
        <f t="shared" si="31"/>
        <v>2.5720000000000001</v>
      </c>
      <c r="C218" s="198">
        <f t="shared" si="29"/>
        <v>3870.8622108292311</v>
      </c>
      <c r="D218" s="198">
        <f t="shared" si="29"/>
        <v>3789.1667401741761</v>
      </c>
      <c r="E218" s="347">
        <f t="shared" si="21"/>
        <v>1170</v>
      </c>
      <c r="F218" s="347">
        <f t="shared" si="30"/>
        <v>234</v>
      </c>
      <c r="G218" s="198">
        <f t="shared" si="30"/>
        <v>967.71555270730778</v>
      </c>
      <c r="H218" s="198">
        <f t="shared" si="30"/>
        <v>947.29168504354402</v>
      </c>
      <c r="I218" s="198">
        <f t="shared" si="30"/>
        <v>19.580615339761824</v>
      </c>
      <c r="J218" s="198">
        <f t="shared" si="30"/>
        <v>53.847557008969169</v>
      </c>
      <c r="K218" s="198">
        <f t="shared" si="30"/>
        <v>52.711091468768437</v>
      </c>
      <c r="L218" s="197">
        <f t="shared" si="32"/>
        <v>71.620381948730994</v>
      </c>
      <c r="M218" s="392">
        <f t="shared" si="33"/>
        <v>70.483916408530263</v>
      </c>
    </row>
    <row r="219" spans="1:13">
      <c r="A219" s="319"/>
      <c r="B219" s="300"/>
      <c r="C219" s="300"/>
      <c r="D219" s="300"/>
      <c r="E219" s="300"/>
      <c r="F219" s="300"/>
      <c r="G219" s="300"/>
      <c r="H219" s="300"/>
      <c r="I219" s="300"/>
      <c r="J219" s="300"/>
      <c r="K219" s="300"/>
      <c r="L219" s="300"/>
      <c r="M219" s="320"/>
    </row>
    <row r="220" spans="1:13">
      <c r="A220" s="319"/>
      <c r="B220" s="300"/>
      <c r="C220" s="300"/>
      <c r="D220" s="300"/>
      <c r="E220" s="300"/>
      <c r="F220" s="300"/>
      <c r="G220" s="300"/>
      <c r="H220" s="300"/>
      <c r="I220" s="300"/>
      <c r="J220" s="300"/>
      <c r="K220" s="300"/>
      <c r="L220" s="300"/>
      <c r="M220" s="320"/>
    </row>
    <row r="221" spans="1:13" ht="21">
      <c r="A221" s="319"/>
      <c r="B221" s="709" t="s">
        <v>860</v>
      </c>
      <c r="C221" s="709"/>
      <c r="D221" s="709"/>
      <c r="E221" s="709"/>
      <c r="F221" s="709"/>
      <c r="G221" s="709"/>
      <c r="H221" s="709"/>
      <c r="I221" s="709"/>
      <c r="J221" s="709"/>
      <c r="K221" s="709"/>
      <c r="L221" s="709"/>
      <c r="M221" s="710"/>
    </row>
    <row r="222" spans="1:13">
      <c r="A222" s="319"/>
      <c r="B222" s="300"/>
      <c r="C222" s="300"/>
      <c r="D222" s="300"/>
      <c r="E222" s="300"/>
      <c r="F222" s="300"/>
      <c r="G222" s="300"/>
      <c r="H222" s="300"/>
      <c r="I222" s="300"/>
      <c r="J222" s="300"/>
      <c r="K222" s="300"/>
      <c r="L222" s="300"/>
      <c r="M222" s="320"/>
    </row>
    <row r="223" spans="1:13">
      <c r="A223" s="319"/>
      <c r="B223" s="300"/>
      <c r="C223" s="543" t="str">
        <f t="array" ref="C223">D184</f>
        <v>Burlon, Relinga Inferior (m)</v>
      </c>
      <c r="D223" s="543"/>
      <c r="E223" s="543"/>
      <c r="F223" s="347">
        <f t="array" ref="F223">G184</f>
        <v>33.299999999999997</v>
      </c>
      <c r="G223" s="300" t="s">
        <v>560</v>
      </c>
      <c r="H223" s="300"/>
      <c r="I223" s="300"/>
      <c r="J223" s="300"/>
      <c r="K223" s="300"/>
      <c r="L223" s="300"/>
      <c r="M223" s="320"/>
    </row>
    <row r="224" spans="1:13">
      <c r="A224" s="319"/>
      <c r="B224" s="300"/>
      <c r="C224" s="543" t="s">
        <v>842</v>
      </c>
      <c r="D224" s="543"/>
      <c r="E224" s="543"/>
      <c r="F224" s="1">
        <v>2</v>
      </c>
      <c r="G224" s="347" t="s">
        <v>841</v>
      </c>
      <c r="H224" s="347">
        <f>ROUNDUP(F225*F236,0)*F224</f>
        <v>12</v>
      </c>
      <c r="I224" s="300" t="s">
        <v>253</v>
      </c>
      <c r="J224" s="300"/>
      <c r="K224" s="300"/>
      <c r="L224" s="300"/>
      <c r="M224" s="320"/>
    </row>
    <row r="225" spans="1:13">
      <c r="A225" s="319"/>
      <c r="B225" s="300"/>
      <c r="C225" s="543" t="str">
        <f>"Lastre minimo para" &amp; E194</f>
        <v>Lastre minimo para150 HP</v>
      </c>
      <c r="D225" s="543"/>
      <c r="E225" s="543"/>
      <c r="F225" s="198">
        <f>ROUNDDOWN(M197,0)</f>
        <v>27</v>
      </c>
      <c r="G225" s="300" t="s">
        <v>253</v>
      </c>
      <c r="H225" s="300"/>
      <c r="I225" s="300"/>
      <c r="J225" s="300"/>
      <c r="K225" s="300"/>
      <c r="L225" s="300"/>
      <c r="M225" s="320"/>
    </row>
    <row r="226" spans="1:13">
      <c r="A226" s="319"/>
      <c r="B226" s="300"/>
      <c r="C226" s="543" t="str">
        <f>"Lastre maximo para" &amp; E194</f>
        <v>Lastre maximo para150 HP</v>
      </c>
      <c r="D226" s="543"/>
      <c r="E226" s="543"/>
      <c r="F226" s="198">
        <f>ROUNDUP(L201,0)</f>
        <v>42</v>
      </c>
      <c r="G226" s="300" t="s">
        <v>253</v>
      </c>
      <c r="H226" s="300"/>
      <c r="I226" s="300"/>
      <c r="J226" s="300"/>
      <c r="K226" s="300"/>
      <c r="L226" s="300"/>
      <c r="M226" s="320"/>
    </row>
    <row r="227" spans="1:13">
      <c r="A227" s="319"/>
      <c r="B227" s="300"/>
      <c r="C227" s="543" t="s">
        <v>855</v>
      </c>
      <c r="D227" s="543"/>
      <c r="E227" s="543"/>
      <c r="F227" s="347" t="str">
        <f>'Especie Blanco'!E6</f>
        <v>Intermedio</v>
      </c>
      <c r="G227" s="300"/>
      <c r="H227" s="300"/>
      <c r="I227" s="300"/>
      <c r="J227" s="300"/>
      <c r="K227" s="300"/>
      <c r="L227" s="300"/>
      <c r="M227" s="320"/>
    </row>
    <row r="228" spans="1:13">
      <c r="A228" s="319"/>
      <c r="B228" s="300"/>
      <c r="C228" s="529"/>
      <c r="D228" s="529"/>
      <c r="E228" s="529"/>
      <c r="F228" s="529"/>
      <c r="G228" s="300"/>
      <c r="H228" s="300"/>
      <c r="I228" s="300"/>
      <c r="J228" s="300"/>
      <c r="K228" s="300"/>
      <c r="L228" s="300"/>
      <c r="M228" s="320"/>
    </row>
    <row r="229" spans="1:13">
      <c r="A229" s="319"/>
      <c r="B229" s="300"/>
      <c r="C229" s="300"/>
      <c r="D229" s="300"/>
      <c r="E229" s="300"/>
      <c r="F229" s="300"/>
      <c r="G229" s="300"/>
      <c r="H229" s="300"/>
      <c r="I229" s="300"/>
      <c r="J229" s="300"/>
      <c r="K229" s="300"/>
      <c r="L229" s="300"/>
      <c r="M229" s="320"/>
    </row>
    <row r="230" spans="1:13">
      <c r="A230" s="319"/>
      <c r="B230" s="300"/>
      <c r="C230" s="300"/>
      <c r="D230" s="300"/>
      <c r="E230" s="300"/>
      <c r="F230" s="300"/>
      <c r="G230" s="300"/>
      <c r="H230" s="300"/>
      <c r="I230" s="300"/>
      <c r="J230" s="300"/>
      <c r="K230" s="300"/>
      <c r="L230" s="300"/>
      <c r="M230" s="320"/>
    </row>
    <row r="231" spans="1:13" ht="15.75" thickBot="1">
      <c r="A231" s="319"/>
      <c r="B231" s="300"/>
      <c r="C231" s="300"/>
      <c r="D231" s="300"/>
      <c r="E231" s="300"/>
      <c r="F231" s="300"/>
      <c r="G231" s="300"/>
      <c r="H231" s="300"/>
      <c r="I231" s="300"/>
      <c r="J231" s="300"/>
      <c r="K231" s="300"/>
      <c r="L231" s="300"/>
      <c r="M231" s="320"/>
    </row>
    <row r="232" spans="1:13" s="255" customFormat="1" ht="15.75" thickBot="1">
      <c r="A232" s="319"/>
      <c r="B232" s="300"/>
      <c r="C232" s="707" t="str">
        <f>"Para_"&amp; C225</f>
        <v>Para_Lastre minimo para150 HP</v>
      </c>
      <c r="D232" s="708"/>
      <c r="E232" s="708"/>
      <c r="F232" s="384"/>
      <c r="G232" s="384"/>
      <c r="H232" s="384"/>
      <c r="I232" s="335"/>
      <c r="J232" s="300"/>
      <c r="K232" s="300"/>
      <c r="L232" s="300"/>
      <c r="M232" s="320"/>
    </row>
    <row r="233" spans="1:13">
      <c r="A233" s="319"/>
      <c r="B233" s="300"/>
      <c r="C233" s="713" t="s">
        <v>834</v>
      </c>
      <c r="D233" s="543"/>
      <c r="E233" s="197">
        <f>(F225-H224)/F223</f>
        <v>0.45045045045045051</v>
      </c>
      <c r="F233" s="347" t="s">
        <v>835</v>
      </c>
      <c r="G233" s="384"/>
      <c r="H233" s="384"/>
      <c r="I233" s="335"/>
      <c r="J233" s="300"/>
      <c r="K233" s="300"/>
      <c r="L233" s="300"/>
      <c r="M233" s="320"/>
    </row>
    <row r="234" spans="1:13">
      <c r="A234" s="319"/>
      <c r="B234" s="300"/>
      <c r="C234" s="711" t="s">
        <v>772</v>
      </c>
      <c r="D234" s="712"/>
      <c r="E234" s="712"/>
      <c r="F234" s="347" t="s">
        <v>848</v>
      </c>
      <c r="G234" s="347" t="s">
        <v>845</v>
      </c>
      <c r="H234" s="474" t="s">
        <v>697</v>
      </c>
      <c r="I234" s="339" t="s">
        <v>847</v>
      </c>
      <c r="J234" s="300"/>
      <c r="K234" s="300"/>
      <c r="L234" s="300"/>
      <c r="M234" s="320"/>
    </row>
    <row r="235" spans="1:13">
      <c r="A235" s="319"/>
      <c r="B235" s="300"/>
      <c r="C235" s="711"/>
      <c r="D235" s="712"/>
      <c r="E235" s="712"/>
      <c r="F235" s="347" t="s">
        <v>839</v>
      </c>
      <c r="G235" s="347" t="s">
        <v>811</v>
      </c>
      <c r="H235" s="474"/>
      <c r="I235" s="339" t="s">
        <v>846</v>
      </c>
      <c r="J235" s="300"/>
      <c r="K235" s="300"/>
      <c r="L235" s="300"/>
      <c r="M235" s="320"/>
    </row>
    <row r="236" spans="1:13">
      <c r="A236" s="319"/>
      <c r="B236" s="300"/>
      <c r="C236" s="713" t="s">
        <v>849</v>
      </c>
      <c r="D236" s="543"/>
      <c r="E236" s="543"/>
      <c r="F236" s="347">
        <v>0.2</v>
      </c>
      <c r="G236" s="197">
        <f>ROUNDDOWN(F236*F225,0)</f>
        <v>5</v>
      </c>
      <c r="H236" s="347">
        <v>1</v>
      </c>
      <c r="I236" s="428">
        <f>G236/H236</f>
        <v>5</v>
      </c>
      <c r="J236" s="300"/>
      <c r="K236" s="300"/>
      <c r="L236" s="300"/>
      <c r="M236" s="320"/>
    </row>
    <row r="237" spans="1:13">
      <c r="A237" s="319"/>
      <c r="B237" s="300"/>
      <c r="C237" s="713" t="s">
        <v>850</v>
      </c>
      <c r="D237" s="543"/>
      <c r="E237" s="543"/>
      <c r="F237" s="347">
        <v>0.25</v>
      </c>
      <c r="G237" s="197">
        <f>ROUNDUP(F237*F225,0)</f>
        <v>7</v>
      </c>
      <c r="H237" s="347">
        <v>2.5</v>
      </c>
      <c r="I237" s="428">
        <f>G237/H237</f>
        <v>2.8</v>
      </c>
      <c r="J237" s="300"/>
      <c r="K237" s="300"/>
      <c r="L237" s="300"/>
      <c r="M237" s="320"/>
    </row>
    <row r="238" spans="1:13" s="255" customFormat="1" ht="15.75" thickBot="1">
      <c r="A238" s="319"/>
      <c r="B238" s="300"/>
      <c r="C238" s="705" t="s">
        <v>851</v>
      </c>
      <c r="D238" s="706"/>
      <c r="E238" s="706"/>
      <c r="F238" s="385">
        <f>1-F237-F236</f>
        <v>0.55000000000000004</v>
      </c>
      <c r="G238" s="429">
        <f>ROUNDUP(F238*F225,0)</f>
        <v>15</v>
      </c>
      <c r="H238" s="385">
        <f>F223-H237</f>
        <v>30.799999999999997</v>
      </c>
      <c r="I238" s="430">
        <f>G238/H238</f>
        <v>0.48701298701298706</v>
      </c>
      <c r="J238" s="300"/>
      <c r="K238" s="300"/>
      <c r="L238" s="300"/>
      <c r="M238" s="320"/>
    </row>
    <row r="239" spans="1:13" s="255" customFormat="1" ht="15.75" thickBot="1">
      <c r="A239" s="319"/>
      <c r="B239" s="300"/>
      <c r="C239" s="300"/>
      <c r="D239" s="300"/>
      <c r="E239" s="300"/>
      <c r="F239" s="300"/>
      <c r="G239" s="300"/>
      <c r="H239" s="300"/>
      <c r="I239" s="300"/>
      <c r="J239" s="300"/>
      <c r="K239" s="300"/>
      <c r="L239" s="300"/>
      <c r="M239" s="320"/>
    </row>
    <row r="240" spans="1:13" s="255" customFormat="1">
      <c r="A240" s="319"/>
      <c r="B240" s="300"/>
      <c r="C240" s="707" t="str">
        <f>"Para_"&amp;C226</f>
        <v>Para_Lastre maximo para150 HP</v>
      </c>
      <c r="D240" s="708"/>
      <c r="E240" s="708"/>
      <c r="F240" s="384"/>
      <c r="G240" s="384"/>
      <c r="H240" s="384"/>
      <c r="I240" s="335"/>
      <c r="J240" s="300"/>
      <c r="K240" s="300"/>
      <c r="L240" s="300"/>
      <c r="M240" s="320"/>
    </row>
    <row r="241" spans="1:13" s="255" customFormat="1">
      <c r="A241" s="319"/>
      <c r="B241" s="300"/>
      <c r="C241" s="711" t="s">
        <v>772</v>
      </c>
      <c r="D241" s="712"/>
      <c r="E241" s="712"/>
      <c r="F241" s="347" t="s">
        <v>848</v>
      </c>
      <c r="G241" s="347" t="s">
        <v>845</v>
      </c>
      <c r="H241" s="474" t="s">
        <v>697</v>
      </c>
      <c r="I241" s="339" t="s">
        <v>847</v>
      </c>
      <c r="J241" s="300"/>
      <c r="K241" s="300"/>
      <c r="L241" s="300"/>
      <c r="M241" s="320"/>
    </row>
    <row r="242" spans="1:13">
      <c r="A242" s="319"/>
      <c r="B242" s="300"/>
      <c r="C242" s="711"/>
      <c r="D242" s="712"/>
      <c r="E242" s="712"/>
      <c r="F242" s="347" t="s">
        <v>839</v>
      </c>
      <c r="G242" s="347" t="s">
        <v>811</v>
      </c>
      <c r="H242" s="474"/>
      <c r="I242" s="339" t="s">
        <v>846</v>
      </c>
      <c r="J242" s="300"/>
      <c r="K242" s="300"/>
      <c r="L242" s="300"/>
      <c r="M242" s="320"/>
    </row>
    <row r="243" spans="1:13">
      <c r="A243" s="319"/>
      <c r="B243" s="300"/>
      <c r="C243" s="713" t="s">
        <v>849</v>
      </c>
      <c r="D243" s="543"/>
      <c r="E243" s="543"/>
      <c r="F243" s="347">
        <v>0.3</v>
      </c>
      <c r="G243" s="197">
        <f>ROUNDDOWN(F243*$F$226,0)</f>
        <v>12</v>
      </c>
      <c r="H243" s="347">
        <v>1</v>
      </c>
      <c r="I243" s="428">
        <f>G243/F224</f>
        <v>6</v>
      </c>
      <c r="J243" s="300"/>
      <c r="K243" s="300"/>
      <c r="L243" s="300"/>
      <c r="M243" s="320"/>
    </row>
    <row r="244" spans="1:13">
      <c r="A244" s="319"/>
      <c r="B244" s="300"/>
      <c r="C244" s="713" t="s">
        <v>850</v>
      </c>
      <c r="D244" s="543"/>
      <c r="E244" s="543"/>
      <c r="F244" s="347">
        <v>0.2</v>
      </c>
      <c r="G244" s="197">
        <f>ROUNDDOWN(F244*$F$226,0)</f>
        <v>8</v>
      </c>
      <c r="H244" s="347">
        <v>2.5</v>
      </c>
      <c r="I244" s="428">
        <f>G244/H244</f>
        <v>3.2</v>
      </c>
      <c r="J244" s="300"/>
      <c r="K244" s="300"/>
      <c r="L244" s="300"/>
      <c r="M244" s="320"/>
    </row>
    <row r="245" spans="1:13" ht="15.75" thickBot="1">
      <c r="A245" s="319"/>
      <c r="B245" s="300"/>
      <c r="C245" s="705" t="s">
        <v>851</v>
      </c>
      <c r="D245" s="706"/>
      <c r="E245" s="706"/>
      <c r="F245" s="385">
        <f>1-F244-F243</f>
        <v>0.5</v>
      </c>
      <c r="G245" s="429">
        <f>F226-G243-G244</f>
        <v>22</v>
      </c>
      <c r="H245" s="385">
        <f>F223-H244-F224</f>
        <v>28.799999999999997</v>
      </c>
      <c r="I245" s="430">
        <f>G245/H245</f>
        <v>0.76388888888888895</v>
      </c>
      <c r="J245" s="300"/>
      <c r="K245" s="300"/>
      <c r="L245" s="300"/>
      <c r="M245" s="320"/>
    </row>
    <row r="246" spans="1:13" ht="15.75" thickBot="1">
      <c r="A246" s="321"/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3"/>
    </row>
  </sheetData>
  <mergeCells count="112">
    <mergeCell ref="A1:N1"/>
    <mergeCell ref="A19:N19"/>
    <mergeCell ref="B22:E22"/>
    <mergeCell ref="B23:E23"/>
    <mergeCell ref="B25:E25"/>
    <mergeCell ref="B24:E24"/>
    <mergeCell ref="B26:E26"/>
    <mergeCell ref="C29:G29"/>
    <mergeCell ref="B31:E31"/>
    <mergeCell ref="F31:G31"/>
    <mergeCell ref="D69:E69"/>
    <mergeCell ref="F69:G69"/>
    <mergeCell ref="C84:E84"/>
    <mergeCell ref="C86:E86"/>
    <mergeCell ref="B27:E27"/>
    <mergeCell ref="E2:I2"/>
    <mergeCell ref="E4:G4"/>
    <mergeCell ref="E10:I10"/>
    <mergeCell ref="H12:I12"/>
    <mergeCell ref="B32:E32"/>
    <mergeCell ref="B33:E33"/>
    <mergeCell ref="B34:E34"/>
    <mergeCell ref="B36:E36"/>
    <mergeCell ref="B37:E37"/>
    <mergeCell ref="F32:G32"/>
    <mergeCell ref="F33:G33"/>
    <mergeCell ref="F34:G34"/>
    <mergeCell ref="F35:G35"/>
    <mergeCell ref="F36:G36"/>
    <mergeCell ref="F37:G37"/>
    <mergeCell ref="B35:E35"/>
    <mergeCell ref="A68:M68"/>
    <mergeCell ref="C92:E92"/>
    <mergeCell ref="C94:E94"/>
    <mergeCell ref="C95:E95"/>
    <mergeCell ref="C96:E96"/>
    <mergeCell ref="C87:E87"/>
    <mergeCell ref="C88:E88"/>
    <mergeCell ref="C89:E89"/>
    <mergeCell ref="C90:E90"/>
    <mergeCell ref="C91:E91"/>
    <mergeCell ref="A116:M117"/>
    <mergeCell ref="C107:F107"/>
    <mergeCell ref="H101:H102"/>
    <mergeCell ref="A110:E110"/>
    <mergeCell ref="K110:L110"/>
    <mergeCell ref="A111:B111"/>
    <mergeCell ref="D111:E111"/>
    <mergeCell ref="I111:L111"/>
    <mergeCell ref="A112:D112"/>
    <mergeCell ref="F112:H112"/>
    <mergeCell ref="C103:E103"/>
    <mergeCell ref="C104:E104"/>
    <mergeCell ref="C101:E102"/>
    <mergeCell ref="C105:G105"/>
    <mergeCell ref="C106:F106"/>
    <mergeCell ref="D132:G132"/>
    <mergeCell ref="D136:E136"/>
    <mergeCell ref="B150:M151"/>
    <mergeCell ref="D155:F155"/>
    <mergeCell ref="D131:G131"/>
    <mergeCell ref="D123:G123"/>
    <mergeCell ref="D124:G124"/>
    <mergeCell ref="D125:G125"/>
    <mergeCell ref="D126:G126"/>
    <mergeCell ref="D127:G127"/>
    <mergeCell ref="D128:G128"/>
    <mergeCell ref="D129:G129"/>
    <mergeCell ref="D130:G130"/>
    <mergeCell ref="G180:H180"/>
    <mergeCell ref="E182:I182"/>
    <mergeCell ref="D153:I153"/>
    <mergeCell ref="D185:F185"/>
    <mergeCell ref="D184:F184"/>
    <mergeCell ref="G171:H171"/>
    <mergeCell ref="G175:H175"/>
    <mergeCell ref="G176:H176"/>
    <mergeCell ref="G177:H177"/>
    <mergeCell ref="G178:H178"/>
    <mergeCell ref="G173:H173"/>
    <mergeCell ref="D159:F159"/>
    <mergeCell ref="F162:I162"/>
    <mergeCell ref="G167:H167"/>
    <mergeCell ref="G168:H168"/>
    <mergeCell ref="G170:H170"/>
    <mergeCell ref="A195:B195"/>
    <mergeCell ref="A208:B208"/>
    <mergeCell ref="C223:E223"/>
    <mergeCell ref="C224:E224"/>
    <mergeCell ref="D187:F187"/>
    <mergeCell ref="D189:F189"/>
    <mergeCell ref="D190:F190"/>
    <mergeCell ref="D191:F191"/>
    <mergeCell ref="D186:G186"/>
    <mergeCell ref="C245:E245"/>
    <mergeCell ref="C227:E227"/>
    <mergeCell ref="C232:E232"/>
    <mergeCell ref="C240:E240"/>
    <mergeCell ref="B221:M221"/>
    <mergeCell ref="C238:E238"/>
    <mergeCell ref="C241:E242"/>
    <mergeCell ref="C243:E243"/>
    <mergeCell ref="C244:E244"/>
    <mergeCell ref="H234:H235"/>
    <mergeCell ref="C236:E236"/>
    <mergeCell ref="C237:E237"/>
    <mergeCell ref="H241:H242"/>
    <mergeCell ref="C225:E225"/>
    <mergeCell ref="C226:E226"/>
    <mergeCell ref="C228:F228"/>
    <mergeCell ref="C233:D233"/>
    <mergeCell ref="C234:E235"/>
  </mergeCells>
  <dataValidations count="7">
    <dataValidation type="list" allowBlank="1" showInputMessage="1" showErrorMessage="1" sqref="G176 G168">
      <formula1>klastre</formula1>
    </dataValidation>
    <dataValidation type="list" allowBlank="1" showInputMessage="1" showErrorMessage="1" sqref="G171">
      <formula1>"50,100,150,200,250,300"</formula1>
    </dataValidation>
    <dataValidation type="list" allowBlank="1" showInputMessage="1" showErrorMessage="1" sqref="F243:F244 F103 G106 F236:F237">
      <formula1>porcentajesutiles</formula1>
    </dataValidation>
    <dataValidation type="list" allowBlank="1" showInputMessage="1" showErrorMessage="1" sqref="I177">
      <formula1>"50,55,60,65:70,75,80,85,90,95,100,105,110,115,120,125,130,135,140,145,150,155,160,165,170,175,180,185,190,195,200"</formula1>
    </dataValidation>
    <dataValidation type="list" allowBlank="1" showInputMessage="1" showErrorMessage="1" sqref="G178:H178">
      <formula1>nhp</formula1>
    </dataValidation>
    <dataValidation type="list" allowBlank="1" showInputMessage="1" showErrorMessage="1" sqref="F224">
      <formula1>"0,5,1,1,5,2,2,5,3"</formula1>
    </dataValidation>
    <dataValidation type="list" allowBlank="1" showInputMessage="1" showErrorMessage="1" sqref="F84">
      <formula1>cincuenta</formula1>
    </dataValidation>
  </dataValidation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74"/>
  <sheetViews>
    <sheetView workbookViewId="0">
      <selection activeCell="L27" sqref="L27"/>
    </sheetView>
  </sheetViews>
  <sheetFormatPr baseColWidth="10" defaultRowHeight="15"/>
  <sheetData>
    <row r="1" spans="1:10">
      <c r="A1" s="525" t="s">
        <v>861</v>
      </c>
      <c r="B1" s="525"/>
      <c r="C1" s="525"/>
      <c r="D1" s="525"/>
      <c r="E1" s="525"/>
      <c r="F1" s="525"/>
      <c r="G1" s="525"/>
      <c r="H1" s="525"/>
      <c r="I1" s="525"/>
      <c r="J1" s="525"/>
    </row>
    <row r="2" spans="1:10">
      <c r="A2" s="525"/>
      <c r="B2" s="525"/>
      <c r="C2" s="525"/>
      <c r="D2" s="525"/>
      <c r="E2" s="525"/>
      <c r="F2" s="525"/>
      <c r="G2" s="525"/>
      <c r="H2" s="525"/>
      <c r="I2" s="525"/>
      <c r="J2" s="525"/>
    </row>
    <row r="4" spans="1:10" s="255" customFormat="1">
      <c r="A4" s="477" t="s">
        <v>869</v>
      </c>
      <c r="B4" s="477"/>
    </row>
    <row r="5" spans="1:10" s="255" customFormat="1"/>
    <row r="6" spans="1:10" s="255" customFormat="1">
      <c r="A6" s="474" t="str">
        <f t="array" ref="A6">'Dimensiones de la Red'!B46:E46</f>
        <v>Burlon, Relinga Inferior (m)</v>
      </c>
      <c r="B6" s="474"/>
      <c r="C6" s="474"/>
      <c r="D6" s="474"/>
      <c r="E6" s="474"/>
      <c r="F6" s="347">
        <f t="array" ref="F6">Burlon</f>
        <v>33.299999999999997</v>
      </c>
    </row>
    <row r="7" spans="1:10" s="255" customFormat="1">
      <c r="A7" s="474" t="str">
        <f t="array" ref="A7">'Portones y aparejamiento'!B13:D13</f>
        <v xml:space="preserve">Distancia entre portones= </v>
      </c>
      <c r="B7" s="474"/>
      <c r="C7" s="474"/>
      <c r="D7" s="474"/>
      <c r="E7" s="474"/>
      <c r="F7" s="347">
        <f>'Portones y aparejamiento'!E13</f>
        <v>32.499999999999986</v>
      </c>
    </row>
    <row r="8" spans="1:10" s="255" customFormat="1">
      <c r="A8" s="474" t="str">
        <f t="array" ref="A8">'Dimensiones de la Red'!B65:E65&amp;"_+_"&amp;'Dimensiones de la Red'!B68:E68</f>
        <v>Patentes (Pa) [m]_+_Viento o Brida Superior (Vs) [m]</v>
      </c>
      <c r="B8" s="474"/>
      <c r="C8" s="474"/>
      <c r="D8" s="474"/>
      <c r="E8" s="474"/>
      <c r="F8" s="313">
        <f>SUM('Dimensiones de la Red'!F65,'Dimensiones de la Red'!F68)</f>
        <v>43</v>
      </c>
    </row>
    <row r="9" spans="1:10" s="255" customFormat="1">
      <c r="A9" s="474" t="str">
        <f t="array" ref="A9">'Portones y aparejamiento'!B9:C9</f>
        <v>cable filado</v>
      </c>
      <c r="B9" s="474"/>
      <c r="C9" s="474"/>
      <c r="D9" s="474"/>
      <c r="E9" s="474"/>
      <c r="F9" s="347">
        <f>'Portones y aparejamiento'!D9</f>
        <v>200</v>
      </c>
    </row>
    <row r="10" spans="1:10" s="255" customFormat="1">
      <c r="A10" s="474" t="str">
        <f t="array" ref="A10">'Dimensiones de la Red'!B48:E48</f>
        <v>Largo total (dorso) sin la bolsa  [m]</v>
      </c>
      <c r="B10" s="474"/>
      <c r="C10" s="474"/>
      <c r="D10" s="474"/>
      <c r="E10" s="474"/>
      <c r="F10" s="347">
        <f>Largototal</f>
        <v>32.68</v>
      </c>
    </row>
    <row r="11" spans="1:10" s="255" customFormat="1">
      <c r="A11" s="474" t="str">
        <f t="array" ref="A11">'Portones y aparejamiento'!B6:C6</f>
        <v>Distancia entre pastecas=</v>
      </c>
      <c r="B11" s="474"/>
      <c r="C11" s="474"/>
      <c r="D11" s="474"/>
      <c r="E11" s="474"/>
      <c r="F11" s="347">
        <f>'Portones y aparejamiento'!D6</f>
        <v>2.5</v>
      </c>
    </row>
    <row r="12" spans="1:10" s="255" customFormat="1"/>
    <row r="13" spans="1:10" ht="23.25">
      <c r="C13" s="476" t="s">
        <v>867</v>
      </c>
      <c r="D13" s="476"/>
      <c r="E13" s="476"/>
      <c r="F13" s="476"/>
      <c r="G13" s="476"/>
      <c r="H13" s="476"/>
    </row>
    <row r="14" spans="1:10" ht="15.75" thickBot="1"/>
    <row r="15" spans="1:10">
      <c r="D15" s="744" t="s">
        <v>643</v>
      </c>
      <c r="E15" s="736"/>
      <c r="F15" s="736"/>
      <c r="G15" s="745"/>
    </row>
    <row r="16" spans="1:10">
      <c r="D16" s="319"/>
      <c r="E16" s="300"/>
      <c r="F16" s="300"/>
      <c r="G16" s="320"/>
    </row>
    <row r="17" spans="2:9">
      <c r="D17" s="354" t="s">
        <v>868</v>
      </c>
      <c r="E17" s="347" t="s">
        <v>873</v>
      </c>
      <c r="F17" s="198">
        <f>(F7*F6)/(F8+F6)</f>
        <v>14.184141546526861</v>
      </c>
      <c r="G17" s="320"/>
    </row>
    <row r="18" spans="2:9">
      <c r="D18" s="319"/>
      <c r="E18" s="300"/>
      <c r="F18" s="300"/>
      <c r="G18" s="320"/>
    </row>
    <row r="19" spans="2:9" ht="15.75" thickBot="1">
      <c r="D19" s="422" t="s">
        <v>874</v>
      </c>
      <c r="E19" s="385" t="s">
        <v>873</v>
      </c>
      <c r="F19" s="440">
        <f>(F7*F10)/(F10+F8)</f>
        <v>14.034090909090901</v>
      </c>
      <c r="G19" s="323"/>
    </row>
    <row r="22" spans="2:9" ht="15.75" thickBot="1"/>
    <row r="23" spans="2:9">
      <c r="B23" s="334"/>
      <c r="C23" s="665" t="s">
        <v>875</v>
      </c>
      <c r="D23" s="665"/>
      <c r="E23" s="665"/>
      <c r="F23" s="665"/>
      <c r="G23" s="665"/>
      <c r="H23" s="665"/>
      <c r="I23" s="335"/>
    </row>
    <row r="24" spans="2:9">
      <c r="B24" s="319"/>
      <c r="C24" s="300"/>
      <c r="D24" s="300"/>
      <c r="E24" s="300"/>
      <c r="F24" s="300"/>
      <c r="G24" s="300"/>
      <c r="H24" s="300"/>
      <c r="I24" s="320"/>
    </row>
    <row r="25" spans="2:9">
      <c r="B25" s="319"/>
      <c r="C25" s="300"/>
      <c r="D25" s="345" t="s">
        <v>876</v>
      </c>
      <c r="E25" s="362">
        <f>DEGREES(ASIN((0.5*((F7-F11)/F9))))</f>
        <v>4.3012223046703628</v>
      </c>
      <c r="F25" s="344" t="s">
        <v>602</v>
      </c>
      <c r="G25" s="300"/>
      <c r="H25" s="300"/>
      <c r="I25" s="320"/>
    </row>
    <row r="26" spans="2:9">
      <c r="B26" s="319"/>
      <c r="C26" s="300"/>
      <c r="D26" s="300"/>
      <c r="E26" s="300"/>
      <c r="F26" s="300"/>
      <c r="G26" s="300"/>
      <c r="H26" s="300"/>
      <c r="I26" s="320"/>
    </row>
    <row r="27" spans="2:9">
      <c r="B27" s="319"/>
      <c r="C27" s="529" t="s">
        <v>879</v>
      </c>
      <c r="D27" s="529"/>
      <c r="E27" s="529"/>
      <c r="F27" s="529"/>
      <c r="G27" s="529"/>
      <c r="H27" s="529"/>
      <c r="I27" s="320"/>
    </row>
    <row r="28" spans="2:9">
      <c r="B28" s="319"/>
      <c r="C28" s="300"/>
      <c r="D28" s="300"/>
      <c r="E28" s="300"/>
      <c r="F28" s="300"/>
      <c r="G28" s="300"/>
      <c r="H28" s="300"/>
      <c r="I28" s="320"/>
    </row>
    <row r="29" spans="2:9">
      <c r="B29" s="319"/>
      <c r="C29" s="300"/>
      <c r="D29" s="344" t="s">
        <v>877</v>
      </c>
      <c r="E29" s="362">
        <f>DEGREES(ASIN((0.5*((F7-F17)/F8))))</f>
        <v>12.296757829537629</v>
      </c>
      <c r="F29" s="344" t="s">
        <v>602</v>
      </c>
      <c r="G29" s="300"/>
      <c r="H29" s="300"/>
      <c r="I29" s="320"/>
    </row>
    <row r="30" spans="2:9">
      <c r="B30" s="319"/>
      <c r="C30" s="300"/>
      <c r="D30" s="300"/>
      <c r="E30" s="300"/>
      <c r="F30" s="300"/>
      <c r="G30" s="300"/>
      <c r="H30" s="300"/>
      <c r="I30" s="320"/>
    </row>
    <row r="31" spans="2:9">
      <c r="B31" s="319"/>
      <c r="C31" s="529" t="s">
        <v>880</v>
      </c>
      <c r="D31" s="529"/>
      <c r="E31" s="529"/>
      <c r="F31" s="529"/>
      <c r="G31" s="529"/>
      <c r="H31" s="529"/>
      <c r="I31" s="320"/>
    </row>
    <row r="32" spans="2:9">
      <c r="B32" s="319"/>
      <c r="C32" s="300"/>
      <c r="D32" s="300"/>
      <c r="E32" s="300"/>
      <c r="F32" s="300"/>
      <c r="G32" s="300"/>
      <c r="H32" s="300"/>
      <c r="I32" s="320"/>
    </row>
    <row r="33" spans="2:9">
      <c r="B33" s="319"/>
      <c r="C33" s="300"/>
      <c r="D33" s="345" t="s">
        <v>881</v>
      </c>
      <c r="E33" s="362">
        <f>DEGREES(ASIN(('Especie Blanco'!E5+'Tipo de buques'!B6)/'Cables de Remolque'!F9))</f>
        <v>12.063756135484818</v>
      </c>
      <c r="F33" s="344" t="s">
        <v>602</v>
      </c>
      <c r="G33" s="300"/>
      <c r="H33" s="300"/>
      <c r="I33" s="320"/>
    </row>
    <row r="34" spans="2:9" ht="15.75" thickBot="1">
      <c r="B34" s="321"/>
      <c r="C34" s="322"/>
      <c r="D34" s="322"/>
      <c r="E34" s="322"/>
      <c r="F34" s="322"/>
      <c r="G34" s="322"/>
      <c r="H34" s="322"/>
      <c r="I34" s="323"/>
    </row>
    <row r="37" spans="2:9">
      <c r="C37" s="477" t="s">
        <v>882</v>
      </c>
      <c r="D37" s="477"/>
      <c r="E37" s="477"/>
      <c r="F37" s="477"/>
      <c r="G37" s="477"/>
      <c r="H37" s="477"/>
    </row>
    <row r="64" ht="15.75" thickBot="1"/>
    <row r="65" spans="1:9" ht="18.75">
      <c r="A65" s="334"/>
      <c r="B65" s="702" t="s">
        <v>885</v>
      </c>
      <c r="C65" s="702"/>
      <c r="D65" s="702"/>
      <c r="E65" s="702"/>
      <c r="F65" s="702"/>
      <c r="G65" s="702"/>
      <c r="H65" s="702"/>
      <c r="I65" s="703"/>
    </row>
    <row r="66" spans="1:9" ht="15.75" thickBot="1">
      <c r="A66" s="319"/>
      <c r="B66" s="300"/>
      <c r="C66" s="300"/>
      <c r="D66" s="300"/>
      <c r="E66" s="300"/>
      <c r="F66" s="300"/>
      <c r="G66" s="300"/>
      <c r="H66" s="300"/>
      <c r="I66" s="320"/>
    </row>
    <row r="67" spans="1:9">
      <c r="A67" s="319"/>
      <c r="B67" s="334" t="s">
        <v>886</v>
      </c>
      <c r="C67" s="384"/>
      <c r="D67" s="384" t="s">
        <v>887</v>
      </c>
      <c r="E67" s="384" t="s">
        <v>888</v>
      </c>
      <c r="F67" s="335"/>
      <c r="G67" s="300"/>
      <c r="H67" s="300"/>
      <c r="I67" s="320"/>
    </row>
    <row r="68" spans="1:9">
      <c r="A68" s="319"/>
      <c r="B68" s="319"/>
      <c r="C68" s="300"/>
      <c r="D68" s="300"/>
      <c r="E68" s="300"/>
      <c r="F68" s="320"/>
      <c r="G68" s="300"/>
      <c r="H68" s="300"/>
      <c r="I68" s="320"/>
    </row>
    <row r="69" spans="1:9">
      <c r="A69" s="319"/>
      <c r="B69" s="319"/>
      <c r="C69" s="300"/>
      <c r="D69" s="300"/>
      <c r="E69" s="347" t="s">
        <v>889</v>
      </c>
      <c r="F69" s="320"/>
      <c r="G69" s="300"/>
      <c r="H69" s="300"/>
      <c r="I69" s="320"/>
    </row>
    <row r="70" spans="1:9">
      <c r="A70" s="319"/>
      <c r="B70" s="319"/>
      <c r="C70" s="300"/>
      <c r="D70" s="347" t="str">
        <f t="array" ref="D70">'Potencia Disponible Arrastre OK'!A7:G7</f>
        <v>150 HP</v>
      </c>
      <c r="E70" s="198">
        <f>'Potencia Disponible Arrastre OK'!C171</f>
        <v>13.5</v>
      </c>
      <c r="F70" s="320"/>
      <c r="G70" s="300"/>
      <c r="H70" s="300"/>
      <c r="I70" s="320"/>
    </row>
    <row r="71" spans="1:9">
      <c r="A71" s="319"/>
      <c r="B71" s="319"/>
      <c r="C71" s="300"/>
      <c r="D71" s="347" t="str">
        <f t="array" ref="D71">'Potencia Disponible Arrastre OK'!A19:G19</f>
        <v>180 HP</v>
      </c>
      <c r="E71" s="198">
        <f>'Potencia Disponible Arrastre OK'!D171</f>
        <v>16.2</v>
      </c>
      <c r="F71" s="320"/>
      <c r="G71" s="300"/>
      <c r="H71" s="300"/>
      <c r="I71" s="320"/>
    </row>
    <row r="72" spans="1:9">
      <c r="A72" s="319"/>
      <c r="B72" s="319"/>
      <c r="C72" s="300"/>
      <c r="D72" s="300"/>
      <c r="E72" s="300"/>
      <c r="F72" s="320"/>
      <c r="G72" s="300"/>
      <c r="H72" s="300"/>
      <c r="I72" s="320"/>
    </row>
    <row r="73" spans="1:9">
      <c r="A73" s="319"/>
      <c r="B73" s="713" t="str">
        <f>"Diametro del cable de remolque para_"&amp;D70</f>
        <v>Diametro del cable de remolque para_150 HP</v>
      </c>
      <c r="C73" s="543"/>
      <c r="D73" s="543"/>
      <c r="E73" s="543"/>
      <c r="F73" s="428">
        <f>18+(0.0034*E70)</f>
        <v>18.0459</v>
      </c>
      <c r="G73" s="300" t="s">
        <v>258</v>
      </c>
      <c r="H73" s="300"/>
      <c r="I73" s="320"/>
    </row>
    <row r="74" spans="1:9" ht="15.75" thickBot="1">
      <c r="A74" s="319"/>
      <c r="B74" s="721" t="str">
        <f>"Diametro del cable de remolque para_"&amp;D71</f>
        <v>Diametro del cable de remolque para_180 HP</v>
      </c>
      <c r="C74" s="722"/>
      <c r="D74" s="722"/>
      <c r="E74" s="722"/>
      <c r="F74" s="430">
        <f>18+(0.0034*E71)</f>
        <v>18.05508</v>
      </c>
      <c r="G74" s="300" t="s">
        <v>258</v>
      </c>
      <c r="H74" s="300"/>
      <c r="I74" s="320"/>
    </row>
    <row r="75" spans="1:9" ht="15.75" thickBot="1">
      <c r="A75" s="319"/>
      <c r="B75" s="300"/>
      <c r="C75" s="300"/>
      <c r="D75" s="300"/>
      <c r="E75" s="300"/>
      <c r="F75" s="300"/>
      <c r="G75" s="300"/>
      <c r="H75" s="300"/>
      <c r="I75" s="320"/>
    </row>
    <row r="76" spans="1:9">
      <c r="A76" s="319"/>
      <c r="B76" s="696" t="s">
        <v>890</v>
      </c>
      <c r="C76" s="665"/>
      <c r="D76" s="665"/>
      <c r="E76" s="384"/>
      <c r="F76" s="335"/>
      <c r="G76" s="300"/>
      <c r="H76" s="300"/>
      <c r="I76" s="320"/>
    </row>
    <row r="77" spans="1:9">
      <c r="A77" s="319"/>
      <c r="B77" s="319"/>
      <c r="C77" s="300"/>
      <c r="D77" s="347" t="s">
        <v>733</v>
      </c>
      <c r="E77" s="347" t="str">
        <f>D70</f>
        <v>150 HP</v>
      </c>
      <c r="F77" s="320"/>
      <c r="G77" s="300"/>
      <c r="H77" s="300"/>
      <c r="I77" s="320"/>
    </row>
    <row r="78" spans="1:9">
      <c r="A78" s="319"/>
      <c r="B78" s="319"/>
      <c r="C78" s="300"/>
      <c r="D78" s="347" t="str">
        <f>D77</f>
        <v>NHP</v>
      </c>
      <c r="E78" s="347" t="str">
        <f>D71</f>
        <v>180 HP</v>
      </c>
      <c r="F78" s="320"/>
      <c r="G78" s="300"/>
      <c r="H78" s="300"/>
      <c r="I78" s="320"/>
    </row>
    <row r="79" spans="1:9">
      <c r="A79" s="319"/>
      <c r="B79" s="319"/>
      <c r="C79" s="300"/>
      <c r="D79" s="300"/>
      <c r="E79" s="300"/>
      <c r="F79" s="320"/>
      <c r="G79" s="300"/>
      <c r="H79" s="300"/>
      <c r="I79" s="320"/>
    </row>
    <row r="80" spans="1:9">
      <c r="A80" s="319"/>
      <c r="B80" s="319"/>
      <c r="C80" s="474" t="str">
        <f>"Dw [mm]_"&amp;E77&amp;"="</f>
        <v>Dw [mm]_150 HP=</v>
      </c>
      <c r="D80" s="474"/>
      <c r="E80" s="313">
        <f>5.6822*LN(MID(E77,1,3))-17.225</f>
        <v>11.246431868113742</v>
      </c>
      <c r="F80" s="320" t="s">
        <v>258</v>
      </c>
      <c r="G80" s="300"/>
      <c r="H80" s="300"/>
      <c r="I80" s="320"/>
    </row>
    <row r="81" spans="1:10" ht="15.75" thickBot="1">
      <c r="A81" s="319"/>
      <c r="B81" s="321"/>
      <c r="C81" s="714" t="str">
        <f>"Dw [mm]_"&amp;E78&amp;"="</f>
        <v>Dw [mm]_180 HP=</v>
      </c>
      <c r="D81" s="714"/>
      <c r="E81" s="442">
        <f>5.6822*LN(MID(E78,1,3))-17.225</f>
        <v>12.282419418128352</v>
      </c>
      <c r="F81" s="323" t="s">
        <v>258</v>
      </c>
      <c r="G81" s="300"/>
      <c r="H81" s="300"/>
      <c r="I81" s="320"/>
    </row>
    <row r="82" spans="1:10" s="255" customFormat="1" ht="15.75" thickBot="1">
      <c r="A82" s="321"/>
      <c r="B82" s="322"/>
      <c r="C82" s="391"/>
      <c r="D82" s="391"/>
      <c r="E82" s="441"/>
      <c r="F82" s="322"/>
      <c r="G82" s="322"/>
      <c r="H82" s="322"/>
      <c r="I82" s="323"/>
    </row>
    <row r="83" spans="1:10" s="255" customFormat="1">
      <c r="B83" s="300"/>
      <c r="C83" s="346"/>
      <c r="D83" s="346"/>
      <c r="E83" s="389"/>
      <c r="F83" s="300"/>
    </row>
    <row r="84" spans="1:10" s="255" customFormat="1" ht="15.75" thickBot="1">
      <c r="A84" s="343"/>
      <c r="B84" s="343"/>
      <c r="C84" s="370"/>
    </row>
    <row r="85" spans="1:10" ht="21.75" thickBot="1">
      <c r="A85" s="334"/>
      <c r="B85" s="384"/>
      <c r="C85" s="702" t="s">
        <v>862</v>
      </c>
      <c r="D85" s="702"/>
      <c r="E85" s="702"/>
      <c r="F85" s="702"/>
      <c r="G85" s="702"/>
      <c r="H85" s="702"/>
      <c r="I85" s="384"/>
      <c r="J85" s="444" t="s">
        <v>181</v>
      </c>
    </row>
    <row r="86" spans="1:10">
      <c r="A86" s="319"/>
      <c r="B86" s="300"/>
      <c r="C86" s="300"/>
      <c r="D86" s="300"/>
      <c r="E86" s="300"/>
      <c r="F86" s="300"/>
      <c r="G86" s="300"/>
      <c r="H86" s="300"/>
      <c r="I86" s="300"/>
      <c r="J86" s="320"/>
    </row>
    <row r="87" spans="1:10">
      <c r="A87" s="319"/>
      <c r="B87" s="300"/>
      <c r="C87" s="300"/>
      <c r="D87" s="300"/>
      <c r="E87" s="300"/>
      <c r="F87" s="300"/>
      <c r="G87" s="300"/>
      <c r="H87" s="300"/>
      <c r="I87" s="300"/>
      <c r="J87" s="320"/>
    </row>
    <row r="88" spans="1:10">
      <c r="A88" s="319"/>
      <c r="B88" s="300"/>
      <c r="C88" s="300"/>
      <c r="D88" s="300"/>
      <c r="E88" s="300"/>
      <c r="F88" s="300"/>
      <c r="G88" s="300"/>
      <c r="H88" s="300"/>
      <c r="I88" s="300"/>
      <c r="J88" s="320"/>
    </row>
    <row r="89" spans="1:10">
      <c r="A89" s="443" t="s">
        <v>863</v>
      </c>
      <c r="B89" s="347" t="s">
        <v>708</v>
      </c>
      <c r="C89" s="300"/>
      <c r="D89" s="300"/>
      <c r="E89" s="300"/>
      <c r="F89" s="300"/>
      <c r="G89" s="300"/>
      <c r="H89" s="300"/>
      <c r="I89" s="300"/>
      <c r="J89" s="320"/>
    </row>
    <row r="90" spans="1:10">
      <c r="A90" s="354">
        <v>0</v>
      </c>
      <c r="B90" s="347">
        <v>0.02</v>
      </c>
      <c r="C90" s="300"/>
      <c r="D90" s="300"/>
      <c r="E90" s="300"/>
      <c r="F90" s="300"/>
      <c r="G90" s="300"/>
      <c r="H90" s="300"/>
      <c r="I90" s="300"/>
      <c r="J90" s="320"/>
    </row>
    <row r="91" spans="1:10">
      <c r="A91" s="354">
        <v>10</v>
      </c>
      <c r="B91" s="347">
        <v>0.04</v>
      </c>
      <c r="C91" s="300"/>
      <c r="D91" s="300"/>
      <c r="E91" s="300"/>
      <c r="F91" s="300"/>
      <c r="G91" s="300"/>
      <c r="H91" s="300"/>
      <c r="I91" s="300"/>
      <c r="J91" s="320"/>
    </row>
    <row r="92" spans="1:10">
      <c r="A92" s="354">
        <v>20</v>
      </c>
      <c r="B92" s="347">
        <v>0.09</v>
      </c>
      <c r="C92" s="300"/>
      <c r="D92" s="300"/>
      <c r="E92" s="300"/>
      <c r="F92" s="300"/>
      <c r="G92" s="300"/>
      <c r="H92" s="300"/>
      <c r="I92" s="300"/>
      <c r="J92" s="320"/>
    </row>
    <row r="93" spans="1:10">
      <c r="A93" s="354">
        <v>30</v>
      </c>
      <c r="B93" s="347">
        <v>0.18</v>
      </c>
      <c r="C93" s="300"/>
      <c r="D93" s="300"/>
      <c r="E93" s="300"/>
      <c r="F93" s="300"/>
      <c r="G93" s="300"/>
      <c r="H93" s="300"/>
      <c r="I93" s="300"/>
      <c r="J93" s="320"/>
    </row>
    <row r="94" spans="1:10">
      <c r="A94" s="354">
        <v>40</v>
      </c>
      <c r="B94" s="347">
        <v>0.3</v>
      </c>
      <c r="C94" s="300"/>
      <c r="D94" s="300"/>
      <c r="E94" s="300"/>
      <c r="F94" s="300"/>
      <c r="G94" s="300"/>
      <c r="H94" s="300"/>
      <c r="I94" s="300"/>
      <c r="J94" s="320"/>
    </row>
    <row r="95" spans="1:10">
      <c r="A95" s="319"/>
      <c r="B95" s="300"/>
      <c r="C95" s="300"/>
      <c r="D95" s="300"/>
      <c r="E95" s="300"/>
      <c r="F95" s="300"/>
      <c r="G95" s="300"/>
      <c r="H95" s="300"/>
      <c r="I95" s="300"/>
      <c r="J95" s="320"/>
    </row>
    <row r="96" spans="1:10">
      <c r="A96" s="319"/>
      <c r="B96" s="300"/>
      <c r="C96" s="300"/>
      <c r="D96" s="300"/>
      <c r="E96" s="300"/>
      <c r="F96" s="300"/>
      <c r="G96" s="300"/>
      <c r="H96" s="300"/>
      <c r="I96" s="300"/>
      <c r="J96" s="320"/>
    </row>
    <row r="97" spans="1:10">
      <c r="A97" s="319"/>
      <c r="B97" s="300"/>
      <c r="C97" s="300"/>
      <c r="D97" s="300"/>
      <c r="E97" s="300"/>
      <c r="F97" s="300"/>
      <c r="G97" s="300"/>
      <c r="H97" s="300"/>
      <c r="I97" s="300"/>
      <c r="J97" s="320"/>
    </row>
    <row r="98" spans="1:10">
      <c r="A98" s="319"/>
      <c r="B98" s="300"/>
      <c r="C98" s="300"/>
      <c r="D98" s="300"/>
      <c r="E98" s="300"/>
      <c r="F98" s="300"/>
      <c r="G98" s="300"/>
      <c r="H98" s="300"/>
      <c r="I98" s="300"/>
      <c r="J98" s="320"/>
    </row>
    <row r="99" spans="1:10">
      <c r="A99" s="319"/>
      <c r="B99" s="300"/>
      <c r="C99" s="300"/>
      <c r="D99" s="300"/>
      <c r="E99" s="300"/>
      <c r="F99" s="300"/>
      <c r="G99" s="300"/>
      <c r="H99" s="300"/>
      <c r="I99" s="300"/>
      <c r="J99" s="320"/>
    </row>
    <row r="100" spans="1:10">
      <c r="A100" s="319"/>
      <c r="B100" s="300"/>
      <c r="C100" s="300"/>
      <c r="D100" s="300"/>
      <c r="E100" s="300"/>
      <c r="F100" s="300"/>
      <c r="G100" s="300"/>
      <c r="H100" s="300"/>
      <c r="I100" s="300"/>
      <c r="J100" s="320"/>
    </row>
    <row r="101" spans="1:10">
      <c r="A101" s="319"/>
      <c r="B101" s="300"/>
      <c r="C101" s="300"/>
      <c r="D101" s="300"/>
      <c r="E101" s="300"/>
      <c r="F101" s="300"/>
      <c r="G101" s="300"/>
      <c r="H101" s="300"/>
      <c r="I101" s="300"/>
      <c r="J101" s="320"/>
    </row>
    <row r="102" spans="1:10">
      <c r="A102" s="319"/>
      <c r="B102" s="300"/>
      <c r="C102" s="300"/>
      <c r="D102" s="300"/>
      <c r="E102" s="300"/>
      <c r="F102" s="300"/>
      <c r="G102" s="300"/>
      <c r="H102" s="300"/>
      <c r="I102" s="300"/>
      <c r="J102" s="320"/>
    </row>
    <row r="103" spans="1:10">
      <c r="A103" s="319"/>
      <c r="B103" s="543" t="s">
        <v>864</v>
      </c>
      <c r="C103" s="543"/>
      <c r="D103" s="543"/>
      <c r="E103" s="198">
        <f>E25</f>
        <v>4.3012223046703628</v>
      </c>
      <c r="F103" s="347" t="s">
        <v>602</v>
      </c>
      <c r="G103" s="300"/>
      <c r="H103" s="300"/>
      <c r="I103" s="300"/>
      <c r="J103" s="320"/>
    </row>
    <row r="104" spans="1:10">
      <c r="A104" s="319"/>
      <c r="B104" s="543" t="s">
        <v>865</v>
      </c>
      <c r="C104" s="543"/>
      <c r="D104" s="543"/>
      <c r="E104" s="526" t="s">
        <v>866</v>
      </c>
      <c r="F104" s="603"/>
      <c r="G104" s="300"/>
      <c r="H104" s="300"/>
      <c r="I104" s="300"/>
      <c r="J104" s="320"/>
    </row>
    <row r="105" spans="1:10">
      <c r="A105" s="319"/>
      <c r="B105" s="543" t="s">
        <v>883</v>
      </c>
      <c r="C105" s="543"/>
      <c r="D105" s="543"/>
      <c r="E105" s="347">
        <f t="array" ref="E105">'Especie Blanco'!E5</f>
        <v>40</v>
      </c>
      <c r="F105" s="347"/>
      <c r="G105" s="300"/>
      <c r="H105" s="300"/>
      <c r="I105" s="300"/>
      <c r="J105" s="320"/>
    </row>
    <row r="106" spans="1:10">
      <c r="A106" s="319"/>
      <c r="B106" s="543" t="s">
        <v>708</v>
      </c>
      <c r="C106" s="543"/>
      <c r="D106" s="543"/>
      <c r="E106" s="347">
        <f t="array" ref="E106">INDEX(B90:B94,MATCH(MIN(ABS(alfaremolque-anguloremolque)),alfaremolque-anguloremolque,1))</f>
        <v>0.02</v>
      </c>
      <c r="F106" s="347"/>
      <c r="G106" s="300"/>
      <c r="H106" s="300"/>
      <c r="I106" s="300"/>
      <c r="J106" s="320"/>
    </row>
    <row r="107" spans="1:10">
      <c r="A107" s="319"/>
      <c r="B107" s="543" t="str">
        <f t="array" ref="B107">'Flotación y Lastre'!D124:G124</f>
        <v>Densidad del agua de mar (ρmar) =</v>
      </c>
      <c r="C107" s="543"/>
      <c r="D107" s="543"/>
      <c r="E107" s="347">
        <f>'Flotación y Lastre'!H124</f>
        <v>1024</v>
      </c>
      <c r="F107" s="347"/>
      <c r="G107" s="300"/>
      <c r="H107" s="300"/>
      <c r="I107" s="300"/>
      <c r="J107" s="320"/>
    </row>
    <row r="108" spans="1:10">
      <c r="A108" s="319"/>
      <c r="B108" s="543" t="str">
        <f t="array" ref="B108">'Flotación y Lastre'!D125:G125</f>
        <v>Densidad del agua dulce (ρdulce) =</v>
      </c>
      <c r="C108" s="543"/>
      <c r="D108" s="543"/>
      <c r="E108" s="347">
        <f>'Flotación y Lastre'!H125</f>
        <v>1000</v>
      </c>
      <c r="F108" s="347"/>
      <c r="G108" s="300"/>
      <c r="H108" s="300"/>
      <c r="I108" s="300"/>
      <c r="J108" s="320"/>
    </row>
    <row r="109" spans="1:10">
      <c r="A109" s="319"/>
      <c r="B109" s="543" t="str">
        <f t="array" ref="B109">'Flotación y Lastre'!D126:G126</f>
        <v>Aceleración de la gravedad (g) =</v>
      </c>
      <c r="C109" s="543"/>
      <c r="D109" s="543"/>
      <c r="E109" s="347">
        <f>'Flotación y Lastre'!H126</f>
        <v>9.81</v>
      </c>
      <c r="F109" s="347"/>
      <c r="G109" s="300"/>
      <c r="H109" s="300"/>
      <c r="I109" s="300"/>
      <c r="J109" s="320"/>
    </row>
    <row r="110" spans="1:10">
      <c r="A110" s="319"/>
      <c r="B110" s="543" t="str">
        <f>MID(B74,1,31)</f>
        <v xml:space="preserve">Diametro del cable de remolque </v>
      </c>
      <c r="C110" s="543"/>
      <c r="D110" s="543"/>
      <c r="E110" s="313">
        <f>E81</f>
        <v>12.282419418128352</v>
      </c>
      <c r="F110" s="347" t="s">
        <v>258</v>
      </c>
      <c r="G110" s="300"/>
      <c r="H110" s="300"/>
      <c r="I110" s="300"/>
      <c r="J110" s="320"/>
    </row>
    <row r="111" spans="1:10">
      <c r="A111" s="319"/>
      <c r="B111" s="543" t="str">
        <f>B110</f>
        <v xml:space="preserve">Diametro del cable de remolque </v>
      </c>
      <c r="C111" s="543"/>
      <c r="D111" s="543"/>
      <c r="E111" s="252">
        <f>E110/1000</f>
        <v>1.2282419418128352E-2</v>
      </c>
      <c r="F111" s="347" t="s">
        <v>560</v>
      </c>
      <c r="G111" s="300"/>
      <c r="H111" s="300"/>
      <c r="I111" s="300"/>
      <c r="J111" s="320"/>
    </row>
    <row r="112" spans="1:10">
      <c r="A112" s="319"/>
      <c r="B112" s="543" t="str">
        <f t="array" ref="B112">A9</f>
        <v>cable filado</v>
      </c>
      <c r="C112" s="543"/>
      <c r="D112" s="543"/>
      <c r="E112" s="347">
        <f>F9</f>
        <v>200</v>
      </c>
      <c r="F112" s="347" t="s">
        <v>560</v>
      </c>
      <c r="G112" s="300"/>
      <c r="H112" s="300"/>
      <c r="I112" s="300"/>
      <c r="J112" s="320"/>
    </row>
    <row r="113" spans="1:10">
      <c r="A113" s="319"/>
      <c r="B113" s="300"/>
      <c r="C113" s="300"/>
      <c r="D113" s="300"/>
      <c r="E113" s="300"/>
      <c r="F113" s="300"/>
      <c r="G113" s="300"/>
      <c r="H113" s="300"/>
      <c r="I113" s="300"/>
      <c r="J113" s="320"/>
    </row>
    <row r="114" spans="1:10">
      <c r="A114" s="319"/>
      <c r="B114" s="300"/>
      <c r="C114" s="300"/>
      <c r="D114" s="300"/>
      <c r="E114" s="300"/>
      <c r="F114" s="300"/>
      <c r="G114" s="300"/>
      <c r="H114" s="300"/>
      <c r="I114" s="300"/>
      <c r="J114" s="320"/>
    </row>
    <row r="115" spans="1:10">
      <c r="A115" s="319"/>
      <c r="B115" s="300"/>
      <c r="C115" s="300"/>
      <c r="D115" s="300"/>
      <c r="E115" s="300"/>
      <c r="F115" s="300"/>
      <c r="G115" s="300"/>
      <c r="H115" s="347" t="s">
        <v>833</v>
      </c>
      <c r="I115" s="347" t="s">
        <v>512</v>
      </c>
      <c r="J115" s="320"/>
    </row>
    <row r="116" spans="1:10">
      <c r="A116" s="319"/>
      <c r="B116" s="474" t="str">
        <f t="array" ref="B116">'Resistencia de la RED'!A300:B300</f>
        <v>Velocidad</v>
      </c>
      <c r="C116" s="474"/>
      <c r="D116" s="218" t="str">
        <f>'Resistencia de la RED'!C212</f>
        <v>RN Estándar</v>
      </c>
      <c r="E116" s="333" t="str">
        <f>'Resistencia de la RED'!D212</f>
        <v>RN Modificada</v>
      </c>
      <c r="F116" s="347" t="str">
        <f>'Flotación y Lastre'!J136</f>
        <v>RB</v>
      </c>
      <c r="G116" s="347" t="s">
        <v>891</v>
      </c>
      <c r="H116" s="526" t="s">
        <v>892</v>
      </c>
      <c r="I116" s="603"/>
      <c r="J116" s="320"/>
    </row>
    <row r="117" spans="1:10">
      <c r="A117" s="319"/>
      <c r="B117" s="347" t="str">
        <f t="array" ref="B117">'Resistencia de la RED'!A301:B301</f>
        <v>Nudos</v>
      </c>
      <c r="C117" s="347" t="str">
        <f t="array" ref="C117">'Resistencia de la RED'!B301:C301</f>
        <v>[m/s]</v>
      </c>
      <c r="D117" s="347" t="s">
        <v>55</v>
      </c>
      <c r="E117" s="347" t="s">
        <v>55</v>
      </c>
      <c r="F117" s="347" t="s">
        <v>55</v>
      </c>
      <c r="G117" s="347" t="s">
        <v>55</v>
      </c>
      <c r="H117" s="347" t="s">
        <v>55</v>
      </c>
      <c r="I117" s="347" t="s">
        <v>55</v>
      </c>
      <c r="J117" s="320"/>
    </row>
    <row r="118" spans="1:10">
      <c r="A118" s="319"/>
      <c r="B118" s="347">
        <f t="array" ref="B118">'Resistencia de la RED'!A302:B302</f>
        <v>1</v>
      </c>
      <c r="C118" s="197">
        <f t="array" ref="C118">'Resistencia de la RED'!B302:C302</f>
        <v>0.51439999999999997</v>
      </c>
      <c r="D118" s="198">
        <f>'Resistencia de la RED'!C214*1000</f>
        <v>422.36322657644956</v>
      </c>
      <c r="E118" s="198">
        <f>'Resistencia de la RED'!D214*1000</f>
        <v>413.44914989192739</v>
      </c>
      <c r="F118" s="198">
        <f>'Flotación y Lastre'!J138</f>
        <v>2.446988059294398</v>
      </c>
      <c r="G118" s="198">
        <f>(0.5*$E$106*($E$107/$E$109)*$E$111*$E$112*(C118^2))*2</f>
        <v>1.3569904271083084</v>
      </c>
      <c r="H118" s="198">
        <f>G118+F118+D118</f>
        <v>426.16720506285225</v>
      </c>
      <c r="I118" s="198">
        <f>G118+F118+E118</f>
        <v>417.25312837833008</v>
      </c>
      <c r="J118" s="320"/>
    </row>
    <row r="119" spans="1:10">
      <c r="A119" s="319"/>
      <c r="B119" s="347">
        <f t="array" ref="B119">'Resistencia de la RED'!A303:B303</f>
        <v>1.5</v>
      </c>
      <c r="C119" s="197">
        <f t="array" ref="C119">'Resistencia de la RED'!B303:C303</f>
        <v>0.77159999999999995</v>
      </c>
      <c r="D119" s="198">
        <f>'Resistencia de la RED'!C215*1000</f>
        <v>631.52956087214341</v>
      </c>
      <c r="E119" s="198">
        <f>'Resistencia de la RED'!D215*1000</f>
        <v>618.20097878939919</v>
      </c>
      <c r="F119" s="198">
        <f>'Flotación y Lastre'!J139</f>
        <v>5.5057231334123946</v>
      </c>
      <c r="G119" s="198">
        <f t="shared" ref="G119:G126" si="0">(0.5*$E$106*($E$107/$E$109)*$E$111*$E$112*(C119^2))*2</f>
        <v>3.0532284609936942</v>
      </c>
      <c r="H119" s="198">
        <f t="shared" ref="H119:H126" si="1">G119+F119+D119</f>
        <v>640.08851246654945</v>
      </c>
      <c r="I119" s="198">
        <f t="shared" ref="I119:I126" si="2">G119+F119+E119</f>
        <v>626.75993038380523</v>
      </c>
      <c r="J119" s="320"/>
    </row>
    <row r="120" spans="1:10">
      <c r="A120" s="319"/>
      <c r="B120" s="347">
        <f t="array" ref="B120">'Resistencia de la RED'!A304:B304</f>
        <v>2</v>
      </c>
      <c r="C120" s="197">
        <f t="array" ref="C120">'Resistencia de la RED'!B304:C304</f>
        <v>1.0287999999999999</v>
      </c>
      <c r="D120" s="198">
        <f>'Resistencia de la RED'!C216*1000</f>
        <v>914.90100549547947</v>
      </c>
      <c r="E120" s="198">
        <f>'Resistencia de la RED'!D216*1000</f>
        <v>895.5918014536428</v>
      </c>
      <c r="F120" s="198">
        <f>'Flotación y Lastre'!J140</f>
        <v>9.787952237177592</v>
      </c>
      <c r="G120" s="198">
        <f t="shared" si="0"/>
        <v>5.4279617084332337</v>
      </c>
      <c r="H120" s="198">
        <f t="shared" si="1"/>
        <v>930.11691944109032</v>
      </c>
      <c r="I120" s="198">
        <f t="shared" si="2"/>
        <v>910.80771539925365</v>
      </c>
      <c r="J120" s="320"/>
    </row>
    <row r="121" spans="1:10">
      <c r="A121" s="319"/>
      <c r="B121" s="347">
        <f t="array" ref="B121">'Resistencia de la RED'!A305:B305</f>
        <v>2.5</v>
      </c>
      <c r="C121" s="197">
        <f t="array" ref="C121">'Resistencia de la RED'!B305:C305</f>
        <v>1.286</v>
      </c>
      <c r="D121" s="198">
        <f>'Resistencia de la RED'!C217*1000</f>
        <v>1266.3281776772249</v>
      </c>
      <c r="E121" s="198">
        <f>'Resistencia de la RED'!D217*1000</f>
        <v>1239.6020193061838</v>
      </c>
      <c r="F121" s="198">
        <f>'Flotación y Lastre'!J141</f>
        <v>15.293675370589989</v>
      </c>
      <c r="G121" s="198">
        <f t="shared" si="0"/>
        <v>8.4811901694269292</v>
      </c>
      <c r="H121" s="198">
        <f t="shared" si="1"/>
        <v>1290.1030432172417</v>
      </c>
      <c r="I121" s="198">
        <f t="shared" si="2"/>
        <v>1263.3768848462007</v>
      </c>
      <c r="J121" s="320"/>
    </row>
    <row r="122" spans="1:10">
      <c r="A122" s="319"/>
      <c r="B122" s="347">
        <f t="array" ref="B122">'Resistencia de la RED'!A306:B306</f>
        <v>3</v>
      </c>
      <c r="C122" s="197">
        <f t="array" ref="C122">'Resistencia de la RED'!B306:C306</f>
        <v>1.5432000000000001</v>
      </c>
      <c r="D122" s="198">
        <f>'Resistencia de la RED'!C218*1000</f>
        <v>1680.3228964186867</v>
      </c>
      <c r="E122" s="198">
        <f>'Resistencia de la RED'!D218*1000</f>
        <v>1644.8592807179402</v>
      </c>
      <c r="F122" s="198">
        <f>'Flotación y Lastre'!J142</f>
        <v>23.428609078350629</v>
      </c>
      <c r="G122" s="198">
        <f t="shared" si="0"/>
        <v>12.21291384397478</v>
      </c>
      <c r="H122" s="198">
        <f t="shared" si="1"/>
        <v>1715.9644193410122</v>
      </c>
      <c r="I122" s="198">
        <f t="shared" si="2"/>
        <v>1680.5008036402655</v>
      </c>
      <c r="J122" s="320"/>
    </row>
    <row r="123" spans="1:10">
      <c r="A123" s="319"/>
      <c r="B123" s="347">
        <f t="array" ref="B123">'Resistencia de la RED'!A307:B307</f>
        <v>3.5</v>
      </c>
      <c r="C123" s="197">
        <f t="array" ref="C123">'Resistencia de la RED'!B307:C307</f>
        <v>1.8004</v>
      </c>
      <c r="D123" s="198">
        <f>'Resistencia de la RED'!C219*1000</f>
        <v>2151.9716405847998</v>
      </c>
      <c r="E123" s="198">
        <f>'Resistencia de la RED'!D219*1000</f>
        <v>2106.5537655899047</v>
      </c>
      <c r="F123" s="198">
        <f>'Flotación y Lastre'!J143</f>
        <v>31.888940134421681</v>
      </c>
      <c r="G123" s="198">
        <f t="shared" si="0"/>
        <v>16.62313273207678</v>
      </c>
      <c r="H123" s="198">
        <f t="shared" si="1"/>
        <v>2200.4837134512982</v>
      </c>
      <c r="I123" s="198">
        <f t="shared" si="2"/>
        <v>2155.0658384564031</v>
      </c>
      <c r="J123" s="320"/>
    </row>
    <row r="124" spans="1:10">
      <c r="A124" s="319"/>
      <c r="B124" s="347">
        <f t="array" ref="B124">'Resistencia de la RED'!A308:B308</f>
        <v>4</v>
      </c>
      <c r="C124" s="197">
        <f t="array" ref="C124">'Resistencia de la RED'!B308:C308</f>
        <v>2.0575999999999999</v>
      </c>
      <c r="D124" s="198">
        <f>'Resistencia de la RED'!C220*1000</f>
        <v>2676.8622527857369</v>
      </c>
      <c r="E124" s="198">
        <f>'Resistencia de la RED'!D220*1000</f>
        <v>2620.3664361668261</v>
      </c>
      <c r="F124" s="198">
        <f>'Flotación y Lastre'!J144</f>
        <v>41.650860583734435</v>
      </c>
      <c r="G124" s="198">
        <f t="shared" si="0"/>
        <v>21.711846833732935</v>
      </c>
      <c r="H124" s="198">
        <f t="shared" si="1"/>
        <v>2740.2249602032043</v>
      </c>
      <c r="I124" s="198">
        <f t="shared" si="2"/>
        <v>2683.7291435842935</v>
      </c>
      <c r="J124" s="320"/>
    </row>
    <row r="125" spans="1:10">
      <c r="A125" s="319"/>
      <c r="B125" s="347">
        <f t="array" ref="B125">'Resistencia de la RED'!A309:B309</f>
        <v>4.5</v>
      </c>
      <c r="C125" s="197">
        <f t="array" ref="C125">'Resistencia de la RED'!B309:C309</f>
        <v>2.3148</v>
      </c>
      <c r="D125" s="198">
        <f>'Resistencia de la RED'!C221*1000</f>
        <v>3251.0215826380531</v>
      </c>
      <c r="E125" s="198">
        <f>'Resistencia de la RED'!D221*1000</f>
        <v>3182.4079963522054</v>
      </c>
      <c r="F125" s="198">
        <f>'Flotación y Lastre'!J145</f>
        <v>52.714370426288895</v>
      </c>
      <c r="G125" s="198">
        <f t="shared" si="0"/>
        <v>27.479056148943247</v>
      </c>
      <c r="H125" s="198">
        <f t="shared" si="1"/>
        <v>3331.2150092132852</v>
      </c>
      <c r="I125" s="198">
        <f t="shared" si="2"/>
        <v>3262.6014229274374</v>
      </c>
      <c r="J125" s="320"/>
    </row>
    <row r="126" spans="1:10">
      <c r="A126" s="319"/>
      <c r="B126" s="347">
        <f t="array" ref="B126">'Resistencia de la RED'!A310:B310</f>
        <v>5</v>
      </c>
      <c r="C126" s="197">
        <f t="array" ref="C126">'Resistencia de la RED'!B310:C310</f>
        <v>2.5720000000000001</v>
      </c>
      <c r="D126" s="198">
        <f>'Resistencia de la RED'!C222*1000</f>
        <v>3870.8622108292311</v>
      </c>
      <c r="E126" s="198">
        <f>'Resistencia de la RED'!D222*1000</f>
        <v>3789.1667401741761</v>
      </c>
      <c r="F126" s="198">
        <f>'Flotación y Lastre'!J146</f>
        <v>65.079469662085074</v>
      </c>
      <c r="G126" s="198">
        <f t="shared" si="0"/>
        <v>33.924760677707717</v>
      </c>
      <c r="H126" s="198">
        <f t="shared" si="1"/>
        <v>3969.8664411690238</v>
      </c>
      <c r="I126" s="198">
        <f t="shared" si="2"/>
        <v>3888.1709705139688</v>
      </c>
      <c r="J126" s="320"/>
    </row>
    <row r="127" spans="1:10" ht="15.75" thickBot="1">
      <c r="A127" s="321"/>
      <c r="B127" s="322"/>
      <c r="C127" s="322"/>
      <c r="D127" s="322"/>
      <c r="E127" s="322"/>
      <c r="F127" s="322"/>
      <c r="G127" s="322"/>
      <c r="H127" s="322"/>
      <c r="I127" s="322"/>
      <c r="J127" s="323"/>
    </row>
    <row r="129" spans="1:10" ht="15.75" thickBot="1"/>
    <row r="130" spans="1:10" ht="21.75" thickBot="1">
      <c r="A130" s="334"/>
      <c r="B130" s="384"/>
      <c r="C130" s="540" t="s">
        <v>893</v>
      </c>
      <c r="D130" s="540"/>
      <c r="E130" s="540"/>
      <c r="F130" s="540"/>
      <c r="G130" s="540"/>
      <c r="H130" s="540"/>
      <c r="I130" s="384"/>
      <c r="J130" s="445" t="s">
        <v>182</v>
      </c>
    </row>
    <row r="131" spans="1:10">
      <c r="A131" s="319"/>
      <c r="B131" s="300"/>
      <c r="C131" s="300"/>
      <c r="D131" s="300"/>
      <c r="E131" s="300"/>
      <c r="F131" s="300"/>
      <c r="G131" s="300"/>
      <c r="H131" s="300"/>
      <c r="I131" s="300"/>
      <c r="J131" s="320"/>
    </row>
    <row r="132" spans="1:10">
      <c r="A132" s="319"/>
      <c r="B132" s="300"/>
      <c r="C132" s="300"/>
      <c r="D132" s="300"/>
      <c r="E132" s="300"/>
      <c r="F132" s="300"/>
      <c r="G132" s="300"/>
      <c r="H132" s="300"/>
      <c r="I132" s="300"/>
      <c r="J132" s="320"/>
    </row>
    <row r="133" spans="1:10">
      <c r="A133" s="319"/>
      <c r="B133" s="300"/>
      <c r="C133" s="300"/>
      <c r="D133" s="300"/>
      <c r="E133" s="300"/>
      <c r="F133" s="300"/>
      <c r="G133" s="300"/>
      <c r="H133" s="300"/>
      <c r="I133" s="300"/>
      <c r="J133" s="320"/>
    </row>
    <row r="134" spans="1:10">
      <c r="A134" s="319"/>
      <c r="B134" s="300"/>
      <c r="C134" s="300"/>
      <c r="D134" s="300"/>
      <c r="E134" s="300"/>
      <c r="F134" s="300"/>
      <c r="G134" s="300"/>
      <c r="H134" s="300"/>
      <c r="I134" s="300"/>
      <c r="J134" s="320"/>
    </row>
    <row r="135" spans="1:10">
      <c r="A135" s="319"/>
      <c r="B135" s="300"/>
      <c r="C135" s="300"/>
      <c r="D135" s="300"/>
      <c r="E135" s="300"/>
      <c r="F135" s="300"/>
      <c r="G135" s="300"/>
      <c r="H135" s="300"/>
      <c r="I135" s="300"/>
      <c r="J135" s="320"/>
    </row>
    <row r="136" spans="1:10">
      <c r="A136" s="319"/>
      <c r="B136" s="300"/>
      <c r="C136" s="300"/>
      <c r="D136" s="300"/>
      <c r="E136" s="300"/>
      <c r="F136" s="300"/>
      <c r="G136" s="300"/>
      <c r="H136" s="300"/>
      <c r="I136" s="300"/>
      <c r="J136" s="320"/>
    </row>
    <row r="137" spans="1:10">
      <c r="A137" s="319"/>
      <c r="B137" s="300"/>
      <c r="C137" s="300"/>
      <c r="D137" s="300"/>
      <c r="E137" s="300"/>
      <c r="F137" s="300"/>
      <c r="G137" s="300"/>
      <c r="H137" s="300"/>
      <c r="I137" s="300"/>
      <c r="J137" s="320"/>
    </row>
    <row r="138" spans="1:10">
      <c r="A138" s="319"/>
      <c r="B138" s="300"/>
      <c r="C138" s="300"/>
      <c r="D138" s="300"/>
      <c r="E138" s="300"/>
      <c r="F138" s="300"/>
      <c r="G138" s="300"/>
      <c r="H138" s="300"/>
      <c r="I138" s="300"/>
      <c r="J138" s="320"/>
    </row>
    <row r="139" spans="1:10">
      <c r="A139" s="319"/>
      <c r="B139" s="300"/>
      <c r="C139" s="300"/>
      <c r="D139" s="300"/>
      <c r="E139" s="300"/>
      <c r="F139" s="300"/>
      <c r="G139" s="300"/>
      <c r="H139" s="300"/>
      <c r="I139" s="300"/>
      <c r="J139" s="320"/>
    </row>
    <row r="140" spans="1:10">
      <c r="A140" s="319"/>
      <c r="B140" s="300"/>
      <c r="C140" s="300"/>
      <c r="D140" s="300"/>
      <c r="E140" s="300"/>
      <c r="F140" s="300"/>
      <c r="G140" s="300"/>
      <c r="H140" s="300"/>
      <c r="I140" s="300"/>
      <c r="J140" s="320"/>
    </row>
    <row r="141" spans="1:10">
      <c r="A141" s="319"/>
      <c r="B141" s="300"/>
      <c r="C141" s="300"/>
      <c r="D141" s="300"/>
      <c r="E141" s="300"/>
      <c r="F141" s="300"/>
      <c r="G141" s="300"/>
      <c r="H141" s="300"/>
      <c r="I141" s="300"/>
      <c r="J141" s="320"/>
    </row>
    <row r="142" spans="1:10">
      <c r="A142" s="319"/>
      <c r="B142" s="300"/>
      <c r="C142" s="300"/>
      <c r="D142" s="300"/>
      <c r="E142" s="300"/>
      <c r="F142" s="300"/>
      <c r="G142" s="300"/>
      <c r="H142" s="300"/>
      <c r="I142" s="300"/>
      <c r="J142" s="320"/>
    </row>
    <row r="143" spans="1:10">
      <c r="A143" s="319"/>
      <c r="B143" s="300"/>
      <c r="C143" s="300"/>
      <c r="D143" s="300"/>
      <c r="E143" s="300"/>
      <c r="F143" s="300"/>
      <c r="G143" s="300"/>
      <c r="H143" s="300"/>
      <c r="I143" s="300"/>
      <c r="J143" s="320"/>
    </row>
    <row r="144" spans="1:10">
      <c r="A144" s="319"/>
      <c r="B144" s="300"/>
      <c r="C144" s="300"/>
      <c r="D144" s="300"/>
      <c r="E144" s="300"/>
      <c r="F144" s="300"/>
      <c r="G144" s="300"/>
      <c r="H144" s="300"/>
      <c r="I144" s="300"/>
      <c r="J144" s="320"/>
    </row>
    <row r="145" spans="1:10">
      <c r="A145" s="319"/>
      <c r="B145" s="300"/>
      <c r="C145" s="300"/>
      <c r="D145" s="300"/>
      <c r="E145" s="300"/>
      <c r="F145" s="300"/>
      <c r="G145" s="300"/>
      <c r="H145" s="300"/>
      <c r="I145" s="300"/>
      <c r="J145" s="320"/>
    </row>
    <row r="146" spans="1:10">
      <c r="A146" s="319"/>
      <c r="B146" s="300"/>
      <c r="C146" s="300"/>
      <c r="D146" s="300"/>
      <c r="E146" s="300"/>
      <c r="F146" s="300"/>
      <c r="G146" s="300"/>
      <c r="H146" s="300"/>
      <c r="I146" s="300"/>
      <c r="J146" s="320"/>
    </row>
    <row r="147" spans="1:10">
      <c r="A147" s="319"/>
      <c r="B147" s="300"/>
      <c r="C147" s="300"/>
      <c r="D147" s="300"/>
      <c r="E147" s="300"/>
      <c r="F147" s="300"/>
      <c r="G147" s="300"/>
      <c r="H147" s="300"/>
      <c r="I147" s="300"/>
      <c r="J147" s="320"/>
    </row>
    <row r="148" spans="1:10">
      <c r="A148" s="319"/>
      <c r="B148" s="300"/>
      <c r="C148" s="300"/>
      <c r="D148" s="300"/>
      <c r="E148" s="300"/>
      <c r="F148" s="300"/>
      <c r="G148" s="300"/>
      <c r="H148" s="300"/>
      <c r="I148" s="300"/>
      <c r="J148" s="320"/>
    </row>
    <row r="149" spans="1:10">
      <c r="A149" s="319"/>
      <c r="B149" s="300"/>
      <c r="C149" s="300"/>
      <c r="D149" s="300"/>
      <c r="E149" s="300"/>
      <c r="F149" s="300"/>
      <c r="G149" s="300"/>
      <c r="H149" s="300"/>
      <c r="I149" s="300"/>
      <c r="J149" s="320"/>
    </row>
    <row r="150" spans="1:10">
      <c r="A150" s="319"/>
      <c r="B150" s="300"/>
      <c r="C150" s="300"/>
      <c r="D150" s="300"/>
      <c r="E150" s="300"/>
      <c r="F150" s="300"/>
      <c r="G150" s="300"/>
      <c r="H150" s="300"/>
      <c r="I150" s="300"/>
      <c r="J150" s="320"/>
    </row>
    <row r="151" spans="1:10">
      <c r="A151" s="319"/>
      <c r="B151" s="300"/>
      <c r="C151" s="300"/>
      <c r="D151" s="300"/>
      <c r="E151" s="300"/>
      <c r="F151" s="300"/>
      <c r="G151" s="300"/>
      <c r="H151" s="300"/>
      <c r="I151" s="300"/>
      <c r="J151" s="320"/>
    </row>
    <row r="152" spans="1:10">
      <c r="A152" s="319"/>
      <c r="B152" s="300"/>
      <c r="C152" s="300"/>
      <c r="D152" s="300"/>
      <c r="E152" s="300"/>
      <c r="F152" s="300"/>
      <c r="G152" s="300"/>
      <c r="H152" s="300"/>
      <c r="I152" s="300"/>
      <c r="J152" s="320"/>
    </row>
    <row r="153" spans="1:10">
      <c r="A153" s="319"/>
      <c r="B153" s="543" t="str">
        <f t="array" ref="B153">B110</f>
        <v xml:space="preserve">Diametro del cable de remolque </v>
      </c>
      <c r="C153" s="543"/>
      <c r="D153" s="543"/>
      <c r="E153" s="313">
        <f>E110</f>
        <v>12.282419418128352</v>
      </c>
      <c r="F153" s="313" t="str">
        <f>F110</f>
        <v>[mm]</v>
      </c>
      <c r="G153" s="300"/>
      <c r="H153" s="300"/>
      <c r="I153" s="300"/>
      <c r="J153" s="320"/>
    </row>
    <row r="154" spans="1:10">
      <c r="A154" s="319"/>
      <c r="B154" s="543" t="str">
        <f t="array" ref="B154">B111</f>
        <v xml:space="preserve">Diametro del cable de remolque </v>
      </c>
      <c r="C154" s="543"/>
      <c r="D154" s="543"/>
      <c r="E154" s="252">
        <f t="array" ref="E154">E111</f>
        <v>1.2282419418128352E-2</v>
      </c>
      <c r="F154" s="252" t="str">
        <f t="array" ref="F154">F111</f>
        <v>[m]</v>
      </c>
      <c r="G154" s="300"/>
      <c r="H154" s="300"/>
      <c r="I154" s="300"/>
      <c r="J154" s="320"/>
    </row>
    <row r="155" spans="1:10">
      <c r="A155" s="319"/>
      <c r="B155" s="543" t="str">
        <f t="array" ref="B155">B112</f>
        <v>cable filado</v>
      </c>
      <c r="C155" s="543"/>
      <c r="D155" s="543"/>
      <c r="E155" s="347">
        <f t="array" ref="E155">E112</f>
        <v>200</v>
      </c>
      <c r="F155" s="347" t="str">
        <f t="array" ref="F155">F112</f>
        <v>[m]</v>
      </c>
      <c r="G155" s="300"/>
      <c r="H155" s="300"/>
      <c r="I155" s="300"/>
      <c r="J155" s="320"/>
    </row>
    <row r="156" spans="1:10">
      <c r="A156" s="319"/>
      <c r="B156" s="543" t="str">
        <f t="array" ref="B156">B107</f>
        <v>Densidad del agua de mar (ρmar) =</v>
      </c>
      <c r="C156" s="543"/>
      <c r="D156" s="543"/>
      <c r="E156" s="347">
        <f>E107</f>
        <v>1024</v>
      </c>
      <c r="F156" s="347"/>
      <c r="G156" s="300"/>
      <c r="H156" s="300"/>
      <c r="I156" s="300"/>
      <c r="J156" s="320"/>
    </row>
    <row r="157" spans="1:10">
      <c r="A157" s="319"/>
      <c r="B157" s="543" t="str">
        <f t="array" ref="B157">B108</f>
        <v>Densidad del agua dulce (ρdulce) =</v>
      </c>
      <c r="C157" s="543"/>
      <c r="D157" s="543"/>
      <c r="E157" s="347">
        <f>E108</f>
        <v>1000</v>
      </c>
      <c r="F157" s="347"/>
      <c r="G157" s="300"/>
      <c r="H157" s="300"/>
      <c r="I157" s="300"/>
      <c r="J157" s="320"/>
    </row>
    <row r="158" spans="1:10">
      <c r="A158" s="319"/>
      <c r="B158" s="730" t="str">
        <f>B109</f>
        <v>Aceleración de la gravedad (g) =</v>
      </c>
      <c r="C158" s="730"/>
      <c r="D158" s="730"/>
      <c r="E158" s="205">
        <f>E109</f>
        <v>9.81</v>
      </c>
      <c r="F158" s="205"/>
      <c r="G158" s="300"/>
      <c r="H158" s="300"/>
      <c r="I158" s="300"/>
      <c r="J158" s="320"/>
    </row>
    <row r="159" spans="1:10">
      <c r="A159" s="319"/>
      <c r="B159" s="543" t="str">
        <f t="array" ref="B159">'Flotación y Lastre'!D130:G130</f>
        <v>Viscosidad cinemática del agua de mar (0°C)=</v>
      </c>
      <c r="C159" s="543"/>
      <c r="D159" s="543"/>
      <c r="E159" s="543"/>
      <c r="F159" s="347">
        <f>'Flotación y Lastre'!H130</f>
        <v>1.8300000000000001E-6</v>
      </c>
      <c r="G159" s="347" t="str">
        <f>'Flotación y Lastre'!I130</f>
        <v>[m^2/s]</v>
      </c>
      <c r="H159" s="300"/>
      <c r="I159" s="300"/>
      <c r="J159" s="320"/>
    </row>
    <row r="160" spans="1:10">
      <c r="A160" s="319"/>
      <c r="B160" s="543" t="str">
        <f t="array" ref="B160">'Flotación y Lastre'!D131:G131</f>
        <v>Viscosidad cinemática del agua de mar (20°C)=</v>
      </c>
      <c r="C160" s="543"/>
      <c r="D160" s="543"/>
      <c r="E160" s="543"/>
      <c r="F160" s="347">
        <f>'Flotación y Lastre'!H131</f>
        <v>1.0499999999999999E-6</v>
      </c>
      <c r="G160" s="347" t="str">
        <f>'Flotación y Lastre'!I131</f>
        <v>[m^2/s]</v>
      </c>
      <c r="H160" s="300"/>
      <c r="I160" s="300"/>
      <c r="J160" s="320"/>
    </row>
    <row r="161" spans="1:10">
      <c r="A161" s="319"/>
      <c r="B161" s="543" t="str">
        <f t="array" ref="B161">'Flotación y Lastre'!D132:G132</f>
        <v>Promedio viscosidad</v>
      </c>
      <c r="C161" s="543"/>
      <c r="D161" s="543"/>
      <c r="E161" s="543"/>
      <c r="F161" s="347">
        <f t="array" ref="F161">'Flotación y Lastre'!H132:K132</f>
        <v>1.44E-6</v>
      </c>
      <c r="G161" s="347"/>
      <c r="H161" s="300"/>
      <c r="I161" s="300"/>
      <c r="J161" s="320"/>
    </row>
    <row r="162" spans="1:10">
      <c r="A162" s="319"/>
      <c r="B162" s="300"/>
      <c r="C162" s="300"/>
      <c r="D162" s="300"/>
      <c r="E162" s="300"/>
      <c r="F162" s="300"/>
      <c r="G162" s="300"/>
      <c r="H162" s="300"/>
      <c r="I162" s="300"/>
      <c r="J162" s="320"/>
    </row>
    <row r="163" spans="1:10">
      <c r="A163" s="319"/>
      <c r="B163" s="300"/>
      <c r="C163" s="300"/>
      <c r="D163" s="300"/>
      <c r="E163" s="300"/>
      <c r="F163" s="300"/>
      <c r="G163" s="300"/>
      <c r="H163" s="300"/>
      <c r="I163" s="300"/>
      <c r="J163" s="320"/>
    </row>
    <row r="164" spans="1:10">
      <c r="A164" s="319"/>
      <c r="B164" s="300"/>
      <c r="C164" s="300"/>
      <c r="D164" s="300"/>
      <c r="E164" s="300"/>
      <c r="F164" s="300"/>
      <c r="G164" s="300"/>
      <c r="H164" s="300"/>
      <c r="I164" s="300"/>
      <c r="J164" s="320"/>
    </row>
    <row r="165" spans="1:10">
      <c r="A165" s="319"/>
      <c r="B165" s="474" t="str">
        <f t="array" ref="B165">B116</f>
        <v>Velocidad</v>
      </c>
      <c r="C165" s="474"/>
      <c r="D165" s="347" t="s">
        <v>799</v>
      </c>
      <c r="E165" s="347" t="s">
        <v>708</v>
      </c>
      <c r="F165" s="347" t="s">
        <v>895</v>
      </c>
      <c r="G165" s="347" t="s">
        <v>896</v>
      </c>
      <c r="H165" s="300"/>
      <c r="I165" s="300"/>
      <c r="J165" s="320"/>
    </row>
    <row r="166" spans="1:10">
      <c r="A166" s="319"/>
      <c r="B166" s="347" t="str">
        <f t="array" ref="B166">B117</f>
        <v>Nudos</v>
      </c>
      <c r="C166" s="347" t="str">
        <f t="array" ref="C166">C117</f>
        <v>[m/s]</v>
      </c>
      <c r="D166" s="526" t="s">
        <v>894</v>
      </c>
      <c r="E166" s="603"/>
      <c r="F166" s="526" t="s">
        <v>55</v>
      </c>
      <c r="G166" s="603"/>
      <c r="H166" s="300"/>
      <c r="I166" s="300"/>
      <c r="J166" s="320"/>
    </row>
    <row r="167" spans="1:10">
      <c r="A167" s="319"/>
      <c r="B167" s="347">
        <f t="array" ref="B167">B118</f>
        <v>1</v>
      </c>
      <c r="C167" s="347">
        <f t="array" ref="C167">C118</f>
        <v>0.51439999999999997</v>
      </c>
      <c r="D167" s="313">
        <f>($E$154*$C167)/$F$161</f>
        <v>4387.5531588091835</v>
      </c>
      <c r="E167" s="347">
        <v>1.1000000000000001</v>
      </c>
      <c r="F167" s="198">
        <f>0.5*E167*($E$156/$E$158)*$E$154*$E$155*(C167^2)</f>
        <v>37.317236745478489</v>
      </c>
      <c r="G167" s="198">
        <f>2*F167</f>
        <v>74.634473490956978</v>
      </c>
      <c r="H167" s="300"/>
      <c r="I167" s="300"/>
      <c r="J167" s="320"/>
    </row>
    <row r="168" spans="1:10">
      <c r="A168" s="319"/>
      <c r="B168" s="347">
        <f t="array" ref="B168">B119</f>
        <v>1.5</v>
      </c>
      <c r="C168" s="347">
        <f t="array" ref="C168">C119</f>
        <v>0.77159999999999995</v>
      </c>
      <c r="D168" s="313">
        <f t="shared" ref="D168:D175" si="3">($E$154*$C168)/$F$161</f>
        <v>6581.3297382137753</v>
      </c>
      <c r="E168" s="347">
        <v>1.1000000000000001</v>
      </c>
      <c r="F168" s="198">
        <f t="shared" ref="F168:F175" si="4">0.5*E168*($E$156/$E$158)*$E$154*$E$155*(C168^2)</f>
        <v>83.963782677326591</v>
      </c>
      <c r="G168" s="198">
        <f t="shared" ref="G168:G174" si="5">2*F168</f>
        <v>167.92756535465318</v>
      </c>
      <c r="H168" s="300"/>
      <c r="I168" s="300"/>
      <c r="J168" s="320"/>
    </row>
    <row r="169" spans="1:10">
      <c r="A169" s="319"/>
      <c r="B169" s="347">
        <f t="array" ref="B169">B120</f>
        <v>2</v>
      </c>
      <c r="C169" s="347">
        <f t="array" ref="C169">C120</f>
        <v>1.0287999999999999</v>
      </c>
      <c r="D169" s="313">
        <f t="shared" si="3"/>
        <v>8775.106317618367</v>
      </c>
      <c r="E169" s="347">
        <v>1.1000000000000001</v>
      </c>
      <c r="F169" s="198">
        <f t="shared" si="4"/>
        <v>149.26894698191396</v>
      </c>
      <c r="G169" s="198">
        <f t="shared" si="5"/>
        <v>298.53789396382791</v>
      </c>
      <c r="H169" s="300"/>
      <c r="I169" s="300"/>
      <c r="J169" s="320"/>
    </row>
    <row r="170" spans="1:10">
      <c r="A170" s="319"/>
      <c r="B170" s="347">
        <f t="array" ref="B170">B121</f>
        <v>2.5</v>
      </c>
      <c r="C170" s="347">
        <f t="array" ref="C170">C121</f>
        <v>1.286</v>
      </c>
      <c r="D170" s="313">
        <f t="shared" si="3"/>
        <v>10968.882897022961</v>
      </c>
      <c r="E170" s="347">
        <v>1.1000000000000001</v>
      </c>
      <c r="F170" s="198">
        <f t="shared" si="4"/>
        <v>233.23272965924059</v>
      </c>
      <c r="G170" s="198">
        <f t="shared" si="5"/>
        <v>466.46545931848118</v>
      </c>
      <c r="H170" s="300"/>
      <c r="I170" s="300"/>
      <c r="J170" s="320"/>
    </row>
    <row r="171" spans="1:10">
      <c r="A171" s="319"/>
      <c r="B171" s="347">
        <f t="array" ref="B171">B122</f>
        <v>3</v>
      </c>
      <c r="C171" s="347">
        <f t="array" ref="C171">C122</f>
        <v>1.5432000000000001</v>
      </c>
      <c r="D171" s="313">
        <f t="shared" si="3"/>
        <v>13162.659476427551</v>
      </c>
      <c r="E171" s="347">
        <v>1.2</v>
      </c>
      <c r="F171" s="198">
        <f t="shared" si="4"/>
        <v>366.38741531924342</v>
      </c>
      <c r="G171" s="198">
        <f t="shared" si="5"/>
        <v>732.77483063848683</v>
      </c>
      <c r="H171" s="300"/>
      <c r="I171" s="300"/>
      <c r="J171" s="320"/>
    </row>
    <row r="172" spans="1:10">
      <c r="A172" s="319"/>
      <c r="B172" s="347">
        <f t="array" ref="B172">B123</f>
        <v>3.5</v>
      </c>
      <c r="C172" s="347">
        <f t="array" ref="C172">C123</f>
        <v>1.8004</v>
      </c>
      <c r="D172" s="313">
        <f t="shared" si="3"/>
        <v>15356.436055832142</v>
      </c>
      <c r="E172" s="347">
        <v>1.2</v>
      </c>
      <c r="F172" s="198">
        <f t="shared" si="4"/>
        <v>498.69398196230338</v>
      </c>
      <c r="G172" s="198">
        <f t="shared" si="5"/>
        <v>997.38796392460677</v>
      </c>
      <c r="H172" s="300"/>
      <c r="I172" s="300"/>
      <c r="J172" s="320"/>
    </row>
    <row r="173" spans="1:10">
      <c r="A173" s="319"/>
      <c r="B173" s="347">
        <f t="array" ref="B173">B124</f>
        <v>4</v>
      </c>
      <c r="C173" s="347">
        <f t="array" ref="C173">C124</f>
        <v>2.0575999999999999</v>
      </c>
      <c r="D173" s="313">
        <f t="shared" si="3"/>
        <v>17550.212635236734</v>
      </c>
      <c r="E173" s="347">
        <v>1.2</v>
      </c>
      <c r="F173" s="198">
        <f t="shared" si="4"/>
        <v>651.35540501198807</v>
      </c>
      <c r="G173" s="198">
        <f t="shared" si="5"/>
        <v>1302.7108100239761</v>
      </c>
      <c r="H173" s="300"/>
      <c r="I173" s="300"/>
      <c r="J173" s="320"/>
    </row>
    <row r="174" spans="1:10">
      <c r="A174" s="319"/>
      <c r="B174" s="347">
        <f t="array" ref="B174">B125</f>
        <v>4.5</v>
      </c>
      <c r="C174" s="347">
        <f t="array" ref="C174">C125</f>
        <v>2.3148</v>
      </c>
      <c r="D174" s="313">
        <f t="shared" si="3"/>
        <v>19743.989214641326</v>
      </c>
      <c r="E174" s="347">
        <v>1.2</v>
      </c>
      <c r="F174" s="198">
        <f t="shared" si="4"/>
        <v>824.37168446829742</v>
      </c>
      <c r="G174" s="198">
        <f t="shared" si="5"/>
        <v>1648.7433689365948</v>
      </c>
      <c r="H174" s="300"/>
      <c r="I174" s="300"/>
      <c r="J174" s="320"/>
    </row>
    <row r="175" spans="1:10">
      <c r="A175" s="319"/>
      <c r="B175" s="347">
        <f t="array" ref="B175">B126</f>
        <v>5</v>
      </c>
      <c r="C175" s="347">
        <f t="array" ref="C175">C126</f>
        <v>2.5720000000000001</v>
      </c>
      <c r="D175" s="313">
        <f t="shared" si="3"/>
        <v>21937.765794045921</v>
      </c>
      <c r="E175" s="347">
        <v>1.2</v>
      </c>
      <c r="F175" s="198">
        <f t="shared" si="4"/>
        <v>1017.7428203312315</v>
      </c>
      <c r="G175" s="198">
        <f>2*F175</f>
        <v>2035.4856406624631</v>
      </c>
      <c r="H175" s="300"/>
      <c r="I175" s="300"/>
      <c r="J175" s="320"/>
    </row>
    <row r="176" spans="1:10" ht="15.75" thickBot="1">
      <c r="A176" s="321"/>
      <c r="B176" s="322"/>
      <c r="C176" s="322"/>
      <c r="D176" s="322"/>
      <c r="E176" s="322"/>
      <c r="F176" s="322"/>
      <c r="G176" s="322"/>
      <c r="H176" s="322"/>
      <c r="I176" s="322"/>
      <c r="J176" s="323"/>
    </row>
    <row r="177" spans="1:9" ht="15.75" thickBot="1"/>
    <row r="178" spans="1:9" ht="21">
      <c r="A178" s="539" t="s">
        <v>897</v>
      </c>
      <c r="B178" s="540"/>
      <c r="C178" s="540"/>
      <c r="D178" s="540"/>
      <c r="E178" s="540"/>
      <c r="F178" s="540"/>
      <c r="G178" s="540"/>
      <c r="H178" s="540"/>
      <c r="I178" s="660"/>
    </row>
    <row r="179" spans="1:9">
      <c r="A179" s="319"/>
      <c r="B179" s="300"/>
      <c r="C179" s="300"/>
      <c r="D179" s="300"/>
      <c r="E179" s="300"/>
      <c r="F179" s="300"/>
      <c r="G179" s="300"/>
      <c r="H179" s="300"/>
      <c r="I179" s="320"/>
    </row>
    <row r="180" spans="1:9">
      <c r="A180" s="319"/>
      <c r="B180" s="300"/>
      <c r="C180" s="300"/>
      <c r="D180" s="205" t="s">
        <v>899</v>
      </c>
      <c r="E180" s="364" t="s">
        <v>905</v>
      </c>
      <c r="F180" s="217" t="s">
        <v>908</v>
      </c>
      <c r="G180" s="217" t="s">
        <v>910</v>
      </c>
      <c r="H180" s="205" t="s">
        <v>101</v>
      </c>
      <c r="I180" s="320"/>
    </row>
    <row r="181" spans="1:9">
      <c r="A181" s="319"/>
      <c r="B181" s="300"/>
      <c r="C181" s="300"/>
      <c r="D181" s="247" t="s">
        <v>900</v>
      </c>
      <c r="E181" s="447" t="s">
        <v>906</v>
      </c>
      <c r="F181" s="247" t="s">
        <v>909</v>
      </c>
      <c r="G181" s="247" t="s">
        <v>911</v>
      </c>
      <c r="H181" s="448" t="s">
        <v>912</v>
      </c>
      <c r="I181" s="320"/>
    </row>
    <row r="182" spans="1:9">
      <c r="A182" s="319"/>
      <c r="B182" s="300"/>
      <c r="C182" s="300"/>
      <c r="D182" s="247" t="s">
        <v>625</v>
      </c>
      <c r="E182" s="247" t="s">
        <v>907</v>
      </c>
      <c r="F182" s="247"/>
      <c r="G182" s="247"/>
      <c r="H182" s="247"/>
      <c r="I182" s="320"/>
    </row>
    <row r="183" spans="1:9">
      <c r="A183" s="319"/>
      <c r="B183" s="300"/>
      <c r="C183" s="300"/>
      <c r="D183" s="199">
        <v>1982</v>
      </c>
      <c r="E183" s="199">
        <v>2002</v>
      </c>
      <c r="F183" s="199">
        <v>2009</v>
      </c>
      <c r="G183" s="199"/>
      <c r="H183" s="199"/>
      <c r="I183" s="320"/>
    </row>
    <row r="184" spans="1:9">
      <c r="A184" s="319"/>
      <c r="B184" s="543" t="s">
        <v>861</v>
      </c>
      <c r="C184" s="543"/>
      <c r="D184" s="446">
        <v>0.04</v>
      </c>
      <c r="E184" s="347" t="s">
        <v>901</v>
      </c>
      <c r="F184" s="446">
        <v>0.05</v>
      </c>
      <c r="G184" s="347" t="s">
        <v>903</v>
      </c>
      <c r="H184" s="347" t="s">
        <v>904</v>
      </c>
      <c r="I184" s="320"/>
    </row>
    <row r="185" spans="1:9">
      <c r="A185" s="319"/>
      <c r="B185" s="543" t="s">
        <v>898</v>
      </c>
      <c r="C185" s="543"/>
      <c r="D185" s="347"/>
      <c r="E185" s="347" t="s">
        <v>902</v>
      </c>
      <c r="F185" s="446">
        <v>0.06</v>
      </c>
      <c r="G185" s="347" t="s">
        <v>170</v>
      </c>
      <c r="H185" s="347"/>
      <c r="I185" s="320"/>
    </row>
    <row r="186" spans="1:9">
      <c r="A186" s="319"/>
      <c r="B186" s="300"/>
      <c r="C186" s="300"/>
      <c r="D186" s="300"/>
      <c r="E186" s="300"/>
      <c r="F186" s="300"/>
      <c r="G186" s="300"/>
      <c r="H186" s="300"/>
      <c r="I186" s="320"/>
    </row>
    <row r="187" spans="1:9">
      <c r="A187" s="319"/>
      <c r="B187" s="300"/>
      <c r="C187" s="300"/>
      <c r="D187" s="300"/>
      <c r="E187" s="300"/>
      <c r="F187" s="300"/>
      <c r="G187" s="300"/>
      <c r="H187" s="300"/>
      <c r="I187" s="320"/>
    </row>
    <row r="188" spans="1:9">
      <c r="A188" s="319"/>
      <c r="B188" s="347"/>
      <c r="C188" s="474" t="str">
        <f>'Potencia Disponible Arrastre OK'!L8</f>
        <v>150 HP</v>
      </c>
      <c r="D188" s="474"/>
      <c r="E188" s="347" t="s">
        <v>913</v>
      </c>
      <c r="F188" s="347" t="s">
        <v>913</v>
      </c>
      <c r="G188" s="347" t="s">
        <v>914</v>
      </c>
      <c r="H188" s="347" t="s">
        <v>914</v>
      </c>
      <c r="I188" s="320"/>
    </row>
    <row r="189" spans="1:9">
      <c r="A189" s="319"/>
      <c r="B189" s="347" t="str">
        <f>B165</f>
        <v>Velocidad</v>
      </c>
      <c r="C189" s="347" t="str">
        <f>'Potencia Disponible Arrastre OK'!L9</f>
        <v>FT(PF)</v>
      </c>
      <c r="D189" s="347" t="str">
        <f>'Potencia Disponible Arrastre OK'!M9</f>
        <v>FT(PV+T)</v>
      </c>
      <c r="E189" s="347" t="str">
        <f>C189</f>
        <v>FT(PF)</v>
      </c>
      <c r="F189" s="347" t="str">
        <f>D189</f>
        <v>FT(PV+T)</v>
      </c>
      <c r="G189" s="347" t="str">
        <f>E189</f>
        <v>FT(PF)</v>
      </c>
      <c r="H189" s="347" t="str">
        <f>F189</f>
        <v>FT(PV+T)</v>
      </c>
      <c r="I189" s="320"/>
    </row>
    <row r="190" spans="1:9">
      <c r="A190" s="319"/>
      <c r="B190" s="347" t="str">
        <f t="shared" ref="B190:B199" si="6">B166</f>
        <v>Nudos</v>
      </c>
      <c r="C190" s="526" t="s">
        <v>55</v>
      </c>
      <c r="D190" s="602"/>
      <c r="E190" s="602"/>
      <c r="F190" s="602"/>
      <c r="G190" s="602"/>
      <c r="H190" s="603"/>
      <c r="I190" s="320"/>
    </row>
    <row r="191" spans="1:9">
      <c r="A191" s="319"/>
      <c r="B191" s="347">
        <f t="shared" si="6"/>
        <v>1</v>
      </c>
      <c r="C191" s="347">
        <f>'Potencia Disponible Arrastre OK'!L11</f>
        <v>1395</v>
      </c>
      <c r="D191" s="347">
        <f>'Potencia Disponible Arrastre OK'!M11</f>
        <v>2145</v>
      </c>
      <c r="E191" s="347">
        <f>C191*0.05</f>
        <v>69.75</v>
      </c>
      <c r="F191" s="347">
        <f>D191*0.05</f>
        <v>107.25</v>
      </c>
      <c r="G191" s="347">
        <f>C191*0.1</f>
        <v>139.5</v>
      </c>
      <c r="H191" s="347">
        <f>D191*0.1</f>
        <v>214.5</v>
      </c>
      <c r="I191" s="320"/>
    </row>
    <row r="192" spans="1:9">
      <c r="A192" s="319"/>
      <c r="B192" s="347">
        <f t="shared" si="6"/>
        <v>1.5</v>
      </c>
      <c r="C192" s="347">
        <f>'Potencia Disponible Arrastre OK'!L12</f>
        <v>1342.5</v>
      </c>
      <c r="D192" s="347">
        <f>'Potencia Disponible Arrastre OK'!M12</f>
        <v>2092.5</v>
      </c>
      <c r="E192" s="347">
        <f t="shared" ref="E192:E199" si="7">C192*0.05</f>
        <v>67.125</v>
      </c>
      <c r="F192" s="347">
        <f t="shared" ref="F192:F199" si="8">D192*0.05</f>
        <v>104.625</v>
      </c>
      <c r="G192" s="347">
        <f t="shared" ref="G192:G199" si="9">C192*0.1</f>
        <v>134.25</v>
      </c>
      <c r="H192" s="347">
        <f t="shared" ref="H192:H199" si="10">D192*0.1</f>
        <v>209.25</v>
      </c>
      <c r="I192" s="320"/>
    </row>
    <row r="193" spans="1:9">
      <c r="A193" s="319"/>
      <c r="B193" s="347">
        <f t="shared" si="6"/>
        <v>2</v>
      </c>
      <c r="C193" s="347">
        <f>'Potencia Disponible Arrastre OK'!L13</f>
        <v>1290</v>
      </c>
      <c r="D193" s="347">
        <f>'Potencia Disponible Arrastre OK'!M13</f>
        <v>2040</v>
      </c>
      <c r="E193" s="347">
        <f t="shared" si="7"/>
        <v>64.5</v>
      </c>
      <c r="F193" s="347">
        <f t="shared" si="8"/>
        <v>102</v>
      </c>
      <c r="G193" s="347">
        <f t="shared" si="9"/>
        <v>129</v>
      </c>
      <c r="H193" s="347">
        <f t="shared" si="10"/>
        <v>204</v>
      </c>
      <c r="I193" s="320"/>
    </row>
    <row r="194" spans="1:9">
      <c r="A194" s="319"/>
      <c r="B194" s="347">
        <f t="shared" si="6"/>
        <v>2.5</v>
      </c>
      <c r="C194" s="347">
        <f>'Potencia Disponible Arrastre OK'!L14</f>
        <v>1237.5</v>
      </c>
      <c r="D194" s="347">
        <f>'Potencia Disponible Arrastre OK'!M14</f>
        <v>1987.5</v>
      </c>
      <c r="E194" s="347">
        <f t="shared" si="7"/>
        <v>61.875</v>
      </c>
      <c r="F194" s="347">
        <f t="shared" si="8"/>
        <v>99.375</v>
      </c>
      <c r="G194" s="347">
        <f t="shared" si="9"/>
        <v>123.75</v>
      </c>
      <c r="H194" s="347">
        <f t="shared" si="10"/>
        <v>198.75</v>
      </c>
      <c r="I194" s="320"/>
    </row>
    <row r="195" spans="1:9">
      <c r="A195" s="319"/>
      <c r="B195" s="347">
        <f t="shared" si="6"/>
        <v>3</v>
      </c>
      <c r="C195" s="347">
        <f>'Potencia Disponible Arrastre OK'!L15</f>
        <v>1185</v>
      </c>
      <c r="D195" s="347">
        <f>'Potencia Disponible Arrastre OK'!M15</f>
        <v>1935</v>
      </c>
      <c r="E195" s="347">
        <f t="shared" si="7"/>
        <v>59.25</v>
      </c>
      <c r="F195" s="347">
        <f t="shared" si="8"/>
        <v>96.75</v>
      </c>
      <c r="G195" s="347">
        <f t="shared" si="9"/>
        <v>118.5</v>
      </c>
      <c r="H195" s="347">
        <f t="shared" si="10"/>
        <v>193.5</v>
      </c>
      <c r="I195" s="320"/>
    </row>
    <row r="196" spans="1:9">
      <c r="A196" s="319"/>
      <c r="B196" s="347">
        <f t="shared" si="6"/>
        <v>3.5</v>
      </c>
      <c r="C196" s="347">
        <f>'Potencia Disponible Arrastre OK'!L16</f>
        <v>1132.5</v>
      </c>
      <c r="D196" s="347">
        <f>'Potencia Disponible Arrastre OK'!M16</f>
        <v>1882.5</v>
      </c>
      <c r="E196" s="347">
        <f t="shared" si="7"/>
        <v>56.625</v>
      </c>
      <c r="F196" s="347">
        <f t="shared" si="8"/>
        <v>94.125</v>
      </c>
      <c r="G196" s="347">
        <f t="shared" si="9"/>
        <v>113.25</v>
      </c>
      <c r="H196" s="347">
        <f t="shared" si="10"/>
        <v>188.25</v>
      </c>
      <c r="I196" s="320"/>
    </row>
    <row r="197" spans="1:9">
      <c r="A197" s="319"/>
      <c r="B197" s="347">
        <f t="shared" si="6"/>
        <v>4</v>
      </c>
      <c r="C197" s="347">
        <f>'Potencia Disponible Arrastre OK'!L17</f>
        <v>1080</v>
      </c>
      <c r="D197" s="347">
        <f>'Potencia Disponible Arrastre OK'!M17</f>
        <v>1830</v>
      </c>
      <c r="E197" s="347">
        <f t="shared" si="7"/>
        <v>54</v>
      </c>
      <c r="F197" s="347">
        <f t="shared" si="8"/>
        <v>91.5</v>
      </c>
      <c r="G197" s="347">
        <f t="shared" si="9"/>
        <v>108</v>
      </c>
      <c r="H197" s="347">
        <f t="shared" si="10"/>
        <v>183</v>
      </c>
      <c r="I197" s="320"/>
    </row>
    <row r="198" spans="1:9">
      <c r="A198" s="319"/>
      <c r="B198" s="347">
        <f t="shared" si="6"/>
        <v>4.5</v>
      </c>
      <c r="C198" s="347">
        <f>'Potencia Disponible Arrastre OK'!L18</f>
        <v>1027.5</v>
      </c>
      <c r="D198" s="347">
        <f>'Potencia Disponible Arrastre OK'!M18</f>
        <v>1777.5</v>
      </c>
      <c r="E198" s="347">
        <f t="shared" si="7"/>
        <v>51.375</v>
      </c>
      <c r="F198" s="347">
        <f t="shared" si="8"/>
        <v>88.875</v>
      </c>
      <c r="G198" s="347">
        <f t="shared" si="9"/>
        <v>102.75</v>
      </c>
      <c r="H198" s="347">
        <f t="shared" si="10"/>
        <v>177.75</v>
      </c>
      <c r="I198" s="320"/>
    </row>
    <row r="199" spans="1:9">
      <c r="A199" s="319"/>
      <c r="B199" s="347">
        <f t="shared" si="6"/>
        <v>5</v>
      </c>
      <c r="C199" s="347">
        <f>'Potencia Disponible Arrastre OK'!L19</f>
        <v>975</v>
      </c>
      <c r="D199" s="347">
        <f>'Potencia Disponible Arrastre OK'!M19</f>
        <v>1725</v>
      </c>
      <c r="E199" s="347">
        <f t="shared" si="7"/>
        <v>48.75</v>
      </c>
      <c r="F199" s="347">
        <f t="shared" si="8"/>
        <v>86.25</v>
      </c>
      <c r="G199" s="347">
        <f t="shared" si="9"/>
        <v>97.5</v>
      </c>
      <c r="H199" s="347">
        <f t="shared" si="10"/>
        <v>172.5</v>
      </c>
      <c r="I199" s="320"/>
    </row>
    <row r="200" spans="1:9">
      <c r="A200" s="319"/>
      <c r="B200" s="300"/>
      <c r="C200" s="300"/>
      <c r="D200" s="300"/>
      <c r="E200" s="300"/>
      <c r="F200" s="300"/>
      <c r="G200" s="300"/>
      <c r="H200" s="300"/>
      <c r="I200" s="320"/>
    </row>
    <row r="201" spans="1:9">
      <c r="A201" s="319"/>
      <c r="B201" s="300"/>
      <c r="C201" s="300"/>
      <c r="D201" s="300"/>
      <c r="E201" s="300"/>
      <c r="F201" s="300"/>
      <c r="G201" s="300"/>
      <c r="H201" s="300"/>
      <c r="I201" s="320"/>
    </row>
    <row r="202" spans="1:9" ht="18.75">
      <c r="A202" s="319"/>
      <c r="B202" s="300"/>
      <c r="C202" s="534" t="s">
        <v>915</v>
      </c>
      <c r="D202" s="534"/>
      <c r="E202" s="534"/>
      <c r="F202" s="534"/>
      <c r="G202" s="534"/>
      <c r="H202" s="300"/>
      <c r="I202" s="320"/>
    </row>
    <row r="203" spans="1:9">
      <c r="A203" s="319"/>
      <c r="B203" s="300"/>
      <c r="C203" s="300"/>
      <c r="D203" s="300"/>
      <c r="E203" s="300"/>
      <c r="F203" s="300"/>
      <c r="G203" s="300"/>
      <c r="H203" s="300"/>
      <c r="I203" s="320"/>
    </row>
    <row r="204" spans="1:9">
      <c r="A204" s="319"/>
      <c r="B204" s="300"/>
      <c r="C204" s="347" t="s">
        <v>916</v>
      </c>
      <c r="D204" s="347">
        <f>E167</f>
        <v>1.1000000000000001</v>
      </c>
      <c r="E204" s="300"/>
      <c r="F204" s="300"/>
      <c r="G204" s="300"/>
      <c r="H204" s="300"/>
      <c r="I204" s="320"/>
    </row>
    <row r="205" spans="1:9">
      <c r="A205" s="319"/>
      <c r="B205" s="300"/>
      <c r="C205" s="318" t="s">
        <v>917</v>
      </c>
      <c r="D205" s="347">
        <v>0.02</v>
      </c>
      <c r="E205" s="300"/>
      <c r="F205" s="300"/>
      <c r="G205" s="300"/>
      <c r="H205" s="300"/>
      <c r="I205" s="320"/>
    </row>
    <row r="206" spans="1:9" s="255" customFormat="1">
      <c r="A206" s="319"/>
      <c r="B206" s="300"/>
      <c r="C206" s="300"/>
      <c r="D206" s="300"/>
      <c r="E206" s="300"/>
      <c r="F206" s="300"/>
      <c r="G206" s="300"/>
      <c r="H206" s="300"/>
      <c r="I206" s="320"/>
    </row>
    <row r="207" spans="1:9">
      <c r="A207" s="319"/>
      <c r="B207" s="474" t="str">
        <f>B189</f>
        <v>Velocidad</v>
      </c>
      <c r="C207" s="474"/>
      <c r="D207" s="347" t="str">
        <f>D116</f>
        <v>RN Estándar</v>
      </c>
      <c r="E207" s="347" t="str">
        <f>E116</f>
        <v>RN Modificada</v>
      </c>
      <c r="F207" s="347" t="str">
        <f>F116</f>
        <v>RB</v>
      </c>
      <c r="G207" s="347" t="s">
        <v>895</v>
      </c>
      <c r="H207" s="300"/>
      <c r="I207" s="320"/>
    </row>
    <row r="208" spans="1:9">
      <c r="A208" s="319"/>
      <c r="B208" s="347" t="str">
        <f t="shared" ref="B208:B216" si="11">B190</f>
        <v>Nudos</v>
      </c>
      <c r="C208" s="347" t="str">
        <f>C166</f>
        <v>[m/s]</v>
      </c>
      <c r="D208" s="347" t="str">
        <f t="shared" ref="D208:F217" si="12">D117</f>
        <v>[Kgf]</v>
      </c>
      <c r="E208" s="347" t="str">
        <f t="shared" si="12"/>
        <v>[Kgf]</v>
      </c>
      <c r="F208" s="347" t="str">
        <f t="shared" si="12"/>
        <v>[Kgf]</v>
      </c>
      <c r="G208" s="347" t="s">
        <v>55</v>
      </c>
      <c r="H208" s="300"/>
      <c r="I208" s="320"/>
    </row>
    <row r="209" spans="1:9">
      <c r="A209" s="319"/>
      <c r="B209" s="347">
        <f t="shared" si="11"/>
        <v>1</v>
      </c>
      <c r="C209" s="347">
        <f t="shared" ref="C209:C217" si="13">C167</f>
        <v>0.51439999999999997</v>
      </c>
      <c r="D209" s="198">
        <f t="shared" si="12"/>
        <v>422.36322657644956</v>
      </c>
      <c r="E209" s="198">
        <f t="shared" si="12"/>
        <v>413.44914989192739</v>
      </c>
      <c r="F209" s="347">
        <f t="shared" si="12"/>
        <v>2.446988059294398</v>
      </c>
      <c r="G209" s="347"/>
      <c r="H209" s="300"/>
      <c r="I209" s="320"/>
    </row>
    <row r="210" spans="1:9">
      <c r="A210" s="319"/>
      <c r="B210" s="347">
        <f t="shared" si="11"/>
        <v>1.5</v>
      </c>
      <c r="C210" s="347">
        <f t="shared" si="13"/>
        <v>0.77159999999999995</v>
      </c>
      <c r="D210" s="198">
        <f t="shared" si="12"/>
        <v>631.52956087214341</v>
      </c>
      <c r="E210" s="198">
        <f t="shared" si="12"/>
        <v>618.20097878939919</v>
      </c>
      <c r="F210" s="347">
        <f t="shared" si="12"/>
        <v>5.5057231334123946</v>
      </c>
      <c r="G210" s="347"/>
      <c r="H210" s="300"/>
      <c r="I210" s="320"/>
    </row>
    <row r="211" spans="1:9">
      <c r="A211" s="319"/>
      <c r="B211" s="347">
        <f t="shared" si="11"/>
        <v>2</v>
      </c>
      <c r="C211" s="347">
        <f t="shared" si="13"/>
        <v>1.0287999999999999</v>
      </c>
      <c r="D211" s="198">
        <f t="shared" si="12"/>
        <v>914.90100549547947</v>
      </c>
      <c r="E211" s="198">
        <f t="shared" si="12"/>
        <v>895.5918014536428</v>
      </c>
      <c r="F211" s="347">
        <f t="shared" si="12"/>
        <v>9.787952237177592</v>
      </c>
      <c r="G211" s="347"/>
      <c r="H211" s="300"/>
      <c r="I211" s="320"/>
    </row>
    <row r="212" spans="1:9">
      <c r="A212" s="319"/>
      <c r="B212" s="347">
        <f t="shared" si="11"/>
        <v>2.5</v>
      </c>
      <c r="C212" s="347">
        <f t="shared" si="13"/>
        <v>1.286</v>
      </c>
      <c r="D212" s="198">
        <f t="shared" si="12"/>
        <v>1266.3281776772249</v>
      </c>
      <c r="E212" s="198">
        <f t="shared" si="12"/>
        <v>1239.6020193061838</v>
      </c>
      <c r="F212" s="347">
        <f t="shared" si="12"/>
        <v>15.293675370589989</v>
      </c>
      <c r="G212" s="347"/>
      <c r="H212" s="300"/>
      <c r="I212" s="320"/>
    </row>
    <row r="213" spans="1:9">
      <c r="A213" s="319"/>
      <c r="B213" s="347">
        <f t="shared" si="11"/>
        <v>3</v>
      </c>
      <c r="C213" s="347">
        <f t="shared" si="13"/>
        <v>1.5432000000000001</v>
      </c>
      <c r="D213" s="198">
        <f t="shared" si="12"/>
        <v>1680.3228964186867</v>
      </c>
      <c r="E213" s="198">
        <f t="shared" si="12"/>
        <v>1644.8592807179402</v>
      </c>
      <c r="F213" s="347">
        <f t="shared" si="12"/>
        <v>23.428609078350629</v>
      </c>
      <c r="G213" s="347"/>
      <c r="H213" s="300"/>
      <c r="I213" s="320"/>
    </row>
    <row r="214" spans="1:9">
      <c r="A214" s="319"/>
      <c r="B214" s="347">
        <f t="shared" si="11"/>
        <v>3.5</v>
      </c>
      <c r="C214" s="347">
        <f t="shared" si="13"/>
        <v>1.8004</v>
      </c>
      <c r="D214" s="198">
        <f t="shared" si="12"/>
        <v>2151.9716405847998</v>
      </c>
      <c r="E214" s="198">
        <f t="shared" si="12"/>
        <v>2106.5537655899047</v>
      </c>
      <c r="F214" s="347">
        <f t="shared" si="12"/>
        <v>31.888940134421681</v>
      </c>
      <c r="G214" s="347"/>
      <c r="H214" s="300"/>
      <c r="I214" s="320"/>
    </row>
    <row r="215" spans="1:9">
      <c r="A215" s="319"/>
      <c r="B215" s="347">
        <f t="shared" si="11"/>
        <v>4</v>
      </c>
      <c r="C215" s="347">
        <f t="shared" si="13"/>
        <v>2.0575999999999999</v>
      </c>
      <c r="D215" s="198">
        <f t="shared" si="12"/>
        <v>2676.8622527857369</v>
      </c>
      <c r="E215" s="198">
        <f t="shared" si="12"/>
        <v>2620.3664361668261</v>
      </c>
      <c r="F215" s="347">
        <f t="shared" si="12"/>
        <v>41.650860583734435</v>
      </c>
      <c r="G215" s="347"/>
      <c r="H215" s="300"/>
      <c r="I215" s="320"/>
    </row>
    <row r="216" spans="1:9">
      <c r="A216" s="319"/>
      <c r="B216" s="347">
        <f t="shared" si="11"/>
        <v>4.5</v>
      </c>
      <c r="C216" s="347">
        <f t="shared" si="13"/>
        <v>2.3148</v>
      </c>
      <c r="D216" s="198">
        <f t="shared" si="12"/>
        <v>3251.0215826380531</v>
      </c>
      <c r="E216" s="198">
        <f t="shared" si="12"/>
        <v>3182.4079963522054</v>
      </c>
      <c r="F216" s="347">
        <f t="shared" si="12"/>
        <v>52.714370426288895</v>
      </c>
      <c r="G216" s="347"/>
      <c r="H216" s="300"/>
      <c r="I216" s="320"/>
    </row>
    <row r="217" spans="1:9">
      <c r="A217" s="319"/>
      <c r="B217" s="347">
        <f>B199</f>
        <v>5</v>
      </c>
      <c r="C217" s="347">
        <f t="shared" si="13"/>
        <v>2.5720000000000001</v>
      </c>
      <c r="D217" s="198">
        <f t="shared" si="12"/>
        <v>3870.8622108292311</v>
      </c>
      <c r="E217" s="198">
        <f t="shared" si="12"/>
        <v>3789.1667401741761</v>
      </c>
      <c r="F217" s="347">
        <f t="shared" si="12"/>
        <v>65.079469662085074</v>
      </c>
      <c r="G217" s="347"/>
      <c r="H217" s="300"/>
      <c r="I217" s="320"/>
    </row>
    <row r="218" spans="1:9">
      <c r="A218" s="319"/>
      <c r="B218" s="300"/>
      <c r="C218" s="300"/>
      <c r="D218" s="300"/>
      <c r="E218" s="300"/>
      <c r="F218" s="300"/>
      <c r="G218" s="300"/>
      <c r="H218" s="300"/>
      <c r="I218" s="320"/>
    </row>
    <row r="219" spans="1:9">
      <c r="A219" s="319"/>
      <c r="B219" s="300"/>
      <c r="C219" s="300"/>
      <c r="D219" s="300"/>
      <c r="E219" s="300"/>
      <c r="F219" s="300"/>
      <c r="G219" s="300"/>
      <c r="H219" s="300"/>
      <c r="I219" s="320"/>
    </row>
    <row r="220" spans="1:9">
      <c r="A220" s="319"/>
      <c r="B220" s="300"/>
      <c r="C220" s="300"/>
      <c r="D220" s="300"/>
      <c r="E220" s="300"/>
      <c r="F220" s="300"/>
      <c r="G220" s="300"/>
      <c r="H220" s="300"/>
      <c r="I220" s="320"/>
    </row>
    <row r="221" spans="1:9" ht="18.75">
      <c r="A221" s="319"/>
      <c r="B221" s="534" t="s">
        <v>918</v>
      </c>
      <c r="C221" s="534"/>
      <c r="D221" s="534"/>
      <c r="E221" s="534"/>
      <c r="F221" s="534"/>
      <c r="G221" s="534"/>
      <c r="H221" s="534"/>
      <c r="I221" s="320"/>
    </row>
    <row r="222" spans="1:9">
      <c r="A222" s="319"/>
      <c r="B222" s="300"/>
      <c r="C222" s="300"/>
      <c r="D222" s="300"/>
      <c r="E222" s="300"/>
      <c r="F222" s="300"/>
      <c r="G222" s="300"/>
      <c r="H222" s="300"/>
      <c r="I222" s="320"/>
    </row>
    <row r="223" spans="1:9">
      <c r="A223" s="319"/>
      <c r="B223" s="300" t="s">
        <v>708</v>
      </c>
      <c r="C223" s="300" t="s">
        <v>919</v>
      </c>
      <c r="D223" s="300"/>
      <c r="E223" s="300"/>
      <c r="F223" s="300"/>
      <c r="G223" s="300"/>
      <c r="H223" s="300"/>
      <c r="I223" s="320"/>
    </row>
    <row r="224" spans="1:9">
      <c r="A224" s="319"/>
      <c r="B224" s="300"/>
      <c r="C224" s="300"/>
      <c r="D224" s="300"/>
      <c r="E224" s="300"/>
      <c r="F224" s="300"/>
      <c r="G224" s="300"/>
      <c r="H224" s="300"/>
      <c r="I224" s="320"/>
    </row>
    <row r="225" spans="1:9">
      <c r="A225" s="319"/>
      <c r="B225" s="474" t="str">
        <f>B207</f>
        <v>Velocidad</v>
      </c>
      <c r="C225" s="474"/>
      <c r="D225" s="347" t="s">
        <v>708</v>
      </c>
      <c r="E225" s="347" t="s">
        <v>895</v>
      </c>
      <c r="F225" s="347" t="s">
        <v>920</v>
      </c>
      <c r="G225" s="347"/>
      <c r="H225" s="300"/>
      <c r="I225" s="320"/>
    </row>
    <row r="226" spans="1:9">
      <c r="A226" s="319"/>
      <c r="B226" s="347" t="str">
        <f t="shared" ref="B226:C234" si="14">B208</f>
        <v>Nudos</v>
      </c>
      <c r="C226" s="347" t="str">
        <f t="shared" si="14"/>
        <v>[m/s]</v>
      </c>
      <c r="D226" s="347"/>
      <c r="E226" s="347" t="s">
        <v>55</v>
      </c>
      <c r="F226" s="347" t="s">
        <v>55</v>
      </c>
      <c r="G226" s="347"/>
      <c r="H226" s="300"/>
      <c r="I226" s="320"/>
    </row>
    <row r="227" spans="1:9">
      <c r="A227" s="319"/>
      <c r="B227" s="347">
        <f t="shared" si="14"/>
        <v>1</v>
      </c>
      <c r="C227" s="347">
        <f t="shared" si="14"/>
        <v>0.51439999999999997</v>
      </c>
      <c r="D227" s="198">
        <f>2.11-12.24*C227*$E$154</f>
        <v>2.0326667430440928</v>
      </c>
      <c r="E227" s="347"/>
      <c r="F227" s="347"/>
      <c r="G227" s="347"/>
      <c r="H227" s="300"/>
      <c r="I227" s="320"/>
    </row>
    <row r="228" spans="1:9">
      <c r="A228" s="319"/>
      <c r="B228" s="347">
        <f t="shared" si="14"/>
        <v>1.5</v>
      </c>
      <c r="C228" s="347">
        <f t="shared" si="14"/>
        <v>0.77159999999999995</v>
      </c>
      <c r="D228" s="198">
        <f t="shared" ref="D228:D235" si="15">2.11-12.24*C228*$E$154</f>
        <v>1.9940001145661392</v>
      </c>
      <c r="E228" s="347"/>
      <c r="F228" s="347"/>
      <c r="G228" s="347"/>
      <c r="H228" s="300"/>
      <c r="I228" s="320"/>
    </row>
    <row r="229" spans="1:9">
      <c r="A229" s="319"/>
      <c r="B229" s="347">
        <f t="shared" si="14"/>
        <v>2</v>
      </c>
      <c r="C229" s="347">
        <f t="shared" si="14"/>
        <v>1.0287999999999999</v>
      </c>
      <c r="D229" s="198">
        <f t="shared" si="15"/>
        <v>1.9553334860881857</v>
      </c>
      <c r="E229" s="347"/>
      <c r="F229" s="347"/>
      <c r="G229" s="347"/>
      <c r="H229" s="300"/>
      <c r="I229" s="320"/>
    </row>
    <row r="230" spans="1:9">
      <c r="A230" s="319"/>
      <c r="B230" s="347">
        <f t="shared" si="14"/>
        <v>2.5</v>
      </c>
      <c r="C230" s="347">
        <f t="shared" si="14"/>
        <v>1.286</v>
      </c>
      <c r="D230" s="198">
        <f t="shared" si="15"/>
        <v>1.9166668576102319</v>
      </c>
      <c r="E230" s="347"/>
      <c r="F230" s="347"/>
      <c r="G230" s="347"/>
      <c r="H230" s="300"/>
      <c r="I230" s="320"/>
    </row>
    <row r="231" spans="1:9">
      <c r="A231" s="319"/>
      <c r="B231" s="347">
        <f t="shared" si="14"/>
        <v>3</v>
      </c>
      <c r="C231" s="347">
        <f t="shared" si="14"/>
        <v>1.5432000000000001</v>
      </c>
      <c r="D231" s="198">
        <f t="shared" si="15"/>
        <v>1.8780002291322784</v>
      </c>
      <c r="E231" s="347"/>
      <c r="F231" s="347"/>
      <c r="G231" s="347"/>
      <c r="H231" s="300"/>
      <c r="I231" s="320"/>
    </row>
    <row r="232" spans="1:9">
      <c r="A232" s="319"/>
      <c r="B232" s="347">
        <f t="shared" si="14"/>
        <v>3.5</v>
      </c>
      <c r="C232" s="347">
        <f t="shared" si="14"/>
        <v>1.8004</v>
      </c>
      <c r="D232" s="198">
        <f t="shared" si="15"/>
        <v>1.8393336006543248</v>
      </c>
      <c r="E232" s="347"/>
      <c r="F232" s="347"/>
      <c r="G232" s="347"/>
      <c r="H232" s="300"/>
      <c r="I232" s="320"/>
    </row>
    <row r="233" spans="1:9">
      <c r="A233" s="319"/>
      <c r="B233" s="347">
        <f t="shared" si="14"/>
        <v>4</v>
      </c>
      <c r="C233" s="347">
        <f t="shared" si="14"/>
        <v>2.0575999999999999</v>
      </c>
      <c r="D233" s="198">
        <f t="shared" si="15"/>
        <v>1.8006669721763713</v>
      </c>
      <c r="E233" s="347"/>
      <c r="F233" s="347"/>
      <c r="G233" s="347"/>
      <c r="H233" s="300"/>
      <c r="I233" s="320"/>
    </row>
    <row r="234" spans="1:9">
      <c r="A234" s="319"/>
      <c r="B234" s="347">
        <f t="shared" si="14"/>
        <v>4.5</v>
      </c>
      <c r="C234" s="347">
        <f t="shared" si="14"/>
        <v>2.3148</v>
      </c>
      <c r="D234" s="198">
        <f t="shared" si="15"/>
        <v>1.7620003436984177</v>
      </c>
      <c r="E234" s="347"/>
      <c r="F234" s="347"/>
      <c r="G234" s="347"/>
      <c r="H234" s="300"/>
      <c r="I234" s="320"/>
    </row>
    <row r="235" spans="1:9">
      <c r="A235" s="319"/>
      <c r="B235" s="347">
        <f>B217</f>
        <v>5</v>
      </c>
      <c r="C235" s="347">
        <f t="shared" ref="C235" si="16">C217</f>
        <v>2.5720000000000001</v>
      </c>
      <c r="D235" s="198">
        <f t="shared" si="15"/>
        <v>1.7233337152204642</v>
      </c>
      <c r="E235" s="347"/>
      <c r="F235" s="347"/>
      <c r="G235" s="347"/>
      <c r="H235" s="300"/>
      <c r="I235" s="320"/>
    </row>
    <row r="236" spans="1:9">
      <c r="A236" s="319"/>
      <c r="B236" s="300"/>
      <c r="C236" s="300"/>
      <c r="D236" s="300"/>
      <c r="E236" s="300"/>
      <c r="F236" s="300"/>
      <c r="G236" s="300"/>
      <c r="H236" s="300"/>
      <c r="I236" s="320"/>
    </row>
    <row r="237" spans="1:9">
      <c r="A237" s="319"/>
      <c r="B237" s="300"/>
      <c r="C237" s="300"/>
      <c r="D237" s="300"/>
      <c r="E237" s="300"/>
      <c r="F237" s="300"/>
      <c r="G237" s="300"/>
      <c r="H237" s="300"/>
      <c r="I237" s="320"/>
    </row>
    <row r="238" spans="1:9" ht="15.75" thickBot="1">
      <c r="A238" s="321"/>
      <c r="B238" s="322"/>
      <c r="C238" s="322"/>
      <c r="D238" s="322"/>
      <c r="E238" s="322"/>
      <c r="F238" s="322"/>
      <c r="G238" s="322"/>
      <c r="H238" s="322"/>
      <c r="I238" s="323"/>
    </row>
    <row r="240" spans="1:9" ht="15.75" thickBot="1"/>
    <row r="241" spans="1:9" ht="18.75">
      <c r="A241" s="334"/>
      <c r="B241" s="702" t="s">
        <v>921</v>
      </c>
      <c r="C241" s="702"/>
      <c r="D241" s="702"/>
      <c r="E241" s="702"/>
      <c r="F241" s="702"/>
      <c r="G241" s="702"/>
      <c r="H241" s="702"/>
      <c r="I241" s="335"/>
    </row>
    <row r="242" spans="1:9">
      <c r="A242" s="319"/>
      <c r="B242" s="300"/>
      <c r="C242" s="300"/>
      <c r="D242" s="300"/>
      <c r="E242" s="300"/>
      <c r="F242" s="300"/>
      <c r="G242" s="300"/>
      <c r="H242" s="300"/>
      <c r="I242" s="320"/>
    </row>
    <row r="243" spans="1:9">
      <c r="A243" s="319"/>
      <c r="B243" s="300"/>
      <c r="C243" s="300"/>
      <c r="D243" s="300"/>
      <c r="E243" s="300"/>
      <c r="F243" s="300"/>
      <c r="G243" s="300"/>
      <c r="H243" s="300"/>
      <c r="I243" s="320"/>
    </row>
    <row r="244" spans="1:9">
      <c r="A244" s="319"/>
      <c r="B244" s="300"/>
      <c r="C244" s="300"/>
      <c r="D244" s="300"/>
      <c r="E244" s="300"/>
      <c r="F244" s="300"/>
      <c r="G244" s="300"/>
      <c r="H244" s="300"/>
      <c r="I244" s="320"/>
    </row>
    <row r="245" spans="1:9">
      <c r="A245" s="319"/>
      <c r="B245" s="300"/>
      <c r="C245" s="300"/>
      <c r="D245" s="300"/>
      <c r="E245" s="300"/>
      <c r="F245" s="300"/>
      <c r="G245" s="300"/>
      <c r="H245" s="300"/>
      <c r="I245" s="320"/>
    </row>
    <row r="246" spans="1:9">
      <c r="A246" s="319"/>
      <c r="B246" s="300"/>
      <c r="C246" s="474" t="str">
        <f t="array" ref="C246">B153</f>
        <v xml:space="preserve">Diametro del cable de remolque </v>
      </c>
      <c r="D246" s="474"/>
      <c r="E246" s="474"/>
      <c r="F246" s="313">
        <f>E153</f>
        <v>12.282419418128352</v>
      </c>
      <c r="G246" s="313" t="str">
        <f>F153</f>
        <v>[mm]</v>
      </c>
      <c r="H246" s="300"/>
      <c r="I246" s="320"/>
    </row>
    <row r="247" spans="1:9">
      <c r="A247" s="319"/>
      <c r="B247" s="300"/>
      <c r="C247" s="300"/>
      <c r="D247" s="300"/>
      <c r="E247" s="300"/>
      <c r="F247" s="300"/>
      <c r="G247" s="300"/>
      <c r="H247" s="300"/>
      <c r="I247" s="320"/>
    </row>
    <row r="248" spans="1:9">
      <c r="A248" s="319"/>
      <c r="B248" s="300"/>
      <c r="C248" s="474" t="s">
        <v>922</v>
      </c>
      <c r="D248" s="474"/>
      <c r="E248" s="252">
        <f>AVERAGE((0.00368*(F246^2)),(0.00417*(F246^2)))</f>
        <v>0.5921169700440545</v>
      </c>
      <c r="F248" s="347" t="s">
        <v>835</v>
      </c>
      <c r="G248" s="300"/>
      <c r="H248" s="300"/>
      <c r="I248" s="320"/>
    </row>
    <row r="249" spans="1:9">
      <c r="A249" s="319"/>
      <c r="B249" s="300"/>
      <c r="C249" s="300"/>
      <c r="D249" s="300"/>
      <c r="E249" s="300"/>
      <c r="F249" s="300"/>
      <c r="G249" s="300"/>
      <c r="H249" s="300"/>
      <c r="I249" s="320"/>
    </row>
    <row r="250" spans="1:9">
      <c r="A250" s="319"/>
      <c r="B250" s="300"/>
      <c r="C250" s="474" t="s">
        <v>923</v>
      </c>
      <c r="D250" s="474"/>
      <c r="E250" s="474"/>
      <c r="F250" s="252">
        <f>0.00305*(F246^2)</f>
        <v>0.46011637162659008</v>
      </c>
      <c r="G250" s="347" t="str">
        <f>F248</f>
        <v>[Kg/m]</v>
      </c>
      <c r="H250" s="300"/>
      <c r="I250" s="320"/>
    </row>
    <row r="251" spans="1:9">
      <c r="A251" s="319"/>
      <c r="B251" s="300"/>
      <c r="C251" s="300"/>
      <c r="D251" s="300"/>
      <c r="E251" s="300"/>
      <c r="F251" s="300"/>
      <c r="G251" s="300"/>
      <c r="H251" s="300"/>
      <c r="I251" s="320"/>
    </row>
    <row r="252" spans="1:9">
      <c r="A252" s="319"/>
      <c r="B252" s="300"/>
      <c r="C252" s="474" t="s">
        <v>924</v>
      </c>
      <c r="D252" s="474"/>
      <c r="E252" s="474"/>
      <c r="F252" s="252">
        <f>0.87*E248</f>
        <v>0.51514176393832745</v>
      </c>
      <c r="G252" s="347" t="str">
        <f>G250</f>
        <v>[Kg/m]</v>
      </c>
      <c r="H252" s="300"/>
      <c r="I252" s="320"/>
    </row>
    <row r="253" spans="1:9">
      <c r="A253" s="319"/>
      <c r="B253" s="300"/>
      <c r="C253" s="300"/>
      <c r="D253" s="300"/>
      <c r="E253" s="300"/>
      <c r="F253" s="300"/>
      <c r="G253" s="300"/>
      <c r="H253" s="300"/>
      <c r="I253" s="320"/>
    </row>
    <row r="254" spans="1:9">
      <c r="A254" s="319"/>
      <c r="B254" s="300"/>
      <c r="C254" s="474" t="str">
        <f t="array" ref="C254">B105</f>
        <v>Profundidad efectiva</v>
      </c>
      <c r="D254" s="474"/>
      <c r="E254" s="474"/>
      <c r="F254" s="347">
        <f>E105</f>
        <v>40</v>
      </c>
      <c r="G254" s="347" t="s">
        <v>560</v>
      </c>
      <c r="H254" s="300"/>
      <c r="I254" s="320"/>
    </row>
    <row r="255" spans="1:9">
      <c r="A255" s="319"/>
      <c r="B255" s="300"/>
      <c r="C255" s="474" t="str">
        <f t="array" ref="C255">B155</f>
        <v>cable filado</v>
      </c>
      <c r="D255" s="474"/>
      <c r="E255" s="474"/>
      <c r="F255" s="347">
        <f>E155</f>
        <v>200</v>
      </c>
      <c r="G255" s="347" t="s">
        <v>560</v>
      </c>
      <c r="H255" s="300"/>
      <c r="I255" s="320"/>
    </row>
    <row r="256" spans="1:9">
      <c r="A256" s="319"/>
      <c r="B256" s="300"/>
      <c r="C256" s="474" t="s">
        <v>925</v>
      </c>
      <c r="D256" s="474"/>
      <c r="E256" s="474"/>
      <c r="F256" s="198">
        <f>F255*E248</f>
        <v>118.4233940088109</v>
      </c>
      <c r="G256" s="347" t="s">
        <v>250</v>
      </c>
      <c r="H256" s="300"/>
      <c r="I256" s="320"/>
    </row>
    <row r="257" spans="1:9">
      <c r="A257" s="319"/>
      <c r="B257" s="300"/>
      <c r="C257" s="474" t="s">
        <v>926</v>
      </c>
      <c r="D257" s="474"/>
      <c r="E257" s="474"/>
      <c r="F257" s="198">
        <f>F255*F252</f>
        <v>103.02835278766548</v>
      </c>
      <c r="G257" s="366" t="s">
        <v>250</v>
      </c>
      <c r="H257" s="300"/>
      <c r="I257" s="320"/>
    </row>
    <row r="258" spans="1:9" ht="15.75" thickBot="1">
      <c r="A258" s="321"/>
      <c r="B258" s="322"/>
      <c r="C258" s="322"/>
      <c r="D258" s="322"/>
      <c r="E258" s="322"/>
      <c r="F258" s="322"/>
      <c r="G258" s="322"/>
      <c r="H258" s="322"/>
      <c r="I258" s="323"/>
    </row>
    <row r="260" spans="1:9" ht="15.75" thickBot="1"/>
    <row r="261" spans="1:9" ht="21">
      <c r="A261" s="539" t="s">
        <v>927</v>
      </c>
      <c r="B261" s="540"/>
      <c r="C261" s="540"/>
      <c r="D261" s="540"/>
      <c r="E261" s="540"/>
      <c r="F261" s="540"/>
      <c r="G261" s="540"/>
      <c r="H261" s="540"/>
      <c r="I261" s="660"/>
    </row>
    <row r="262" spans="1:9">
      <c r="A262" s="319"/>
      <c r="B262" s="300"/>
      <c r="C262" s="300"/>
      <c r="D262" s="300"/>
      <c r="E262" s="300"/>
      <c r="F262" s="300"/>
      <c r="G262" s="300"/>
      <c r="H262" s="300"/>
      <c r="I262" s="320"/>
    </row>
    <row r="263" spans="1:9">
      <c r="A263" s="319"/>
      <c r="B263" s="529" t="s">
        <v>928</v>
      </c>
      <c r="C263" s="529"/>
      <c r="D263" s="529"/>
      <c r="E263" s="529"/>
      <c r="F263" s="529"/>
      <c r="G263" s="300"/>
      <c r="H263" s="300"/>
      <c r="I263" s="320"/>
    </row>
    <row r="264" spans="1:9">
      <c r="A264" s="319"/>
      <c r="B264" s="543" t="str">
        <f t="array" ref="B264">C246</f>
        <v xml:space="preserve">Diametro del cable de remolque </v>
      </c>
      <c r="C264" s="543"/>
      <c r="D264" s="543"/>
      <c r="E264" s="313">
        <f>F246</f>
        <v>12.282419418128352</v>
      </c>
      <c r="F264" s="313" t="str">
        <f>G246</f>
        <v>[mm]</v>
      </c>
      <c r="G264" s="300"/>
      <c r="H264" s="300"/>
      <c r="I264" s="320"/>
    </row>
    <row r="265" spans="1:9">
      <c r="A265" s="319"/>
      <c r="B265" s="543" t="str">
        <f>C248</f>
        <v xml:space="preserve">W unitario aire (Ww)= </v>
      </c>
      <c r="C265" s="543"/>
      <c r="D265" s="543"/>
      <c r="E265" s="252">
        <f>E248</f>
        <v>0.5921169700440545</v>
      </c>
      <c r="F265" s="347" t="str">
        <f>F248</f>
        <v>[Kg/m]</v>
      </c>
      <c r="G265" s="300"/>
      <c r="H265" s="300"/>
      <c r="I265" s="320"/>
    </row>
    <row r="266" spans="1:9">
      <c r="A266" s="319"/>
      <c r="B266" s="543" t="str">
        <f>C250</f>
        <v>W unitario agua (W wagua)</v>
      </c>
      <c r="C266" s="543"/>
      <c r="D266" s="543"/>
      <c r="E266" s="252">
        <f>AVERAGE(F252,F250)</f>
        <v>0.48762906778245874</v>
      </c>
      <c r="F266" s="347" t="str">
        <f>G252</f>
        <v>[Kg/m]</v>
      </c>
      <c r="G266" s="300"/>
      <c r="H266" s="300"/>
      <c r="I266" s="320"/>
    </row>
    <row r="267" spans="1:9">
      <c r="A267" s="319"/>
      <c r="B267" s="474" t="s">
        <v>929</v>
      </c>
      <c r="C267" s="474"/>
      <c r="D267" s="474"/>
      <c r="E267" s="198">
        <f>H123</f>
        <v>2200.4837134512982</v>
      </c>
      <c r="F267" s="347" t="s">
        <v>55</v>
      </c>
      <c r="G267" s="300"/>
      <c r="H267" s="300"/>
      <c r="I267" s="320"/>
    </row>
    <row r="268" spans="1:9">
      <c r="A268" s="319"/>
      <c r="B268" s="300"/>
      <c r="C268" s="300"/>
      <c r="D268" s="300"/>
      <c r="E268" s="300"/>
      <c r="F268" s="300"/>
      <c r="G268" s="300"/>
      <c r="H268" s="300"/>
      <c r="I268" s="320"/>
    </row>
    <row r="269" spans="1:9">
      <c r="A269" s="319"/>
      <c r="B269" s="300"/>
      <c r="C269" s="300"/>
      <c r="D269" s="300"/>
      <c r="E269" s="300"/>
      <c r="F269" s="300"/>
      <c r="G269" s="300"/>
      <c r="H269" s="300"/>
      <c r="I269" s="320"/>
    </row>
    <row r="270" spans="1:9">
      <c r="A270" s="319"/>
      <c r="B270" s="300"/>
      <c r="C270" s="300"/>
      <c r="D270" s="300"/>
      <c r="E270" s="300"/>
      <c r="F270" s="300"/>
      <c r="G270" s="300"/>
      <c r="H270" s="300"/>
      <c r="I270" s="320"/>
    </row>
    <row r="271" spans="1:9">
      <c r="A271" s="319"/>
      <c r="B271" s="543" t="s">
        <v>931</v>
      </c>
      <c r="C271" s="543"/>
      <c r="D271" s="347">
        <v>4</v>
      </c>
      <c r="E271" s="300"/>
      <c r="F271" s="300"/>
      <c r="G271" s="300"/>
      <c r="H271" s="300"/>
      <c r="I271" s="320"/>
    </row>
    <row r="272" spans="1:9">
      <c r="A272" s="319"/>
      <c r="B272" s="543" t="s">
        <v>930</v>
      </c>
      <c r="C272" s="543"/>
      <c r="D272" s="543"/>
      <c r="E272" s="198">
        <f>E267*D271</f>
        <v>8801.9348538051927</v>
      </c>
      <c r="F272" s="347" t="s">
        <v>55</v>
      </c>
      <c r="G272" s="300"/>
      <c r="H272" s="300"/>
      <c r="I272" s="320"/>
    </row>
    <row r="273" spans="1:9">
      <c r="A273" s="319"/>
      <c r="B273" s="300"/>
      <c r="C273" s="300"/>
      <c r="D273" s="300"/>
      <c r="E273" s="300"/>
      <c r="F273" s="300"/>
      <c r="G273" s="300"/>
      <c r="H273" s="300"/>
      <c r="I273" s="320"/>
    </row>
    <row r="274" spans="1:9" ht="15.75" thickBot="1">
      <c r="A274" s="321"/>
      <c r="B274" s="322"/>
      <c r="C274" s="322"/>
      <c r="D274" s="322"/>
      <c r="E274" s="322"/>
      <c r="F274" s="322"/>
      <c r="G274" s="322"/>
      <c r="H274" s="322"/>
      <c r="I274" s="323"/>
    </row>
  </sheetData>
  <mergeCells count="73">
    <mergeCell ref="A1:J2"/>
    <mergeCell ref="C85:H85"/>
    <mergeCell ref="C13:H13"/>
    <mergeCell ref="D15:G15"/>
    <mergeCell ref="A4:B4"/>
    <mergeCell ref="A8:E8"/>
    <mergeCell ref="A6:E6"/>
    <mergeCell ref="A7:E7"/>
    <mergeCell ref="C81:D81"/>
    <mergeCell ref="B76:D76"/>
    <mergeCell ref="A9:E9"/>
    <mergeCell ref="A10:E10"/>
    <mergeCell ref="C23:H23"/>
    <mergeCell ref="A11:E11"/>
    <mergeCell ref="C27:H27"/>
    <mergeCell ref="C31:H31"/>
    <mergeCell ref="C37:H37"/>
    <mergeCell ref="B65:I65"/>
    <mergeCell ref="B73:E73"/>
    <mergeCell ref="B74:E74"/>
    <mergeCell ref="C80:D80"/>
    <mergeCell ref="B103:D103"/>
    <mergeCell ref="B104:D104"/>
    <mergeCell ref="B105:D105"/>
    <mergeCell ref="B106:D106"/>
    <mergeCell ref="B107:D107"/>
    <mergeCell ref="B109:D109"/>
    <mergeCell ref="B110:D110"/>
    <mergeCell ref="B111:D111"/>
    <mergeCell ref="B112:D112"/>
    <mergeCell ref="E104:F104"/>
    <mergeCell ref="B108:D108"/>
    <mergeCell ref="H116:I116"/>
    <mergeCell ref="C130:H130"/>
    <mergeCell ref="B159:E159"/>
    <mergeCell ref="B160:E160"/>
    <mergeCell ref="B161:E161"/>
    <mergeCell ref="B153:D153"/>
    <mergeCell ref="B154:D154"/>
    <mergeCell ref="B155:D155"/>
    <mergeCell ref="B156:D156"/>
    <mergeCell ref="B157:D157"/>
    <mergeCell ref="B116:C116"/>
    <mergeCell ref="B158:D158"/>
    <mergeCell ref="B165:C165"/>
    <mergeCell ref="D166:E166"/>
    <mergeCell ref="F166:G166"/>
    <mergeCell ref="B184:C184"/>
    <mergeCell ref="A178:I178"/>
    <mergeCell ref="B185:C185"/>
    <mergeCell ref="C188:D188"/>
    <mergeCell ref="C190:H190"/>
    <mergeCell ref="B225:C225"/>
    <mergeCell ref="B207:C207"/>
    <mergeCell ref="C257:E257"/>
    <mergeCell ref="B241:H241"/>
    <mergeCell ref="B221:H221"/>
    <mergeCell ref="C202:G202"/>
    <mergeCell ref="C246:E246"/>
    <mergeCell ref="C250:E250"/>
    <mergeCell ref="C252:E252"/>
    <mergeCell ref="C248:D248"/>
    <mergeCell ref="C254:E254"/>
    <mergeCell ref="C255:E255"/>
    <mergeCell ref="C256:E256"/>
    <mergeCell ref="B271:C271"/>
    <mergeCell ref="B272:D272"/>
    <mergeCell ref="A261:I261"/>
    <mergeCell ref="B263:F263"/>
    <mergeCell ref="B264:D264"/>
    <mergeCell ref="B265:D265"/>
    <mergeCell ref="B266:D266"/>
    <mergeCell ref="B267:D267"/>
  </mergeCells>
  <dataValidations count="1">
    <dataValidation type="list" allowBlank="1" showInputMessage="1" showErrorMessage="1" sqref="D271">
      <formula1>"3,4,5,6,7"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Q383"/>
  <sheetViews>
    <sheetView tabSelected="1" topLeftCell="A290" workbookViewId="0">
      <selection activeCell="H130" sqref="H130"/>
    </sheetView>
  </sheetViews>
  <sheetFormatPr baseColWidth="10" defaultRowHeight="15"/>
  <cols>
    <col min="2" max="2" width="18.5703125" bestFit="1" customWidth="1"/>
    <col min="3" max="3" width="11.85546875" bestFit="1" customWidth="1"/>
    <col min="4" max="4" width="12" customWidth="1"/>
    <col min="7" max="8" width="11.85546875" bestFit="1" customWidth="1"/>
    <col min="10" max="10" width="11.85546875" bestFit="1" customWidth="1"/>
    <col min="11" max="11" width="11.42578125" customWidth="1"/>
  </cols>
  <sheetData>
    <row r="1" spans="1:13">
      <c r="A1" s="747" t="s">
        <v>137</v>
      </c>
      <c r="B1" s="747"/>
      <c r="C1" s="747"/>
      <c r="D1" s="747"/>
      <c r="E1" s="747"/>
      <c r="F1" s="747"/>
      <c r="G1" s="747"/>
      <c r="H1" s="747"/>
      <c r="I1" s="747"/>
      <c r="J1" s="747"/>
      <c r="K1" s="747"/>
      <c r="L1" s="747"/>
      <c r="M1" s="747"/>
    </row>
    <row r="2" spans="1:13">
      <c r="A2" s="748" t="s">
        <v>141</v>
      </c>
      <c r="B2" s="748"/>
      <c r="C2" s="748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>
      <c r="A3" s="748"/>
      <c r="B3" s="748"/>
      <c r="C3" s="748"/>
      <c r="D3" s="44"/>
      <c r="E3" s="44"/>
      <c r="F3" s="44"/>
      <c r="G3" s="44"/>
      <c r="H3" s="44"/>
      <c r="I3" s="44"/>
      <c r="J3" s="44"/>
      <c r="K3" s="44"/>
      <c r="L3" s="44"/>
      <c r="M3" s="44"/>
    </row>
    <row r="4" spans="1:13">
      <c r="A4" s="48"/>
      <c r="B4" s="48"/>
      <c r="C4" s="48"/>
      <c r="D4" s="44"/>
      <c r="E4" s="44"/>
      <c r="F4" s="44"/>
      <c r="G4" s="44"/>
      <c r="H4" s="44"/>
      <c r="I4" s="44"/>
      <c r="J4" s="44"/>
      <c r="K4" s="44"/>
      <c r="L4" s="44"/>
      <c r="M4" s="44"/>
    </row>
    <row r="5" spans="1:13" ht="18">
      <c r="A5" s="749" t="s">
        <v>138</v>
      </c>
      <c r="B5" s="749"/>
      <c r="C5" s="48"/>
      <c r="D5" s="44"/>
      <c r="E5" s="44"/>
      <c r="F5" s="44"/>
      <c r="G5" s="44"/>
      <c r="H5" s="44"/>
      <c r="I5" s="44"/>
      <c r="J5" s="44"/>
      <c r="K5" s="44"/>
      <c r="L5" s="44"/>
      <c r="M5" s="44"/>
    </row>
    <row r="6" spans="1:13" ht="18">
      <c r="A6" s="49" t="s">
        <v>139</v>
      </c>
      <c r="B6" s="49">
        <v>10</v>
      </c>
      <c r="C6" s="48"/>
      <c r="D6" s="44"/>
      <c r="E6" s="44"/>
      <c r="F6" s="44"/>
      <c r="G6" s="44"/>
      <c r="H6" s="44"/>
      <c r="I6" s="44"/>
      <c r="J6" s="44"/>
      <c r="K6" s="44"/>
      <c r="L6" s="44"/>
      <c r="M6" s="44"/>
    </row>
    <row r="7" spans="1:13" ht="18">
      <c r="A7" s="49" t="s">
        <v>140</v>
      </c>
      <c r="B7" s="49">
        <v>15</v>
      </c>
      <c r="C7" s="48"/>
      <c r="D7" s="44"/>
      <c r="E7" s="44"/>
      <c r="F7" s="44"/>
      <c r="G7" s="44"/>
      <c r="H7" s="44"/>
      <c r="I7" s="44"/>
      <c r="J7" s="44"/>
      <c r="K7" s="44"/>
      <c r="L7" s="44"/>
      <c r="M7" s="44"/>
    </row>
    <row r="8" spans="1:13">
      <c r="A8" s="48"/>
      <c r="B8" s="48"/>
      <c r="C8" s="48"/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1:13">
      <c r="A9" s="48"/>
      <c r="B9" s="48"/>
      <c r="C9" s="48"/>
      <c r="D9" s="44"/>
      <c r="E9" s="44"/>
      <c r="F9" s="44"/>
      <c r="G9" s="44"/>
      <c r="H9" s="44"/>
      <c r="I9" s="44"/>
      <c r="J9" s="44"/>
      <c r="K9" s="44"/>
      <c r="L9" s="44"/>
      <c r="M9" s="44"/>
    </row>
    <row r="10" spans="1:13">
      <c r="A10" s="48"/>
      <c r="B10" s="48"/>
      <c r="C10" s="48"/>
      <c r="D10" s="44"/>
      <c r="E10" s="44"/>
      <c r="F10" s="44"/>
      <c r="G10" s="44"/>
      <c r="H10" s="44"/>
      <c r="I10" s="44"/>
      <c r="J10" s="44"/>
      <c r="K10" s="44"/>
      <c r="L10" s="44"/>
      <c r="M10" s="44"/>
    </row>
    <row r="11" spans="1:13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</row>
    <row r="12" spans="1:13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</row>
    <row r="13" spans="1:13" ht="15.75" thickBot="1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</row>
    <row r="14" spans="1:13" ht="15.75" thickBot="1">
      <c r="A14" s="750" t="s">
        <v>156</v>
      </c>
      <c r="B14" s="751"/>
      <c r="C14" s="751"/>
      <c r="D14" s="752"/>
      <c r="E14" s="752"/>
      <c r="F14" s="752"/>
      <c r="G14" s="752"/>
      <c r="H14" s="752"/>
      <c r="I14" s="752"/>
      <c r="J14" s="752"/>
      <c r="K14" s="753"/>
      <c r="L14" s="35"/>
      <c r="M14" s="44"/>
    </row>
    <row r="15" spans="1:13">
      <c r="A15" s="752"/>
      <c r="B15" s="752"/>
      <c r="C15" s="752"/>
      <c r="D15" s="55" t="s">
        <v>127</v>
      </c>
      <c r="E15" s="55" t="s">
        <v>128</v>
      </c>
      <c r="F15" s="55" t="s">
        <v>129</v>
      </c>
      <c r="G15" s="55" t="s">
        <v>130</v>
      </c>
      <c r="H15" s="55" t="s">
        <v>131</v>
      </c>
      <c r="I15" s="55" t="s">
        <v>132</v>
      </c>
      <c r="J15" s="55" t="s">
        <v>133</v>
      </c>
      <c r="K15" s="55" t="s">
        <v>134</v>
      </c>
      <c r="L15" s="55" t="s">
        <v>135</v>
      </c>
      <c r="M15" s="44"/>
    </row>
    <row r="16" spans="1:13">
      <c r="A16" s="754" t="s">
        <v>161</v>
      </c>
      <c r="B16" s="754"/>
      <c r="C16" s="754"/>
      <c r="D16" s="55">
        <v>0.74</v>
      </c>
      <c r="E16" s="55">
        <v>0.62</v>
      </c>
      <c r="F16" s="55">
        <v>0.83</v>
      </c>
      <c r="G16" s="55">
        <v>1.07</v>
      </c>
      <c r="H16" s="55">
        <v>0.27</v>
      </c>
      <c r="I16" s="55">
        <v>0.4</v>
      </c>
      <c r="J16" s="55">
        <v>0.41</v>
      </c>
      <c r="K16" s="55">
        <v>0.21</v>
      </c>
      <c r="L16" s="55">
        <v>0.11</v>
      </c>
      <c r="M16" s="44"/>
    </row>
    <row r="17" spans="1:13">
      <c r="A17" s="754" t="s">
        <v>161</v>
      </c>
      <c r="B17" s="754"/>
      <c r="C17" s="754"/>
      <c r="D17" s="55">
        <v>0.71</v>
      </c>
      <c r="E17" s="55">
        <v>0.6</v>
      </c>
      <c r="F17" s="55">
        <v>0.83</v>
      </c>
      <c r="G17" s="55">
        <v>1.1200000000000001</v>
      </c>
      <c r="H17" s="55">
        <v>0.25</v>
      </c>
      <c r="I17" s="55">
        <v>0.41</v>
      </c>
      <c r="J17" s="55">
        <v>0.31</v>
      </c>
      <c r="K17" s="55">
        <v>0.28000000000000003</v>
      </c>
      <c r="L17" s="55">
        <v>0.14000000000000001</v>
      </c>
      <c r="M17" s="44"/>
    </row>
    <row r="18" spans="1:13">
      <c r="A18" s="754" t="s">
        <v>162</v>
      </c>
      <c r="B18" s="754"/>
      <c r="C18" s="754"/>
      <c r="D18" s="55">
        <v>0.8</v>
      </c>
      <c r="E18" s="55">
        <v>0.68</v>
      </c>
      <c r="F18" s="55">
        <v>0.85</v>
      </c>
      <c r="G18" s="55">
        <v>10.6</v>
      </c>
      <c r="H18" s="55">
        <v>0.35</v>
      </c>
      <c r="I18" s="55">
        <v>0.46</v>
      </c>
      <c r="J18" s="55">
        <v>0.36</v>
      </c>
      <c r="K18" s="55">
        <v>0.18</v>
      </c>
      <c r="L18" s="55">
        <v>0.1</v>
      </c>
      <c r="M18" s="44"/>
    </row>
    <row r="19" spans="1:13">
      <c r="A19" s="754" t="s">
        <v>163</v>
      </c>
      <c r="B19" s="754"/>
      <c r="C19" s="754"/>
      <c r="D19" s="55">
        <v>0.78</v>
      </c>
      <c r="E19" s="55">
        <v>0.57999999999999996</v>
      </c>
      <c r="F19" s="55">
        <v>0.74</v>
      </c>
      <c r="G19" s="55">
        <v>1.18</v>
      </c>
      <c r="H19" s="55">
        <v>0.24</v>
      </c>
      <c r="I19" s="55">
        <v>0.33</v>
      </c>
      <c r="J19" s="55">
        <v>0.44</v>
      </c>
      <c r="K19" s="55">
        <v>0.23</v>
      </c>
      <c r="L19" s="55">
        <v>0.1</v>
      </c>
      <c r="M19" s="44"/>
    </row>
    <row r="20" spans="1:13">
      <c r="A20" s="754" t="s">
        <v>164</v>
      </c>
      <c r="B20" s="754"/>
      <c r="C20" s="754"/>
      <c r="D20" s="55">
        <v>0.79</v>
      </c>
      <c r="E20" s="55">
        <v>0.69</v>
      </c>
      <c r="F20" s="55">
        <v>0.87</v>
      </c>
      <c r="G20" s="55">
        <v>1.02</v>
      </c>
      <c r="H20" s="55">
        <v>0.35</v>
      </c>
      <c r="I20" s="55">
        <v>0.47</v>
      </c>
      <c r="J20" s="55">
        <v>0.33</v>
      </c>
      <c r="K20" s="55">
        <v>0.21</v>
      </c>
      <c r="L20" s="55">
        <v>0.12</v>
      </c>
      <c r="M20" s="44"/>
    </row>
    <row r="21" spans="1:13">
      <c r="A21" s="754" t="s">
        <v>165</v>
      </c>
      <c r="B21" s="754"/>
      <c r="C21" s="754"/>
      <c r="D21" s="55">
        <v>0.69</v>
      </c>
      <c r="E21" s="55">
        <v>0.57999999999999996</v>
      </c>
      <c r="F21" s="55">
        <v>0.86</v>
      </c>
      <c r="G21" s="55">
        <v>10.6</v>
      </c>
      <c r="H21" s="55">
        <v>0.28000000000000003</v>
      </c>
      <c r="I21" s="55">
        <v>0.57999999999999996</v>
      </c>
      <c r="J21" s="55">
        <v>0.33</v>
      </c>
      <c r="K21" s="55">
        <v>0.08</v>
      </c>
      <c r="L21" s="55">
        <v>0.28000000000000003</v>
      </c>
      <c r="M21" s="44"/>
    </row>
    <row r="22" spans="1:13">
      <c r="A22" s="754" t="s">
        <v>166</v>
      </c>
      <c r="B22" s="754"/>
      <c r="C22" s="754"/>
      <c r="D22" s="55">
        <v>0.87</v>
      </c>
      <c r="E22" s="55">
        <v>0.93</v>
      </c>
      <c r="F22" s="55">
        <v>1.19</v>
      </c>
      <c r="G22" s="55">
        <v>0.61</v>
      </c>
      <c r="H22" s="55">
        <v>0.54</v>
      </c>
      <c r="I22" s="55">
        <v>0.65</v>
      </c>
      <c r="J22" s="55">
        <v>0.27</v>
      </c>
      <c r="K22" s="55">
        <v>0.1</v>
      </c>
      <c r="L22" s="55">
        <v>0.11</v>
      </c>
      <c r="M22" s="44"/>
    </row>
    <row r="23" spans="1:13">
      <c r="A23" s="754" t="s">
        <v>167</v>
      </c>
      <c r="B23" s="754"/>
      <c r="C23" s="754"/>
      <c r="D23" s="55">
        <v>0.82</v>
      </c>
      <c r="E23" s="55">
        <v>0.84</v>
      </c>
      <c r="F23" s="55">
        <v>1.02</v>
      </c>
      <c r="G23" s="55">
        <v>1.22</v>
      </c>
      <c r="H23" s="55">
        <v>0.4</v>
      </c>
      <c r="I23" s="55">
        <v>0.47</v>
      </c>
      <c r="J23" s="55">
        <v>0.36</v>
      </c>
      <c r="K23" s="55">
        <v>0.17</v>
      </c>
      <c r="L23" s="55">
        <v>0.15</v>
      </c>
      <c r="M23" s="44"/>
    </row>
    <row r="24" spans="1:13">
      <c r="A24" s="754" t="s">
        <v>168</v>
      </c>
      <c r="B24" s="754"/>
      <c r="C24" s="754"/>
      <c r="D24" s="55">
        <v>0.87</v>
      </c>
      <c r="E24" s="55">
        <v>0.72</v>
      </c>
      <c r="F24" s="55">
        <v>0.82</v>
      </c>
      <c r="G24" s="55">
        <v>1.56</v>
      </c>
      <c r="H24" s="55">
        <v>0.2</v>
      </c>
      <c r="I24" s="55">
        <v>0.26</v>
      </c>
      <c r="J24" s="55">
        <v>0.39</v>
      </c>
      <c r="K24" s="55">
        <v>0.27</v>
      </c>
      <c r="L24" s="55">
        <v>0.1</v>
      </c>
      <c r="M24" s="44"/>
    </row>
    <row r="25" spans="1:13">
      <c r="A25" s="754" t="s">
        <v>169</v>
      </c>
      <c r="B25" s="754"/>
      <c r="C25" s="754"/>
      <c r="D25" s="55">
        <v>1</v>
      </c>
      <c r="E25" s="55">
        <v>0.39</v>
      </c>
      <c r="F25" s="55">
        <v>0.39</v>
      </c>
      <c r="G25" s="55">
        <v>2.4900000000000002</v>
      </c>
      <c r="H25" s="55">
        <v>0.13</v>
      </c>
      <c r="I25" s="55">
        <v>0.13</v>
      </c>
      <c r="J25" s="55">
        <v>0.53</v>
      </c>
      <c r="K25" s="55">
        <v>0.34</v>
      </c>
      <c r="L25" s="55" t="s">
        <v>170</v>
      </c>
      <c r="M25" s="44"/>
    </row>
    <row r="26" spans="1:13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</row>
    <row r="27" spans="1:13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</row>
    <row r="28" spans="1:13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</row>
    <row r="29" spans="1:13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</row>
    <row r="30" spans="1:13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</row>
    <row r="31" spans="1:13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</row>
    <row r="32" spans="1:13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</row>
    <row r="33" spans="1:13">
      <c r="A33" s="496" t="s">
        <v>241</v>
      </c>
      <c r="B33" s="496"/>
      <c r="C33" s="496"/>
      <c r="D33" s="496"/>
      <c r="E33" s="496"/>
      <c r="F33" s="496"/>
      <c r="G33" s="5"/>
      <c r="H33" s="5"/>
      <c r="I33" s="5"/>
      <c r="J33" s="5"/>
      <c r="K33" s="5"/>
      <c r="L33" s="44"/>
      <c r="M33" s="44"/>
    </row>
    <row r="34" spans="1:13" ht="17.25">
      <c r="A34" s="11"/>
      <c r="B34" s="11" t="s">
        <v>240</v>
      </c>
      <c r="C34" s="11"/>
      <c r="D34" s="11"/>
      <c r="E34" s="11"/>
      <c r="F34" s="11" t="s">
        <v>257</v>
      </c>
      <c r="G34" s="481" t="s">
        <v>244</v>
      </c>
      <c r="H34" s="481"/>
      <c r="I34" s="481" t="s">
        <v>244</v>
      </c>
      <c r="J34" s="481"/>
      <c r="K34" s="5"/>
      <c r="L34" s="44"/>
      <c r="M34" s="44"/>
    </row>
    <row r="35" spans="1:13">
      <c r="A35" s="11" t="s">
        <v>0</v>
      </c>
      <c r="B35" s="11" t="s">
        <v>242</v>
      </c>
      <c r="C35" s="755" t="s">
        <v>235</v>
      </c>
      <c r="D35" s="755"/>
      <c r="E35" s="76" t="s">
        <v>256</v>
      </c>
      <c r="F35" s="76" t="s">
        <v>258</v>
      </c>
      <c r="G35" s="481" t="s">
        <v>243</v>
      </c>
      <c r="H35" s="481"/>
      <c r="I35" s="481" t="s">
        <v>245</v>
      </c>
      <c r="J35" s="481"/>
      <c r="K35" s="5"/>
      <c r="L35" s="44"/>
      <c r="M35" s="44"/>
    </row>
    <row r="36" spans="1:13">
      <c r="A36" s="11" t="s">
        <v>1</v>
      </c>
      <c r="B36" s="11">
        <v>1140</v>
      </c>
      <c r="C36" s="755">
        <v>780</v>
      </c>
      <c r="D36" s="755"/>
      <c r="E36" s="76">
        <v>1280</v>
      </c>
      <c r="F36" s="76">
        <v>1.37</v>
      </c>
      <c r="G36" s="481">
        <v>0.1</v>
      </c>
      <c r="H36" s="481"/>
      <c r="I36" s="755">
        <v>0.12</v>
      </c>
      <c r="J36" s="755"/>
      <c r="K36" s="5"/>
      <c r="L36" s="44"/>
      <c r="M36" s="44"/>
    </row>
    <row r="37" spans="1:13">
      <c r="A37" s="11" t="s">
        <v>1</v>
      </c>
      <c r="B37" s="11">
        <v>1140</v>
      </c>
      <c r="C37" s="755">
        <v>1050</v>
      </c>
      <c r="D37" s="755"/>
      <c r="E37" s="76">
        <v>950</v>
      </c>
      <c r="F37" s="76">
        <v>1.1599999999999999</v>
      </c>
      <c r="G37" s="481"/>
      <c r="H37" s="481"/>
      <c r="I37" s="755"/>
      <c r="J37" s="755"/>
      <c r="K37" s="5"/>
      <c r="L37" s="44"/>
      <c r="M37" s="44"/>
    </row>
    <row r="38" spans="1:13">
      <c r="A38" s="11"/>
      <c r="B38" s="11"/>
      <c r="C38" s="755"/>
      <c r="D38" s="755"/>
      <c r="E38" s="76"/>
      <c r="F38" s="76"/>
      <c r="G38" s="481"/>
      <c r="H38" s="481"/>
      <c r="I38" s="755"/>
      <c r="J38" s="755"/>
      <c r="K38" s="5"/>
      <c r="L38" s="44"/>
      <c r="M38" s="44"/>
    </row>
    <row r="39" spans="1:13">
      <c r="A39" s="11"/>
      <c r="B39" s="11"/>
      <c r="C39" s="755"/>
      <c r="D39" s="755"/>
      <c r="E39" s="76"/>
      <c r="F39" s="76"/>
      <c r="G39" s="481"/>
      <c r="H39" s="481"/>
      <c r="I39" s="755"/>
      <c r="J39" s="755"/>
      <c r="K39" s="5"/>
      <c r="L39" s="44"/>
      <c r="M39" s="44"/>
    </row>
    <row r="40" spans="1:13">
      <c r="A40" s="11"/>
      <c r="B40" s="11"/>
      <c r="C40" s="755"/>
      <c r="D40" s="755"/>
      <c r="E40" s="76"/>
      <c r="F40" s="76"/>
      <c r="G40" s="481"/>
      <c r="H40" s="481"/>
      <c r="I40" s="755"/>
      <c r="J40" s="755"/>
      <c r="K40" s="5"/>
      <c r="L40" s="44"/>
      <c r="M40" s="44"/>
    </row>
    <row r="41" spans="1:13">
      <c r="A41" s="11"/>
      <c r="B41" s="11"/>
      <c r="C41" s="755"/>
      <c r="D41" s="755"/>
      <c r="E41" s="76"/>
      <c r="F41" s="76"/>
      <c r="G41" s="481"/>
      <c r="H41" s="481"/>
      <c r="I41" s="755"/>
      <c r="J41" s="755"/>
      <c r="K41" s="5"/>
      <c r="L41" s="44"/>
      <c r="M41" s="44"/>
    </row>
    <row r="42" spans="1:13">
      <c r="A42" s="5"/>
      <c r="B42" s="5"/>
      <c r="C42" s="758"/>
      <c r="D42" s="758"/>
      <c r="E42" s="758"/>
      <c r="F42" s="758"/>
      <c r="G42" s="496"/>
      <c r="H42" s="496"/>
      <c r="I42" s="758"/>
      <c r="J42" s="758"/>
      <c r="K42" s="5"/>
      <c r="L42" s="44"/>
      <c r="M42" s="44"/>
    </row>
    <row r="43" spans="1:1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</row>
    <row r="44" spans="1:13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</row>
    <row r="45" spans="1:13">
      <c r="A45" s="747" t="s">
        <v>399</v>
      </c>
      <c r="B45" s="747"/>
      <c r="C45" s="747"/>
      <c r="D45" s="747"/>
      <c r="E45" s="747"/>
      <c r="F45" s="747"/>
      <c r="G45" s="747"/>
      <c r="H45" s="747"/>
      <c r="I45" s="747"/>
      <c r="J45" s="747"/>
      <c r="K45" s="44"/>
      <c r="L45" s="44"/>
      <c r="M45" s="44"/>
    </row>
    <row r="46" spans="1:13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</row>
    <row r="47" spans="1:13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</row>
    <row r="48" spans="1:13">
      <c r="A48" s="757" t="s">
        <v>400</v>
      </c>
      <c r="B48" s="757"/>
      <c r="C48" s="189" t="s">
        <v>236</v>
      </c>
      <c r="D48" s="195" t="s">
        <v>450</v>
      </c>
      <c r="E48" s="192" t="s">
        <v>483</v>
      </c>
      <c r="F48" t="s">
        <v>482</v>
      </c>
      <c r="G48" s="44"/>
      <c r="H48" s="44"/>
      <c r="I48" s="44"/>
    </row>
    <row r="49" spans="1:9">
      <c r="A49" s="756">
        <v>1</v>
      </c>
      <c r="B49" s="756"/>
      <c r="C49" s="189" t="s">
        <v>401</v>
      </c>
      <c r="D49" s="196">
        <f>1/1</f>
        <v>1</v>
      </c>
      <c r="E49" s="192">
        <v>1</v>
      </c>
      <c r="F49">
        <v>1</v>
      </c>
      <c r="G49" s="44"/>
      <c r="H49" s="44"/>
      <c r="I49" s="44"/>
    </row>
    <row r="50" spans="1:9">
      <c r="A50" s="756">
        <v>0.5</v>
      </c>
      <c r="B50" s="756"/>
      <c r="C50" s="189" t="s">
        <v>239</v>
      </c>
      <c r="D50" s="196">
        <f>1/2</f>
        <v>0.5</v>
      </c>
      <c r="E50" s="192">
        <v>1</v>
      </c>
      <c r="F50">
        <v>2</v>
      </c>
      <c r="G50" s="44"/>
      <c r="H50" s="44"/>
      <c r="I50" s="44"/>
    </row>
    <row r="51" spans="1:9">
      <c r="A51" s="756">
        <f>1/3</f>
        <v>0.33333333333333331</v>
      </c>
      <c r="B51" s="756"/>
      <c r="C51" s="189" t="s">
        <v>402</v>
      </c>
      <c r="D51" s="196">
        <f>1/3</f>
        <v>0.33333333333333331</v>
      </c>
      <c r="E51" s="192">
        <v>1</v>
      </c>
      <c r="F51">
        <v>3</v>
      </c>
      <c r="G51" s="44"/>
      <c r="H51" s="165"/>
      <c r="I51" s="44"/>
    </row>
    <row r="52" spans="1:9">
      <c r="A52" s="756">
        <f>1/4</f>
        <v>0.25</v>
      </c>
      <c r="B52" s="756"/>
      <c r="C52" s="189" t="s">
        <v>403</v>
      </c>
      <c r="D52" s="196">
        <f>1/4</f>
        <v>0.25</v>
      </c>
      <c r="E52" s="192">
        <v>1</v>
      </c>
      <c r="F52">
        <v>4</v>
      </c>
      <c r="G52" s="44"/>
      <c r="H52" s="44"/>
      <c r="I52" s="44"/>
    </row>
    <row r="53" spans="1:9">
      <c r="A53" s="756">
        <f>1/5</f>
        <v>0.2</v>
      </c>
      <c r="B53" s="756"/>
      <c r="C53" s="189" t="s">
        <v>404</v>
      </c>
      <c r="D53" s="196">
        <f>1/5</f>
        <v>0.2</v>
      </c>
      <c r="E53" s="192">
        <v>1</v>
      </c>
      <c r="F53">
        <v>5</v>
      </c>
      <c r="G53" s="44"/>
      <c r="H53" s="44"/>
      <c r="I53" s="44"/>
    </row>
    <row r="54" spans="1:9">
      <c r="A54" s="756">
        <f>1/6</f>
        <v>0.16666666666666666</v>
      </c>
      <c r="B54" s="756"/>
      <c r="C54" s="189" t="s">
        <v>407</v>
      </c>
      <c r="D54" s="196">
        <v>0.67</v>
      </c>
      <c r="E54" s="192">
        <v>1</v>
      </c>
      <c r="F54">
        <v>6</v>
      </c>
      <c r="G54" s="44"/>
      <c r="H54" s="44"/>
      <c r="I54" s="44"/>
    </row>
    <row r="55" spans="1:9">
      <c r="A55" s="756">
        <f>1/7</f>
        <v>0.14285714285714285</v>
      </c>
      <c r="B55" s="756"/>
      <c r="C55" s="189" t="s">
        <v>408</v>
      </c>
      <c r="D55" s="196">
        <v>0.67</v>
      </c>
      <c r="E55" s="192">
        <v>1</v>
      </c>
      <c r="F55">
        <v>7</v>
      </c>
      <c r="G55" s="44"/>
      <c r="H55" s="44"/>
      <c r="I55" s="44"/>
    </row>
    <row r="56" spans="1:9">
      <c r="A56" s="756">
        <f>1/8</f>
        <v>0.125</v>
      </c>
      <c r="B56" s="756"/>
      <c r="C56" s="189" t="s">
        <v>409</v>
      </c>
      <c r="D56" s="196"/>
      <c r="E56" s="192">
        <v>1</v>
      </c>
      <c r="F56">
        <v>8</v>
      </c>
      <c r="G56" s="44"/>
      <c r="H56" s="44"/>
      <c r="I56" s="44"/>
    </row>
    <row r="57" spans="1:9">
      <c r="A57" s="756">
        <f>1/9</f>
        <v>0.1111111111111111</v>
      </c>
      <c r="B57" s="756"/>
      <c r="C57" s="189" t="s">
        <v>410</v>
      </c>
      <c r="D57" s="196">
        <v>0.65</v>
      </c>
      <c r="E57" s="192">
        <v>1</v>
      </c>
      <c r="F57">
        <v>9</v>
      </c>
      <c r="G57" s="44"/>
      <c r="H57" s="44"/>
      <c r="I57" s="44"/>
    </row>
    <row r="58" spans="1:9">
      <c r="A58" s="756">
        <f>1/10</f>
        <v>0.1</v>
      </c>
      <c r="B58" s="756"/>
      <c r="C58" s="189" t="s">
        <v>411</v>
      </c>
      <c r="D58" s="196"/>
      <c r="E58" s="192">
        <v>1</v>
      </c>
      <c r="F58">
        <v>10</v>
      </c>
      <c r="G58" s="44"/>
      <c r="H58" s="44"/>
      <c r="I58" s="44"/>
    </row>
    <row r="59" spans="1:9">
      <c r="A59" s="756">
        <f>1/11</f>
        <v>9.0909090909090912E-2</v>
      </c>
      <c r="B59" s="756"/>
      <c r="C59" s="190" t="s">
        <v>412</v>
      </c>
      <c r="D59" s="196"/>
      <c r="E59" s="192">
        <v>1</v>
      </c>
      <c r="F59">
        <v>11</v>
      </c>
    </row>
    <row r="60" spans="1:9">
      <c r="A60" s="756">
        <f>1/12</f>
        <v>8.3333333333333329E-2</v>
      </c>
      <c r="B60" s="756"/>
      <c r="C60" s="190" t="s">
        <v>413</v>
      </c>
      <c r="D60" s="196"/>
      <c r="E60" s="192">
        <v>1</v>
      </c>
      <c r="F60">
        <v>12</v>
      </c>
    </row>
    <row r="61" spans="1:9">
      <c r="A61" s="756">
        <f>1/13</f>
        <v>7.6923076923076927E-2</v>
      </c>
      <c r="B61" s="756"/>
      <c r="C61" s="190" t="s">
        <v>414</v>
      </c>
      <c r="D61" s="196"/>
      <c r="E61" s="192">
        <v>1</v>
      </c>
      <c r="F61">
        <v>13</v>
      </c>
    </row>
    <row r="62" spans="1:9">
      <c r="A62" s="756">
        <f>1/14</f>
        <v>7.1428571428571425E-2</v>
      </c>
      <c r="B62" s="756"/>
      <c r="C62" s="190" t="s">
        <v>415</v>
      </c>
      <c r="D62" s="196"/>
      <c r="E62" s="192">
        <v>1</v>
      </c>
      <c r="F62">
        <v>14</v>
      </c>
    </row>
    <row r="63" spans="1:9">
      <c r="A63" s="756">
        <f>1/15</f>
        <v>6.6666666666666666E-2</v>
      </c>
      <c r="B63" s="756"/>
      <c r="C63" s="190" t="s">
        <v>416</v>
      </c>
      <c r="D63" s="196"/>
      <c r="E63" s="192">
        <v>1</v>
      </c>
      <c r="F63">
        <v>15</v>
      </c>
    </row>
    <row r="64" spans="1:9">
      <c r="A64" s="756">
        <f>1/16</f>
        <v>6.25E-2</v>
      </c>
      <c r="B64" s="756"/>
      <c r="C64" s="190" t="s">
        <v>417</v>
      </c>
      <c r="D64" s="196"/>
      <c r="E64" s="192">
        <v>1</v>
      </c>
      <c r="F64">
        <v>16</v>
      </c>
    </row>
    <row r="65" spans="1:6">
      <c r="A65" s="756">
        <f>1/17</f>
        <v>5.8823529411764705E-2</v>
      </c>
      <c r="B65" s="756"/>
      <c r="C65" s="190" t="s">
        <v>418</v>
      </c>
      <c r="D65" s="196"/>
      <c r="E65" s="192">
        <v>1</v>
      </c>
      <c r="F65">
        <v>17</v>
      </c>
    </row>
    <row r="66" spans="1:6">
      <c r="A66" s="756">
        <f>1/18</f>
        <v>5.5555555555555552E-2</v>
      </c>
      <c r="B66" s="756"/>
      <c r="C66" s="190" t="s">
        <v>419</v>
      </c>
      <c r="D66" s="196"/>
      <c r="E66" s="192">
        <v>1</v>
      </c>
      <c r="F66">
        <v>18</v>
      </c>
    </row>
    <row r="67" spans="1:6">
      <c r="A67" s="756">
        <f>1/19</f>
        <v>5.2631578947368418E-2</v>
      </c>
      <c r="B67" s="756"/>
      <c r="C67" s="190" t="s">
        <v>420</v>
      </c>
      <c r="D67" s="196"/>
      <c r="E67" s="192">
        <v>1</v>
      </c>
      <c r="F67">
        <v>19</v>
      </c>
    </row>
    <row r="68" spans="1:6">
      <c r="A68" s="756">
        <f>1/20</f>
        <v>0.05</v>
      </c>
      <c r="B68" s="756"/>
      <c r="C68" s="190" t="s">
        <v>421</v>
      </c>
      <c r="D68" s="196"/>
      <c r="E68" s="192">
        <v>1</v>
      </c>
      <c r="F68">
        <v>20</v>
      </c>
    </row>
    <row r="69" spans="1:6">
      <c r="A69" s="756" t="s">
        <v>423</v>
      </c>
      <c r="B69" s="756"/>
      <c r="C69" s="189" t="s">
        <v>441</v>
      </c>
      <c r="D69" s="196"/>
      <c r="E69" s="192"/>
    </row>
    <row r="70" spans="1:6">
      <c r="A70" s="756" t="s">
        <v>422</v>
      </c>
      <c r="B70" s="756"/>
      <c r="C70" s="191" t="s">
        <v>401</v>
      </c>
      <c r="D70" s="196"/>
      <c r="E70" s="194"/>
    </row>
    <row r="71" spans="1:6">
      <c r="A71" s="756">
        <f>2/3</f>
        <v>0.66666666666666663</v>
      </c>
      <c r="B71" s="756"/>
      <c r="C71" s="189" t="s">
        <v>442</v>
      </c>
      <c r="D71" s="196">
        <f>2/3</f>
        <v>0.66666666666666663</v>
      </c>
      <c r="E71" s="192"/>
    </row>
    <row r="72" spans="1:6">
      <c r="A72" s="756" t="s">
        <v>424</v>
      </c>
      <c r="B72" s="756"/>
      <c r="C72" s="189" t="s">
        <v>239</v>
      </c>
      <c r="D72" s="196">
        <f>2/4</f>
        <v>0.5</v>
      </c>
      <c r="E72" s="192"/>
    </row>
    <row r="73" spans="1:6">
      <c r="A73" s="756" t="s">
        <v>425</v>
      </c>
      <c r="B73" s="756"/>
      <c r="C73" s="189"/>
      <c r="D73" s="196"/>
      <c r="E73" s="192"/>
    </row>
    <row r="74" spans="1:6">
      <c r="A74" s="756" t="s">
        <v>426</v>
      </c>
      <c r="B74" s="756"/>
      <c r="C74" s="189"/>
      <c r="D74" s="196"/>
      <c r="E74" s="192"/>
    </row>
    <row r="75" spans="1:6">
      <c r="A75" s="756" t="s">
        <v>427</v>
      </c>
      <c r="B75" s="756"/>
      <c r="C75" s="189"/>
      <c r="D75" s="196"/>
      <c r="E75" s="192"/>
    </row>
    <row r="76" spans="1:6">
      <c r="A76" s="756" t="s">
        <v>428</v>
      </c>
      <c r="B76" s="756"/>
      <c r="C76" s="189"/>
      <c r="D76" s="196"/>
      <c r="E76" s="192"/>
    </row>
    <row r="77" spans="1:6">
      <c r="A77" s="756" t="s">
        <v>429</v>
      </c>
      <c r="B77" s="756"/>
      <c r="C77" s="189"/>
      <c r="D77" s="196"/>
      <c r="E77" s="192"/>
    </row>
    <row r="78" spans="1:6">
      <c r="A78" s="756" t="s">
        <v>430</v>
      </c>
      <c r="B78" s="756"/>
      <c r="C78" s="189"/>
      <c r="D78" s="196"/>
      <c r="E78" s="192"/>
    </row>
    <row r="79" spans="1:6">
      <c r="A79" s="756" t="s">
        <v>431</v>
      </c>
      <c r="B79" s="756"/>
      <c r="C79" s="190"/>
      <c r="D79" s="196"/>
      <c r="E79" s="193"/>
    </row>
    <row r="80" spans="1:6">
      <c r="A80" s="756" t="s">
        <v>432</v>
      </c>
      <c r="B80" s="756"/>
      <c r="C80" s="190"/>
      <c r="D80" s="196"/>
      <c r="E80" s="193"/>
    </row>
    <row r="81" spans="1:26">
      <c r="A81" s="756" t="s">
        <v>433</v>
      </c>
      <c r="B81" s="756"/>
      <c r="C81" s="190"/>
      <c r="D81" s="196"/>
      <c r="E81" s="193"/>
    </row>
    <row r="82" spans="1:26">
      <c r="A82" s="756" t="s">
        <v>434</v>
      </c>
      <c r="B82" s="756"/>
      <c r="C82" s="190"/>
      <c r="D82" s="196"/>
      <c r="E82" s="193"/>
    </row>
    <row r="83" spans="1:26">
      <c r="A83" s="756" t="s">
        <v>435</v>
      </c>
      <c r="B83" s="756"/>
      <c r="C83" s="190"/>
      <c r="D83" s="196"/>
      <c r="E83" s="193"/>
    </row>
    <row r="84" spans="1:26">
      <c r="A84" s="756" t="s">
        <v>436</v>
      </c>
      <c r="B84" s="756"/>
      <c r="C84" s="190"/>
      <c r="D84" s="196"/>
      <c r="E84" s="193"/>
    </row>
    <row r="85" spans="1:26">
      <c r="A85" s="756" t="s">
        <v>437</v>
      </c>
      <c r="B85" s="756"/>
      <c r="C85" s="190"/>
      <c r="D85" s="196"/>
      <c r="E85" s="193"/>
    </row>
    <row r="86" spans="1:26">
      <c r="A86" s="756" t="s">
        <v>438</v>
      </c>
      <c r="B86" s="756"/>
      <c r="C86" s="190"/>
      <c r="D86" s="196"/>
      <c r="E86" s="193"/>
    </row>
    <row r="87" spans="1:26">
      <c r="A87" s="756" t="s">
        <v>439</v>
      </c>
      <c r="B87" s="756"/>
      <c r="C87" s="190"/>
      <c r="D87" s="196"/>
      <c r="E87" s="193"/>
    </row>
    <row r="88" spans="1:26">
      <c r="A88" s="756" t="s">
        <v>440</v>
      </c>
      <c r="B88" s="756"/>
      <c r="C88" s="190"/>
      <c r="D88" s="196"/>
      <c r="E88" s="193"/>
    </row>
    <row r="94" spans="1:26">
      <c r="A94" s="477" t="s">
        <v>500</v>
      </c>
      <c r="B94" s="477"/>
      <c r="C94" s="477"/>
      <c r="D94" s="477"/>
      <c r="E94" s="477"/>
      <c r="F94" s="477"/>
      <c r="G94" s="477"/>
      <c r="H94" s="477"/>
      <c r="I94" s="477"/>
    </row>
    <row r="96" spans="1:26">
      <c r="A96" s="195" t="s">
        <v>177</v>
      </c>
      <c r="B96" s="474" t="s">
        <v>501</v>
      </c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X96" s="474"/>
      <c r="Y96" s="474"/>
      <c r="Z96" s="474"/>
    </row>
    <row r="97" spans="1:43">
      <c r="A97" s="195" t="s">
        <v>258</v>
      </c>
      <c r="B97" s="195">
        <v>0.25</v>
      </c>
      <c r="C97" s="195">
        <v>0.3</v>
      </c>
      <c r="D97" s="195">
        <v>0.4</v>
      </c>
      <c r="E97" s="195">
        <v>0.5</v>
      </c>
      <c r="F97" s="195">
        <v>0.6</v>
      </c>
      <c r="G97" s="198">
        <v>0.7</v>
      </c>
      <c r="H97" s="198">
        <v>0.8</v>
      </c>
      <c r="I97" s="198">
        <v>0.9</v>
      </c>
      <c r="J97" s="198">
        <v>1</v>
      </c>
      <c r="K97" s="195">
        <v>1.1000000000000001</v>
      </c>
      <c r="L97" s="195">
        <v>1.2</v>
      </c>
      <c r="M97" s="195">
        <v>1.3</v>
      </c>
      <c r="N97" s="198">
        <v>1.4</v>
      </c>
      <c r="O97" s="195">
        <v>1.5</v>
      </c>
      <c r="P97" s="195">
        <v>1.6</v>
      </c>
      <c r="Q97" s="195">
        <v>1.7</v>
      </c>
      <c r="R97" s="198">
        <v>1.8</v>
      </c>
      <c r="S97" s="195">
        <v>1.9</v>
      </c>
      <c r="T97" s="195">
        <v>2</v>
      </c>
      <c r="U97" s="195">
        <v>2.1</v>
      </c>
      <c r="V97" s="198">
        <v>2.2000000000000002</v>
      </c>
      <c r="W97" s="195">
        <v>2.2999999999999998</v>
      </c>
      <c r="X97" s="195">
        <v>2.4</v>
      </c>
      <c r="Y97" s="195">
        <v>2.5</v>
      </c>
      <c r="Z97" s="198">
        <v>2.6</v>
      </c>
    </row>
    <row r="98" spans="1:43">
      <c r="A98" s="195">
        <v>20</v>
      </c>
      <c r="B98" s="197">
        <v>1.2</v>
      </c>
      <c r="C98" s="197">
        <v>1.24</v>
      </c>
      <c r="D98" s="197">
        <v>1.32</v>
      </c>
      <c r="E98" s="197">
        <v>1.4</v>
      </c>
      <c r="F98" s="197">
        <v>1.48</v>
      </c>
      <c r="G98" s="197">
        <v>1.544</v>
      </c>
      <c r="H98" s="197">
        <v>1.6160000000000001</v>
      </c>
      <c r="I98" s="197">
        <v>1.6879999999999999</v>
      </c>
      <c r="J98" s="197">
        <v>1.76</v>
      </c>
      <c r="K98" s="197">
        <v>1.8320000000000001</v>
      </c>
      <c r="L98" s="197">
        <v>1.9039999999999999</v>
      </c>
      <c r="M98" s="197">
        <v>1.976</v>
      </c>
      <c r="N98" s="197">
        <v>2.048</v>
      </c>
      <c r="O98" s="197">
        <v>2.12</v>
      </c>
      <c r="P98" s="197">
        <v>2.1920000000000002</v>
      </c>
      <c r="Q98" s="197">
        <v>2.2639999999999998</v>
      </c>
      <c r="R98" s="197">
        <v>2.3359999999999999</v>
      </c>
      <c r="S98" s="197">
        <v>2.4079999999999999</v>
      </c>
      <c r="T98" s="197">
        <v>2.48</v>
      </c>
      <c r="U98" s="197">
        <v>2.552</v>
      </c>
      <c r="V98" s="197">
        <v>2.6240000000000001</v>
      </c>
      <c r="W98" s="197">
        <v>2.6960000000000002</v>
      </c>
      <c r="X98" s="197">
        <v>2.7679999999999998</v>
      </c>
      <c r="Y98" s="197">
        <v>2.84</v>
      </c>
      <c r="Z98" s="197">
        <v>2.9119999999999999</v>
      </c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19"/>
      <c r="AL98" s="219"/>
      <c r="AM98" s="219"/>
      <c r="AN98" s="219"/>
      <c r="AO98" s="219"/>
      <c r="AP98" s="219"/>
      <c r="AQ98" s="219"/>
    </row>
    <row r="99" spans="1:43">
      <c r="A99" s="195">
        <v>30</v>
      </c>
      <c r="B99" s="195">
        <v>1.1299999999999999</v>
      </c>
      <c r="C99" s="195">
        <v>1.1579999999999999</v>
      </c>
      <c r="D99" s="195">
        <v>1.214</v>
      </c>
      <c r="E99" s="195">
        <v>1.27</v>
      </c>
      <c r="F99" s="195">
        <v>1.3220000000000001</v>
      </c>
      <c r="G99" s="195">
        <v>1.3675999999999999</v>
      </c>
      <c r="H99" s="195">
        <v>1.4172</v>
      </c>
      <c r="I99" s="195">
        <v>1.4668000000000001</v>
      </c>
      <c r="J99" s="195">
        <v>1.5164</v>
      </c>
      <c r="K99" s="195">
        <v>1.5660000000000001</v>
      </c>
      <c r="L99" s="195">
        <v>1.6155999999999999</v>
      </c>
      <c r="M99" s="195">
        <v>1.6652</v>
      </c>
      <c r="N99" s="195">
        <v>1.7148000000000001</v>
      </c>
      <c r="O99" s="195">
        <v>1.7644</v>
      </c>
      <c r="P99" s="195">
        <v>1.8140000000000001</v>
      </c>
      <c r="Q99" s="195">
        <v>1.8635999999999999</v>
      </c>
      <c r="R99" s="195">
        <v>1.9132</v>
      </c>
      <c r="S99" s="195">
        <v>1.9628000000000001</v>
      </c>
      <c r="T99" s="195">
        <v>2.0124</v>
      </c>
      <c r="U99" s="195">
        <v>2.0619999999999998</v>
      </c>
      <c r="V99" s="195">
        <v>2.1116000000000001</v>
      </c>
      <c r="W99" s="195">
        <v>2.1612</v>
      </c>
      <c r="X99" s="195">
        <v>2.2107999999999999</v>
      </c>
      <c r="Y99" s="195">
        <v>2.2604000000000002</v>
      </c>
      <c r="Z99" s="195">
        <v>2.31</v>
      </c>
    </row>
    <row r="100" spans="1:43">
      <c r="A100" s="195">
        <v>40</v>
      </c>
      <c r="B100" s="195">
        <v>1.1000000000000001</v>
      </c>
      <c r="C100" s="195">
        <v>1.1200000000000001</v>
      </c>
      <c r="D100" s="195">
        <v>1.1599999999999999</v>
      </c>
      <c r="E100" s="195">
        <v>1.2</v>
      </c>
      <c r="F100" s="195">
        <v>1.24</v>
      </c>
      <c r="G100" s="195">
        <v>1.272</v>
      </c>
      <c r="H100" s="195">
        <v>1.3080000000000001</v>
      </c>
      <c r="I100" s="195">
        <v>1.3440000000000001</v>
      </c>
      <c r="J100" s="195">
        <v>1.38</v>
      </c>
      <c r="K100" s="195">
        <v>1.4159999999999999</v>
      </c>
      <c r="L100" s="195">
        <v>1.452</v>
      </c>
      <c r="M100" s="195">
        <v>1.488</v>
      </c>
      <c r="N100" s="195">
        <v>1.524</v>
      </c>
      <c r="O100" s="195">
        <v>1.56</v>
      </c>
      <c r="P100" s="195">
        <v>1.5960000000000001</v>
      </c>
      <c r="Q100" s="195">
        <v>1.6319999999999999</v>
      </c>
      <c r="R100" s="195">
        <v>1.6679999999999999</v>
      </c>
      <c r="S100" s="195">
        <v>1.704</v>
      </c>
      <c r="T100" s="195">
        <v>1.74</v>
      </c>
      <c r="U100" s="195">
        <v>1.776</v>
      </c>
      <c r="V100" s="195">
        <v>1.8120000000000001</v>
      </c>
      <c r="W100" s="195">
        <v>1.8480000000000001</v>
      </c>
      <c r="X100" s="195">
        <v>1.8839999999999999</v>
      </c>
      <c r="Y100" s="195">
        <v>1.92</v>
      </c>
      <c r="Z100" s="195">
        <v>1.956</v>
      </c>
    </row>
    <row r="101" spans="1:43">
      <c r="A101" s="195">
        <v>50</v>
      </c>
      <c r="B101" s="195">
        <v>1.08</v>
      </c>
      <c r="C101" s="195">
        <v>1.0960000000000001</v>
      </c>
      <c r="D101" s="195">
        <v>1.1279999999999999</v>
      </c>
      <c r="E101" s="195">
        <v>1.1599999999999999</v>
      </c>
      <c r="F101" s="195">
        <v>1.1919999999999999</v>
      </c>
      <c r="G101" s="195">
        <v>1.2176</v>
      </c>
      <c r="H101" s="195">
        <v>1.2464</v>
      </c>
      <c r="I101" s="195">
        <v>1.2751999999999999</v>
      </c>
      <c r="J101" s="195">
        <v>1.304</v>
      </c>
      <c r="K101" s="195">
        <v>1.3328</v>
      </c>
      <c r="L101" s="195">
        <v>1.3615999999999999</v>
      </c>
      <c r="M101" s="195">
        <v>1.3904000000000001</v>
      </c>
      <c r="N101" s="195">
        <v>1.4192</v>
      </c>
      <c r="O101" s="195">
        <v>1.448</v>
      </c>
      <c r="P101" s="195">
        <v>1.4767999999999999</v>
      </c>
      <c r="Q101" s="195">
        <v>1.5056</v>
      </c>
      <c r="R101" s="195">
        <v>1.5344</v>
      </c>
      <c r="S101" s="195">
        <v>1.5631999999999999</v>
      </c>
      <c r="T101" s="195">
        <v>1.5920000000000001</v>
      </c>
      <c r="U101" s="195">
        <v>1.6208</v>
      </c>
      <c r="V101" s="195">
        <v>1.6496</v>
      </c>
      <c r="W101" s="195">
        <v>1.6783999999999999</v>
      </c>
      <c r="X101" s="195">
        <v>1.7072000000000001</v>
      </c>
      <c r="Y101" s="195">
        <v>1.736</v>
      </c>
      <c r="Z101" s="195">
        <v>1.7647999999999999</v>
      </c>
    </row>
    <row r="102" spans="1:43">
      <c r="A102" s="195">
        <v>60</v>
      </c>
      <c r="B102" s="195">
        <v>1.07</v>
      </c>
      <c r="C102" s="195">
        <v>1.0820000000000001</v>
      </c>
      <c r="D102" s="195">
        <v>1.1060000000000001</v>
      </c>
      <c r="E102" s="195">
        <v>1.1299999999999999</v>
      </c>
      <c r="F102" s="195">
        <v>1.1579999999999999</v>
      </c>
      <c r="G102" s="195">
        <v>1.1763999999999999</v>
      </c>
      <c r="H102" s="195">
        <v>1.1988000000000001</v>
      </c>
      <c r="I102" s="195">
        <v>1.2212000000000001</v>
      </c>
      <c r="J102" s="195">
        <v>1.2436</v>
      </c>
      <c r="K102" s="195">
        <v>1.266</v>
      </c>
      <c r="L102" s="195">
        <v>1.2884</v>
      </c>
      <c r="M102" s="195">
        <v>1.3108</v>
      </c>
      <c r="N102" s="195">
        <v>1.3331999999999999</v>
      </c>
      <c r="O102" s="195">
        <v>1.3555999999999999</v>
      </c>
      <c r="P102" s="195">
        <v>1.3779999999999999</v>
      </c>
      <c r="Q102" s="195">
        <v>1.4004000000000001</v>
      </c>
      <c r="R102" s="195">
        <v>1.4228000000000001</v>
      </c>
      <c r="S102" s="195">
        <v>1.4452</v>
      </c>
      <c r="T102" s="195">
        <v>1.4676</v>
      </c>
      <c r="U102" s="195">
        <v>1.49</v>
      </c>
      <c r="V102" s="195">
        <v>1.5124</v>
      </c>
      <c r="W102" s="195">
        <v>1.5347999999999999</v>
      </c>
      <c r="X102" s="195">
        <v>1.5571999999999999</v>
      </c>
      <c r="Y102" s="195">
        <v>1.5795999999999999</v>
      </c>
      <c r="Z102" s="195">
        <v>1.6020000000000001</v>
      </c>
    </row>
    <row r="103" spans="1:43">
      <c r="A103" s="195">
        <v>80</v>
      </c>
      <c r="B103" s="195">
        <v>1.05</v>
      </c>
      <c r="C103" s="195">
        <v>1.06</v>
      </c>
      <c r="D103" s="195">
        <v>1.08</v>
      </c>
      <c r="E103" s="195">
        <v>1.1000000000000001</v>
      </c>
      <c r="F103" s="195">
        <v>1.1200000000000001</v>
      </c>
      <c r="G103" s="195">
        <v>1.1359999999999999</v>
      </c>
      <c r="H103" s="195">
        <v>1.1539999999999999</v>
      </c>
      <c r="I103" s="195">
        <v>1.1719999999999999</v>
      </c>
      <c r="J103" s="195">
        <v>1.19</v>
      </c>
      <c r="K103" s="195">
        <v>1.208</v>
      </c>
      <c r="L103" s="195">
        <v>1.226</v>
      </c>
      <c r="M103" s="195">
        <v>1.244</v>
      </c>
      <c r="N103" s="195">
        <v>1.262</v>
      </c>
      <c r="O103" s="195">
        <v>1.28</v>
      </c>
      <c r="P103" s="195">
        <v>1.298</v>
      </c>
      <c r="Q103" s="195">
        <v>1.3160000000000001</v>
      </c>
      <c r="R103" s="195">
        <v>1.3340000000000001</v>
      </c>
      <c r="S103" s="195">
        <v>1.3520000000000001</v>
      </c>
      <c r="T103" s="195">
        <v>1.37</v>
      </c>
      <c r="U103" s="195">
        <v>1.3879999999999999</v>
      </c>
      <c r="V103" s="195">
        <v>1.4059999999999999</v>
      </c>
      <c r="W103" s="195">
        <v>1.4239999999999999</v>
      </c>
      <c r="X103" s="195">
        <v>1.4419999999999999</v>
      </c>
      <c r="Y103" s="195">
        <v>1.46</v>
      </c>
      <c r="Z103" s="195">
        <v>1.478</v>
      </c>
    </row>
    <row r="104" spans="1:43">
      <c r="A104" s="195">
        <v>100</v>
      </c>
      <c r="B104" s="195">
        <v>1.04</v>
      </c>
      <c r="C104" s="195">
        <v>1.048</v>
      </c>
      <c r="D104" s="195">
        <v>1.0640000000000001</v>
      </c>
      <c r="E104" s="195">
        <v>1.08</v>
      </c>
      <c r="F104" s="195">
        <v>1.0960000000000001</v>
      </c>
      <c r="G104" s="195">
        <v>1.1088</v>
      </c>
      <c r="H104" s="195">
        <v>1.1232</v>
      </c>
      <c r="I104" s="195">
        <v>1.1375999999999999</v>
      </c>
      <c r="J104" s="195">
        <v>1.1519999999999999</v>
      </c>
      <c r="K104" s="195">
        <v>1.1664000000000001</v>
      </c>
      <c r="L104" s="195">
        <v>1.1808000000000001</v>
      </c>
      <c r="M104" s="195">
        <v>1.1952</v>
      </c>
      <c r="N104" s="195">
        <v>1.2096</v>
      </c>
      <c r="O104" s="195">
        <v>1.224</v>
      </c>
      <c r="P104" s="195">
        <v>1.2383999999999999</v>
      </c>
      <c r="Q104" s="195">
        <v>1.2527999999999999</v>
      </c>
      <c r="R104" s="195">
        <v>1.2672000000000001</v>
      </c>
      <c r="S104" s="195">
        <v>1.2816000000000001</v>
      </c>
      <c r="T104" s="195">
        <v>1.296</v>
      </c>
      <c r="U104" s="195">
        <v>1.3104</v>
      </c>
      <c r="V104" s="195">
        <v>1.3248</v>
      </c>
      <c r="W104" s="195">
        <v>1.3391999999999999</v>
      </c>
      <c r="X104" s="195">
        <v>1.3535999999999999</v>
      </c>
      <c r="Y104" s="195">
        <v>1.3680000000000001</v>
      </c>
      <c r="Z104" s="195">
        <v>1.3824000000000001</v>
      </c>
    </row>
    <row r="105" spans="1:43">
      <c r="A105" s="195">
        <v>120</v>
      </c>
      <c r="B105" s="195">
        <v>1.03</v>
      </c>
      <c r="C105" s="195">
        <v>1.038</v>
      </c>
      <c r="D105" s="195">
        <v>1.054</v>
      </c>
      <c r="E105" s="195">
        <v>1.07</v>
      </c>
      <c r="F105" s="195">
        <v>1.0820000000000001</v>
      </c>
      <c r="G105" s="195">
        <v>1.0955999999999999</v>
      </c>
      <c r="H105" s="195">
        <v>1.1092</v>
      </c>
      <c r="I105" s="195">
        <v>1.1228</v>
      </c>
      <c r="J105" s="195">
        <v>1.1364000000000001</v>
      </c>
      <c r="K105" s="195">
        <v>1.1499999999999999</v>
      </c>
      <c r="L105" s="195">
        <v>1.1636</v>
      </c>
      <c r="M105" s="195">
        <v>1.1772</v>
      </c>
      <c r="N105" s="195">
        <v>1.1908000000000001</v>
      </c>
      <c r="O105" s="195">
        <v>1.2043999999999999</v>
      </c>
      <c r="P105" s="195">
        <v>1.218</v>
      </c>
      <c r="Q105" s="195">
        <v>1.2316</v>
      </c>
      <c r="R105" s="195">
        <v>1.2452000000000001</v>
      </c>
      <c r="S105" s="195">
        <v>1.2587999999999999</v>
      </c>
      <c r="T105" s="195">
        <v>1.2724</v>
      </c>
      <c r="U105" s="195">
        <v>1.286</v>
      </c>
      <c r="V105" s="195">
        <v>1.2996000000000001</v>
      </c>
      <c r="W105" s="195">
        <v>1.3131999999999999</v>
      </c>
      <c r="X105" s="195">
        <v>1.3268</v>
      </c>
      <c r="Y105" s="195">
        <v>1.3404</v>
      </c>
      <c r="Z105" s="195">
        <v>1.3540000000000001</v>
      </c>
    </row>
    <row r="106" spans="1:43">
      <c r="A106" s="195">
        <v>140</v>
      </c>
      <c r="B106" s="195">
        <v>1.03</v>
      </c>
      <c r="C106" s="195">
        <v>1.036</v>
      </c>
      <c r="D106" s="195">
        <v>1.048</v>
      </c>
      <c r="E106" s="195">
        <v>1.06</v>
      </c>
      <c r="F106" s="195">
        <v>1.0720000000000001</v>
      </c>
      <c r="G106" s="195">
        <v>1.0815999999999999</v>
      </c>
      <c r="H106" s="195">
        <v>1.0924</v>
      </c>
      <c r="I106" s="195">
        <v>1.1032</v>
      </c>
      <c r="J106" s="195">
        <v>1.1140000000000001</v>
      </c>
      <c r="K106" s="195">
        <v>1.1248</v>
      </c>
      <c r="L106" s="195">
        <v>1.1355999999999999</v>
      </c>
      <c r="M106" s="195">
        <v>1.1464000000000001</v>
      </c>
      <c r="N106" s="195">
        <v>1.1572</v>
      </c>
      <c r="O106" s="195">
        <v>1.1679999999999999</v>
      </c>
      <c r="P106" s="195">
        <v>1.1788000000000001</v>
      </c>
      <c r="Q106" s="195">
        <v>1.1896</v>
      </c>
      <c r="R106" s="195">
        <v>1.2003999999999999</v>
      </c>
      <c r="S106" s="195">
        <v>1.2112000000000001</v>
      </c>
      <c r="T106" s="195">
        <v>1.222</v>
      </c>
      <c r="U106" s="195">
        <v>1.2327999999999999</v>
      </c>
      <c r="V106" s="195">
        <v>1.2436</v>
      </c>
      <c r="W106" s="195">
        <v>1.2544</v>
      </c>
      <c r="X106" s="195">
        <v>1.2652000000000001</v>
      </c>
      <c r="Y106" s="195">
        <v>1.276</v>
      </c>
      <c r="Z106" s="195">
        <v>1.2867999999999999</v>
      </c>
    </row>
    <row r="107" spans="1:43">
      <c r="A107" s="195">
        <v>160</v>
      </c>
      <c r="B107" s="195">
        <v>1.02</v>
      </c>
      <c r="C107" s="195">
        <v>1.024</v>
      </c>
      <c r="D107" s="195">
        <v>1.032</v>
      </c>
      <c r="E107" s="195">
        <v>1.05</v>
      </c>
      <c r="F107" s="195">
        <v>1.0580000000000001</v>
      </c>
      <c r="G107" s="195">
        <v>1.0673999999999999</v>
      </c>
      <c r="H107" s="195">
        <v>1.0775999999999999</v>
      </c>
      <c r="I107" s="195">
        <v>1.0878000000000001</v>
      </c>
      <c r="J107" s="195">
        <v>1.0980000000000001</v>
      </c>
      <c r="K107" s="195">
        <v>1.1082000000000001</v>
      </c>
      <c r="L107" s="195">
        <v>1.1184000000000001</v>
      </c>
      <c r="M107" s="195">
        <v>1.1286</v>
      </c>
      <c r="N107" s="195">
        <v>1.1388</v>
      </c>
      <c r="O107" s="195">
        <v>1.149</v>
      </c>
      <c r="P107" s="195">
        <v>1.1592</v>
      </c>
      <c r="Q107" s="195">
        <v>1.1694</v>
      </c>
      <c r="R107" s="195">
        <v>1.1796</v>
      </c>
      <c r="S107" s="195">
        <v>1.1898</v>
      </c>
      <c r="T107" s="195">
        <v>1.2</v>
      </c>
      <c r="U107" s="195">
        <v>1.2101999999999999</v>
      </c>
      <c r="V107" s="195">
        <v>1.2203999999999999</v>
      </c>
      <c r="W107" s="195">
        <v>1.2305999999999999</v>
      </c>
      <c r="X107" s="195">
        <v>1.2407999999999999</v>
      </c>
      <c r="Y107" s="195">
        <v>1.2509999999999999</v>
      </c>
      <c r="Z107" s="195">
        <v>1.2612000000000001</v>
      </c>
    </row>
    <row r="108" spans="1:43">
      <c r="A108" s="195">
        <v>200</v>
      </c>
      <c r="B108" s="195">
        <v>1.02</v>
      </c>
      <c r="C108" s="195">
        <v>1.02</v>
      </c>
      <c r="D108" s="195">
        <v>1.02</v>
      </c>
      <c r="E108" s="195">
        <v>1.04</v>
      </c>
      <c r="F108" s="195">
        <v>1.048</v>
      </c>
      <c r="G108" s="195">
        <v>1.0524</v>
      </c>
      <c r="H108" s="195">
        <v>1.06</v>
      </c>
      <c r="I108" s="195">
        <v>1.0676000000000001</v>
      </c>
      <c r="J108" s="195">
        <v>1.0751999999999999</v>
      </c>
      <c r="K108" s="195">
        <v>1.0828</v>
      </c>
      <c r="L108" s="195">
        <v>1.0904</v>
      </c>
      <c r="M108" s="195">
        <v>1.0980000000000001</v>
      </c>
      <c r="N108" s="195">
        <v>1.1055999999999999</v>
      </c>
      <c r="O108" s="195">
        <v>1.1132</v>
      </c>
      <c r="P108" s="195">
        <v>1.1208</v>
      </c>
      <c r="Q108" s="195">
        <v>1.1284000000000001</v>
      </c>
      <c r="R108" s="195">
        <v>1.1359999999999999</v>
      </c>
      <c r="S108" s="195">
        <v>1.1435999999999999</v>
      </c>
      <c r="T108" s="195">
        <v>1.1512</v>
      </c>
      <c r="U108" s="195">
        <v>1.1588000000000001</v>
      </c>
      <c r="V108" s="195">
        <v>1.1664000000000001</v>
      </c>
      <c r="W108" s="195">
        <v>1.1739999999999999</v>
      </c>
      <c r="X108" s="195">
        <v>1.1816</v>
      </c>
      <c r="Y108" s="195">
        <v>1.1892</v>
      </c>
      <c r="Z108" s="195">
        <v>1.1968000000000001</v>
      </c>
    </row>
    <row r="109" spans="1:43">
      <c r="A109" s="195">
        <v>400</v>
      </c>
      <c r="B109" s="195"/>
      <c r="C109" s="195"/>
      <c r="D109" s="195"/>
      <c r="E109" s="195">
        <v>1.02</v>
      </c>
      <c r="F109" s="195">
        <v>1.024</v>
      </c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</row>
    <row r="110" spans="1:43">
      <c r="A110" s="195">
        <v>800</v>
      </c>
      <c r="B110" s="195"/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</row>
    <row r="111" spans="1:43">
      <c r="A111">
        <v>1600</v>
      </c>
    </row>
    <row r="116" spans="1:15">
      <c r="A116" s="477" t="s">
        <v>593</v>
      </c>
      <c r="B116" s="477"/>
      <c r="C116" s="477"/>
      <c r="D116" s="477"/>
      <c r="E116" s="477"/>
      <c r="F116" s="477"/>
      <c r="G116" s="477"/>
      <c r="H116" s="477"/>
      <c r="I116" s="477"/>
      <c r="J116" s="477"/>
      <c r="K116" s="477"/>
      <c r="L116" s="477"/>
      <c r="M116" s="477"/>
      <c r="N116" s="477"/>
      <c r="O116" s="477"/>
    </row>
    <row r="117" spans="1:15" ht="18">
      <c r="A117" s="256" t="s">
        <v>596</v>
      </c>
      <c r="B117" s="256" t="s">
        <v>594</v>
      </c>
      <c r="C117" s="256" t="s">
        <v>595</v>
      </c>
      <c r="D117" s="256" t="s">
        <v>597</v>
      </c>
      <c r="E117" t="s">
        <v>598</v>
      </c>
      <c r="F117" t="s">
        <v>599</v>
      </c>
      <c r="G117" t="s">
        <v>600</v>
      </c>
      <c r="H117" t="s">
        <v>601</v>
      </c>
      <c r="I117" s="255" t="s">
        <v>691</v>
      </c>
      <c r="J117" s="255"/>
      <c r="K117" s="255"/>
      <c r="L117" s="255"/>
      <c r="M117" s="255"/>
      <c r="N117" s="255"/>
    </row>
    <row r="118" spans="1:15">
      <c r="A118" s="256" t="s">
        <v>547</v>
      </c>
      <c r="B118" s="256" t="s">
        <v>560</v>
      </c>
      <c r="C118" s="256" t="s">
        <v>560</v>
      </c>
      <c r="D118" s="256" t="s">
        <v>547</v>
      </c>
      <c r="E118" t="s">
        <v>547</v>
      </c>
      <c r="F118" t="s">
        <v>547</v>
      </c>
      <c r="G118" t="s">
        <v>602</v>
      </c>
      <c r="H118" t="s">
        <v>602</v>
      </c>
      <c r="I118" s="255"/>
      <c r="J118" s="255"/>
      <c r="K118" s="255"/>
      <c r="L118" s="255"/>
      <c r="M118" s="255"/>
      <c r="N118" s="255"/>
    </row>
    <row r="119" spans="1:15">
      <c r="A119" s="197">
        <f t="shared" ref="A119:A150" si="0">B119/C119</f>
        <v>0.99</v>
      </c>
      <c r="B119" s="256">
        <v>0.99</v>
      </c>
      <c r="C119" s="256">
        <v>1</v>
      </c>
      <c r="D119" s="256">
        <v>6.0999999999999999E-2</v>
      </c>
      <c r="H119">
        <v>76.099999999999994</v>
      </c>
      <c r="I119" s="255"/>
      <c r="J119" s="255"/>
      <c r="K119" s="255"/>
      <c r="L119" s="255"/>
      <c r="M119" s="255"/>
      <c r="N119" s="255"/>
    </row>
    <row r="120" spans="1:15">
      <c r="A120" s="197">
        <f t="shared" si="0"/>
        <v>0.98</v>
      </c>
      <c r="B120" s="256">
        <v>0.98</v>
      </c>
      <c r="C120" s="256">
        <v>1</v>
      </c>
      <c r="D120" s="256">
        <v>8.5999999999999993E-2</v>
      </c>
      <c r="H120">
        <v>70.5</v>
      </c>
      <c r="I120" s="255"/>
      <c r="J120" s="255"/>
      <c r="K120" s="255"/>
      <c r="L120" s="255"/>
      <c r="M120" s="255"/>
      <c r="N120" s="255"/>
    </row>
    <row r="121" spans="1:15">
      <c r="A121" s="197">
        <f t="shared" si="0"/>
        <v>0.97</v>
      </c>
      <c r="B121" s="256">
        <v>0.97</v>
      </c>
      <c r="C121" s="256">
        <v>1</v>
      </c>
      <c r="D121" s="256">
        <v>0.106</v>
      </c>
      <c r="H121">
        <v>66.099999999999994</v>
      </c>
      <c r="I121" s="255"/>
      <c r="J121" s="255"/>
      <c r="K121" s="255"/>
      <c r="L121" s="255"/>
      <c r="M121" s="255"/>
      <c r="N121" s="255"/>
    </row>
    <row r="122" spans="1:15">
      <c r="A122" s="197">
        <f t="shared" si="0"/>
        <v>0.96</v>
      </c>
      <c r="B122" s="256">
        <v>0.96</v>
      </c>
      <c r="C122" s="256">
        <v>1</v>
      </c>
      <c r="D122" s="256">
        <v>0.122</v>
      </c>
      <c r="H122">
        <v>62.6</v>
      </c>
      <c r="I122" s="255"/>
      <c r="J122" s="255"/>
      <c r="K122" s="255"/>
      <c r="L122" s="255"/>
      <c r="M122" s="255"/>
      <c r="N122" s="255"/>
    </row>
    <row r="123" spans="1:15">
      <c r="A123" s="197">
        <f t="shared" si="0"/>
        <v>0.95</v>
      </c>
      <c r="B123" s="256">
        <v>0.95</v>
      </c>
      <c r="C123" s="256">
        <v>1</v>
      </c>
      <c r="D123" s="256">
        <v>0.13600000000000001</v>
      </c>
      <c r="H123">
        <v>59.6</v>
      </c>
      <c r="I123" s="255"/>
      <c r="J123" s="255"/>
      <c r="K123" s="255"/>
      <c r="L123" s="255"/>
      <c r="M123" s="255"/>
      <c r="N123" s="255"/>
    </row>
    <row r="124" spans="1:15">
      <c r="A124" s="197">
        <f t="shared" si="0"/>
        <v>0.94</v>
      </c>
      <c r="B124" s="256">
        <v>0.94</v>
      </c>
      <c r="C124" s="256">
        <v>1</v>
      </c>
      <c r="D124" s="256">
        <v>0.14899999999999999</v>
      </c>
      <c r="H124">
        <v>56.8</v>
      </c>
      <c r="I124" s="255"/>
      <c r="J124" s="255"/>
      <c r="K124" s="255"/>
      <c r="L124" s="255"/>
      <c r="M124" s="255"/>
      <c r="N124" s="255"/>
    </row>
    <row r="125" spans="1:15">
      <c r="A125" s="197">
        <f t="shared" si="0"/>
        <v>0.93</v>
      </c>
      <c r="B125" s="256">
        <v>0.93</v>
      </c>
      <c r="C125" s="256">
        <v>1</v>
      </c>
      <c r="D125" s="256">
        <v>0.16</v>
      </c>
      <c r="H125">
        <v>54.5</v>
      </c>
      <c r="I125" s="255"/>
      <c r="J125" s="255"/>
      <c r="K125" s="255"/>
      <c r="L125" s="255"/>
      <c r="M125" s="255"/>
      <c r="N125" s="255"/>
    </row>
    <row r="126" spans="1:15">
      <c r="A126" s="197">
        <f t="shared" si="0"/>
        <v>0.92</v>
      </c>
      <c r="B126" s="256">
        <v>0.92</v>
      </c>
      <c r="C126" s="256">
        <v>1</v>
      </c>
      <c r="D126" s="256">
        <v>0.17100000000000001</v>
      </c>
      <c r="H126">
        <v>52.2</v>
      </c>
      <c r="I126" s="255"/>
      <c r="J126" s="255"/>
      <c r="K126" s="255"/>
      <c r="L126" s="255"/>
      <c r="M126" s="255"/>
      <c r="N126" s="255"/>
    </row>
    <row r="127" spans="1:15">
      <c r="A127" s="197">
        <f t="shared" si="0"/>
        <v>0.91</v>
      </c>
      <c r="B127" s="256">
        <v>0.91</v>
      </c>
      <c r="C127" s="256">
        <v>1</v>
      </c>
      <c r="D127" s="256">
        <v>0.18099999999999999</v>
      </c>
      <c r="H127">
        <v>50.2</v>
      </c>
      <c r="I127" s="255"/>
      <c r="J127" s="255"/>
      <c r="K127" s="255"/>
      <c r="L127" s="255"/>
      <c r="M127" s="255"/>
      <c r="N127" s="255"/>
    </row>
    <row r="128" spans="1:15">
      <c r="A128" s="197">
        <f t="shared" si="0"/>
        <v>0.9</v>
      </c>
      <c r="B128" s="256">
        <v>0.9</v>
      </c>
      <c r="C128" s="256">
        <v>1</v>
      </c>
      <c r="D128" s="256">
        <v>0.191</v>
      </c>
      <c r="H128">
        <v>48.2</v>
      </c>
      <c r="I128" s="255"/>
      <c r="J128" s="255"/>
      <c r="K128" s="255"/>
      <c r="L128" s="255"/>
      <c r="M128" s="255"/>
      <c r="N128" s="255"/>
    </row>
    <row r="129" spans="1:8">
      <c r="A129" s="197">
        <f t="shared" si="0"/>
        <v>0.89</v>
      </c>
      <c r="B129" s="256">
        <v>0.89</v>
      </c>
      <c r="C129" s="256">
        <v>1</v>
      </c>
      <c r="D129" s="256">
        <v>0.2</v>
      </c>
      <c r="G129" s="219"/>
      <c r="H129">
        <v>46.4</v>
      </c>
    </row>
    <row r="130" spans="1:8">
      <c r="A130" s="197">
        <f t="shared" si="0"/>
        <v>0.88</v>
      </c>
      <c r="B130" s="256">
        <v>0.88</v>
      </c>
      <c r="C130" s="256">
        <v>1</v>
      </c>
      <c r="D130" s="256">
        <v>0.20799999999999999</v>
      </c>
    </row>
    <row r="131" spans="1:8">
      <c r="A131" s="197">
        <f>B131/C131</f>
        <v>0.87</v>
      </c>
      <c r="B131" s="256">
        <v>0.87</v>
      </c>
      <c r="C131" s="256">
        <v>1</v>
      </c>
      <c r="D131" s="256">
        <v>0.216</v>
      </c>
      <c r="G131" s="219"/>
    </row>
    <row r="132" spans="1:8">
      <c r="A132" s="197">
        <f t="shared" si="0"/>
        <v>0.86</v>
      </c>
      <c r="B132" s="256">
        <v>0.86</v>
      </c>
      <c r="C132" s="256">
        <v>1</v>
      </c>
      <c r="D132" s="256">
        <v>0.224</v>
      </c>
    </row>
    <row r="133" spans="1:8">
      <c r="A133" s="197">
        <f t="shared" si="0"/>
        <v>0.85</v>
      </c>
      <c r="B133" s="256">
        <v>0.85</v>
      </c>
      <c r="C133" s="256">
        <v>1</v>
      </c>
      <c r="D133" s="256">
        <v>0.23200000000000001</v>
      </c>
      <c r="G133" s="219"/>
    </row>
    <row r="134" spans="1:8">
      <c r="A134" s="197">
        <f t="shared" si="0"/>
        <v>0.84</v>
      </c>
      <c r="B134" s="256">
        <v>0.84</v>
      </c>
      <c r="C134" s="256">
        <v>1</v>
      </c>
      <c r="D134" s="256">
        <v>0.23899999999999999</v>
      </c>
    </row>
    <row r="135" spans="1:8">
      <c r="A135" s="197">
        <f t="shared" si="0"/>
        <v>0.83</v>
      </c>
      <c r="B135" s="256">
        <v>0.83</v>
      </c>
      <c r="C135" s="256">
        <v>1</v>
      </c>
      <c r="D135" s="256">
        <v>0.246</v>
      </c>
    </row>
    <row r="136" spans="1:8">
      <c r="A136" s="197">
        <f t="shared" si="0"/>
        <v>0.82</v>
      </c>
      <c r="B136" s="256">
        <v>0.82</v>
      </c>
      <c r="C136" s="256">
        <v>1</v>
      </c>
      <c r="D136" s="256">
        <v>0.253</v>
      </c>
    </row>
    <row r="137" spans="1:8">
      <c r="A137" s="197">
        <f t="shared" si="0"/>
        <v>0.81</v>
      </c>
      <c r="B137" s="256">
        <v>0.81</v>
      </c>
      <c r="C137" s="256">
        <v>1</v>
      </c>
      <c r="D137" s="256">
        <v>0.25900000000000001</v>
      </c>
    </row>
    <row r="138" spans="1:8">
      <c r="A138" s="197">
        <f t="shared" si="0"/>
        <v>0.8</v>
      </c>
      <c r="B138" s="256">
        <v>0.8</v>
      </c>
      <c r="C138" s="256">
        <v>1</v>
      </c>
      <c r="D138" s="256">
        <v>0.26500000000000001</v>
      </c>
    </row>
    <row r="139" spans="1:8">
      <c r="A139" s="197">
        <f t="shared" si="0"/>
        <v>0.79</v>
      </c>
      <c r="B139" s="256">
        <v>0.79</v>
      </c>
      <c r="C139" s="256">
        <v>1</v>
      </c>
      <c r="D139" s="256">
        <v>0.27200000000000002</v>
      </c>
    </row>
    <row r="140" spans="1:8">
      <c r="A140" s="197">
        <f t="shared" si="0"/>
        <v>0.78</v>
      </c>
      <c r="B140" s="256">
        <v>0.78</v>
      </c>
      <c r="C140" s="256">
        <v>1</v>
      </c>
      <c r="D140" s="256">
        <v>0.27700000000000002</v>
      </c>
    </row>
    <row r="141" spans="1:8">
      <c r="A141" s="197">
        <f t="shared" si="0"/>
        <v>0.77</v>
      </c>
      <c r="B141" s="256">
        <v>0.77</v>
      </c>
      <c r="C141" s="256">
        <v>1</v>
      </c>
      <c r="D141" s="256">
        <v>0.28299999999999997</v>
      </c>
    </row>
    <row r="142" spans="1:8">
      <c r="A142" s="197">
        <f t="shared" si="0"/>
        <v>0.76</v>
      </c>
      <c r="B142" s="256">
        <v>0.76</v>
      </c>
      <c r="C142" s="256">
        <v>1</v>
      </c>
      <c r="D142" s="256">
        <v>0.28899999999999998</v>
      </c>
    </row>
    <row r="143" spans="1:8">
      <c r="A143" s="197">
        <f t="shared" si="0"/>
        <v>0.75</v>
      </c>
      <c r="B143" s="256">
        <v>0.75</v>
      </c>
      <c r="C143" s="256">
        <v>1</v>
      </c>
      <c r="D143" s="256">
        <v>0.29099999999999998</v>
      </c>
    </row>
    <row r="144" spans="1:8">
      <c r="A144" s="197">
        <f t="shared" si="0"/>
        <v>0.74</v>
      </c>
      <c r="B144" s="256">
        <v>0.74</v>
      </c>
      <c r="C144" s="256">
        <v>1</v>
      </c>
      <c r="D144" s="256">
        <v>0.3</v>
      </c>
    </row>
    <row r="145" spans="1:8">
      <c r="A145" s="197">
        <f t="shared" si="0"/>
        <v>0.73</v>
      </c>
      <c r="B145" s="256">
        <v>0.73</v>
      </c>
      <c r="C145" s="256">
        <v>1</v>
      </c>
      <c r="D145" s="256">
        <v>0.30499999999999999</v>
      </c>
    </row>
    <row r="146" spans="1:8">
      <c r="A146" s="197">
        <f t="shared" si="0"/>
        <v>0.72</v>
      </c>
      <c r="B146" s="256">
        <v>0.72</v>
      </c>
      <c r="C146" s="256">
        <v>1</v>
      </c>
      <c r="D146" s="256">
        <v>0.31</v>
      </c>
    </row>
    <row r="147" spans="1:8">
      <c r="A147" s="197">
        <f t="shared" si="0"/>
        <v>0.71</v>
      </c>
      <c r="B147" s="256">
        <v>0.71</v>
      </c>
      <c r="C147" s="256">
        <v>1</v>
      </c>
      <c r="D147" s="256">
        <v>0.312</v>
      </c>
      <c r="G147" s="219"/>
    </row>
    <row r="148" spans="1:8">
      <c r="A148" s="197">
        <f t="shared" si="0"/>
        <v>0.7</v>
      </c>
      <c r="B148" s="256">
        <v>0.7</v>
      </c>
      <c r="C148" s="256">
        <v>1</v>
      </c>
      <c r="D148" s="256">
        <v>0.32</v>
      </c>
      <c r="H148" s="219"/>
    </row>
    <row r="149" spans="1:8">
      <c r="A149" s="197">
        <f t="shared" si="0"/>
        <v>0.69</v>
      </c>
      <c r="B149" s="256">
        <v>0.69</v>
      </c>
      <c r="C149" s="256">
        <v>1</v>
      </c>
      <c r="D149" s="256">
        <v>0.32400000000000001</v>
      </c>
    </row>
    <row r="150" spans="1:8">
      <c r="A150" s="197">
        <f t="shared" si="0"/>
        <v>0.68</v>
      </c>
      <c r="B150" s="256">
        <v>0.68</v>
      </c>
      <c r="C150" s="256">
        <v>1</v>
      </c>
      <c r="D150" s="256">
        <v>0.32900000000000001</v>
      </c>
      <c r="H150" s="219"/>
    </row>
    <row r="151" spans="1:8">
      <c r="A151" s="197">
        <f t="shared" ref="A151:A171" si="1">B151/C151</f>
        <v>0.67</v>
      </c>
      <c r="B151" s="256">
        <v>0.67</v>
      </c>
      <c r="C151" s="256">
        <v>1</v>
      </c>
      <c r="D151" s="256">
        <v>0.33400000000000002</v>
      </c>
    </row>
    <row r="152" spans="1:8">
      <c r="A152" s="197">
        <f t="shared" si="1"/>
        <v>0.66</v>
      </c>
      <c r="B152" s="256">
        <v>0.66</v>
      </c>
      <c r="C152" s="256">
        <v>1</v>
      </c>
      <c r="D152" s="256">
        <v>0.33800000000000002</v>
      </c>
    </row>
    <row r="153" spans="1:8">
      <c r="A153" s="197">
        <f t="shared" si="1"/>
        <v>0.65</v>
      </c>
      <c r="B153" s="256">
        <v>0.65</v>
      </c>
      <c r="C153" s="256">
        <v>1</v>
      </c>
      <c r="D153" s="256">
        <v>0.34200000000000003</v>
      </c>
      <c r="H153" s="219"/>
    </row>
    <row r="154" spans="1:8">
      <c r="A154" s="197">
        <f t="shared" si="1"/>
        <v>0.64</v>
      </c>
      <c r="B154" s="256">
        <v>0.64</v>
      </c>
      <c r="C154" s="256">
        <v>1</v>
      </c>
      <c r="D154" s="256">
        <v>0.34699999999999998</v>
      </c>
    </row>
    <row r="155" spans="1:8">
      <c r="A155" s="197">
        <f t="shared" si="1"/>
        <v>0.63</v>
      </c>
      <c r="B155" s="256">
        <v>0.63</v>
      </c>
      <c r="C155" s="256">
        <v>1</v>
      </c>
      <c r="D155" s="256">
        <v>0.35099999999999998</v>
      </c>
    </row>
    <row r="156" spans="1:8">
      <c r="A156" s="197">
        <f t="shared" si="1"/>
        <v>0.62</v>
      </c>
      <c r="B156" s="256">
        <v>0.62</v>
      </c>
      <c r="C156" s="256">
        <v>1</v>
      </c>
      <c r="D156" s="256">
        <v>0.35499999999999998</v>
      </c>
    </row>
    <row r="157" spans="1:8">
      <c r="A157" s="197">
        <f t="shared" si="1"/>
        <v>0.61</v>
      </c>
      <c r="B157" s="256">
        <v>0.61</v>
      </c>
      <c r="C157" s="256">
        <v>1</v>
      </c>
      <c r="D157" s="256">
        <v>0.35899999999999999</v>
      </c>
    </row>
    <row r="158" spans="1:8">
      <c r="A158" s="197">
        <f t="shared" si="1"/>
        <v>0.6</v>
      </c>
      <c r="B158" s="256">
        <v>0.6</v>
      </c>
      <c r="C158" s="256">
        <v>1</v>
      </c>
      <c r="D158" s="256">
        <v>0.36299999999999999</v>
      </c>
    </row>
    <row r="159" spans="1:8">
      <c r="A159" s="197">
        <f t="shared" si="1"/>
        <v>0.59</v>
      </c>
      <c r="B159" s="256">
        <v>0.59</v>
      </c>
      <c r="C159" s="256">
        <v>1</v>
      </c>
      <c r="D159" s="256">
        <v>0.36699999999999999</v>
      </c>
    </row>
    <row r="160" spans="1:8">
      <c r="A160" s="197">
        <f t="shared" si="1"/>
        <v>0.57999999999999996</v>
      </c>
      <c r="B160" s="256">
        <v>0.57999999999999996</v>
      </c>
      <c r="C160" s="256">
        <v>1</v>
      </c>
      <c r="D160" s="256">
        <v>0.37</v>
      </c>
    </row>
    <row r="161" spans="1:8">
      <c r="A161" s="197">
        <f t="shared" si="1"/>
        <v>0.56999999999999995</v>
      </c>
      <c r="B161" s="256">
        <v>0.56999999999999995</v>
      </c>
      <c r="C161" s="256">
        <v>1</v>
      </c>
      <c r="D161" s="256">
        <v>0.374</v>
      </c>
    </row>
    <row r="162" spans="1:8">
      <c r="A162" s="197">
        <f t="shared" si="1"/>
        <v>0.56000000000000005</v>
      </c>
      <c r="B162" s="256">
        <v>0.56000000000000005</v>
      </c>
      <c r="C162" s="256">
        <v>1</v>
      </c>
      <c r="D162" s="256">
        <v>0.378</v>
      </c>
    </row>
    <row r="163" spans="1:8">
      <c r="A163" s="197">
        <f t="shared" si="1"/>
        <v>0.55000000000000004</v>
      </c>
      <c r="B163" s="256">
        <v>0.55000000000000004</v>
      </c>
      <c r="C163" s="256">
        <v>1</v>
      </c>
      <c r="D163" s="256"/>
    </row>
    <row r="164" spans="1:8">
      <c r="A164" s="197">
        <f t="shared" si="1"/>
        <v>0.54</v>
      </c>
      <c r="B164" s="256">
        <v>0.54</v>
      </c>
      <c r="C164" s="256">
        <v>1</v>
      </c>
      <c r="D164" s="256"/>
    </row>
    <row r="165" spans="1:8">
      <c r="A165" s="197">
        <f t="shared" si="1"/>
        <v>0.53</v>
      </c>
      <c r="B165" s="256">
        <v>0.53</v>
      </c>
      <c r="C165" s="256">
        <v>1</v>
      </c>
      <c r="D165" s="256"/>
    </row>
    <row r="166" spans="1:8">
      <c r="A166" s="197">
        <f t="shared" si="1"/>
        <v>0.52</v>
      </c>
      <c r="B166" s="256">
        <v>0.52</v>
      </c>
      <c r="C166" s="256">
        <v>1</v>
      </c>
      <c r="D166" s="256"/>
    </row>
    <row r="167" spans="1:8">
      <c r="A167" s="197">
        <f t="shared" si="1"/>
        <v>0.51</v>
      </c>
      <c r="B167" s="256">
        <v>0.51</v>
      </c>
      <c r="C167" s="256">
        <v>1</v>
      </c>
      <c r="D167" s="256"/>
    </row>
    <row r="168" spans="1:8">
      <c r="A168" s="197">
        <f t="shared" si="1"/>
        <v>0.5</v>
      </c>
      <c r="B168" s="256">
        <v>0.5</v>
      </c>
      <c r="C168" s="256">
        <v>1</v>
      </c>
      <c r="D168" s="256"/>
    </row>
    <row r="169" spans="1:8">
      <c r="A169" s="197">
        <f t="shared" si="1"/>
        <v>0.49</v>
      </c>
      <c r="B169" s="256">
        <v>0.49</v>
      </c>
      <c r="C169" s="256">
        <v>1</v>
      </c>
      <c r="D169" s="256"/>
    </row>
    <row r="170" spans="1:8">
      <c r="A170" s="197">
        <f t="shared" si="1"/>
        <v>0.48</v>
      </c>
      <c r="B170" s="256">
        <v>0.48</v>
      </c>
      <c r="C170" s="256">
        <v>1</v>
      </c>
      <c r="D170" s="256"/>
    </row>
    <row r="171" spans="1:8">
      <c r="A171" s="197">
        <f t="shared" si="1"/>
        <v>0.47</v>
      </c>
      <c r="B171" s="256">
        <v>0.47</v>
      </c>
      <c r="C171" s="256">
        <v>1</v>
      </c>
      <c r="D171" s="256"/>
    </row>
    <row r="175" spans="1:8">
      <c r="A175" s="477" t="s">
        <v>646</v>
      </c>
      <c r="B175" s="477"/>
      <c r="C175" s="477"/>
      <c r="D175" s="477"/>
      <c r="E175" s="477"/>
      <c r="F175" s="477"/>
      <c r="G175" s="477"/>
    </row>
    <row r="176" spans="1:8">
      <c r="A176" s="318" t="s">
        <v>647</v>
      </c>
      <c r="B176" s="1" t="s">
        <v>650</v>
      </c>
      <c r="C176" s="318" t="s">
        <v>656</v>
      </c>
      <c r="F176" s="347" t="s">
        <v>775</v>
      </c>
      <c r="H176" s="347" t="s">
        <v>821</v>
      </c>
    </row>
    <row r="177" spans="1:8">
      <c r="A177" s="256">
        <v>10</v>
      </c>
      <c r="B177" s="1">
        <v>3</v>
      </c>
      <c r="C177" s="256">
        <v>20</v>
      </c>
      <c r="F177" s="347">
        <v>0.05</v>
      </c>
      <c r="H177" s="347">
        <v>5</v>
      </c>
    </row>
    <row r="178" spans="1:8">
      <c r="A178" s="256">
        <v>11</v>
      </c>
      <c r="B178" s="1">
        <v>4</v>
      </c>
      <c r="C178" s="256">
        <v>25</v>
      </c>
      <c r="F178" s="347">
        <v>0.1</v>
      </c>
      <c r="H178" s="347">
        <v>10</v>
      </c>
    </row>
    <row r="179" spans="1:8">
      <c r="A179" s="256">
        <v>12</v>
      </c>
      <c r="B179" s="1">
        <v>5</v>
      </c>
      <c r="C179" s="256">
        <v>30</v>
      </c>
      <c r="F179" s="347">
        <v>0.15</v>
      </c>
      <c r="H179" s="347">
        <v>15</v>
      </c>
    </row>
    <row r="180" spans="1:8">
      <c r="A180" s="256">
        <v>13</v>
      </c>
      <c r="B180" s="1">
        <v>6</v>
      </c>
      <c r="C180" s="256">
        <v>35</v>
      </c>
      <c r="F180" s="347">
        <v>0.2</v>
      </c>
      <c r="H180" s="347">
        <v>20</v>
      </c>
    </row>
    <row r="181" spans="1:8">
      <c r="A181" s="256">
        <v>14</v>
      </c>
      <c r="B181" s="1">
        <v>7</v>
      </c>
      <c r="C181" s="256">
        <v>40</v>
      </c>
      <c r="F181" s="347">
        <v>0.25</v>
      </c>
      <c r="H181" s="347">
        <v>25</v>
      </c>
    </row>
    <row r="182" spans="1:8">
      <c r="A182" s="256">
        <v>15</v>
      </c>
      <c r="B182" s="1">
        <v>8</v>
      </c>
      <c r="C182" s="256">
        <v>45</v>
      </c>
      <c r="F182" s="347">
        <v>0.3</v>
      </c>
      <c r="H182" s="347">
        <v>30</v>
      </c>
    </row>
    <row r="183" spans="1:8">
      <c r="A183" s="256">
        <v>16</v>
      </c>
      <c r="C183" s="256">
        <v>50</v>
      </c>
      <c r="F183" s="347">
        <v>0.35</v>
      </c>
      <c r="H183" s="347">
        <v>35</v>
      </c>
    </row>
    <row r="184" spans="1:8">
      <c r="A184" s="256">
        <v>17</v>
      </c>
      <c r="C184" s="256">
        <v>55</v>
      </c>
      <c r="F184" s="347">
        <v>0.4</v>
      </c>
      <c r="H184" s="347">
        <v>40</v>
      </c>
    </row>
    <row r="185" spans="1:8">
      <c r="A185" s="256">
        <v>18</v>
      </c>
      <c r="C185" s="256">
        <v>60</v>
      </c>
      <c r="F185" s="347">
        <v>0.45</v>
      </c>
      <c r="H185" s="347">
        <v>45</v>
      </c>
    </row>
    <row r="186" spans="1:8">
      <c r="A186" s="256">
        <v>19</v>
      </c>
      <c r="C186" s="256">
        <v>65</v>
      </c>
      <c r="F186" s="347">
        <v>0.5</v>
      </c>
      <c r="H186" s="347">
        <v>50</v>
      </c>
    </row>
    <row r="187" spans="1:8">
      <c r="A187" s="256">
        <v>20</v>
      </c>
      <c r="C187" s="256">
        <v>70</v>
      </c>
      <c r="F187" s="347">
        <v>0.55000000000000004</v>
      </c>
      <c r="H187" s="347">
        <v>55</v>
      </c>
    </row>
    <row r="188" spans="1:8">
      <c r="A188" s="256">
        <v>21</v>
      </c>
      <c r="F188" s="347">
        <v>0.6</v>
      </c>
      <c r="H188" s="347">
        <v>60</v>
      </c>
    </row>
    <row r="189" spans="1:8">
      <c r="A189" s="256">
        <v>22</v>
      </c>
      <c r="F189" s="347">
        <v>0.65</v>
      </c>
      <c r="H189" s="347">
        <v>65</v>
      </c>
    </row>
    <row r="190" spans="1:8">
      <c r="A190" s="256">
        <v>23</v>
      </c>
      <c r="F190" s="347">
        <v>0.7</v>
      </c>
      <c r="H190" s="347">
        <v>70</v>
      </c>
    </row>
    <row r="191" spans="1:8">
      <c r="A191" s="256">
        <v>24</v>
      </c>
      <c r="F191" s="347">
        <v>0.75</v>
      </c>
      <c r="H191" s="347">
        <v>75</v>
      </c>
    </row>
    <row r="192" spans="1:8">
      <c r="A192" s="256">
        <v>25</v>
      </c>
      <c r="F192" s="347">
        <v>0.8</v>
      </c>
      <c r="H192" s="347">
        <v>80</v>
      </c>
    </row>
    <row r="193" spans="1:8">
      <c r="A193" s="256">
        <v>26</v>
      </c>
      <c r="F193" s="347">
        <v>0.85</v>
      </c>
      <c r="H193" s="347">
        <v>85</v>
      </c>
    </row>
    <row r="194" spans="1:8">
      <c r="A194" s="256">
        <v>27</v>
      </c>
      <c r="F194" s="347">
        <v>0.9</v>
      </c>
      <c r="H194" s="347">
        <v>90</v>
      </c>
    </row>
    <row r="195" spans="1:8">
      <c r="A195" s="256">
        <v>28</v>
      </c>
      <c r="F195" s="347">
        <v>0.95</v>
      </c>
      <c r="H195" s="347">
        <v>95</v>
      </c>
    </row>
    <row r="196" spans="1:8">
      <c r="A196" s="256">
        <v>29</v>
      </c>
      <c r="F196" s="347">
        <v>1</v>
      </c>
      <c r="H196" s="347">
        <v>100</v>
      </c>
    </row>
    <row r="197" spans="1:8">
      <c r="A197" s="256">
        <v>30</v>
      </c>
      <c r="H197" s="347">
        <v>105</v>
      </c>
    </row>
    <row r="198" spans="1:8">
      <c r="H198" s="347">
        <v>110</v>
      </c>
    </row>
    <row r="199" spans="1:8">
      <c r="H199" s="347">
        <v>115</v>
      </c>
    </row>
    <row r="200" spans="1:8">
      <c r="H200" s="347">
        <v>120</v>
      </c>
    </row>
    <row r="201" spans="1:8">
      <c r="A201" s="256" t="s">
        <v>664</v>
      </c>
      <c r="B201" s="256" t="s">
        <v>686</v>
      </c>
      <c r="H201" s="347">
        <v>125</v>
      </c>
    </row>
    <row r="202" spans="1:8">
      <c r="A202" s="256">
        <v>10</v>
      </c>
      <c r="B202" s="256">
        <v>0.1</v>
      </c>
      <c r="H202" s="347">
        <v>130</v>
      </c>
    </row>
    <row r="203" spans="1:8">
      <c r="A203" s="256">
        <v>20</v>
      </c>
      <c r="B203" s="256">
        <v>0.15</v>
      </c>
      <c r="H203" s="347">
        <v>135</v>
      </c>
    </row>
    <row r="204" spans="1:8">
      <c r="A204" s="256">
        <v>30</v>
      </c>
      <c r="B204" s="256">
        <v>0.2</v>
      </c>
      <c r="H204" s="347">
        <v>140</v>
      </c>
    </row>
    <row r="205" spans="1:8">
      <c r="A205" s="256">
        <v>40</v>
      </c>
      <c r="B205" s="256">
        <v>0.25</v>
      </c>
      <c r="H205" s="347">
        <v>145</v>
      </c>
    </row>
    <row r="206" spans="1:8">
      <c r="A206" s="256">
        <v>50</v>
      </c>
      <c r="B206" s="256">
        <v>0.3</v>
      </c>
      <c r="H206" s="347">
        <v>150</v>
      </c>
    </row>
    <row r="207" spans="1:8">
      <c r="A207" s="256">
        <v>60</v>
      </c>
      <c r="B207" s="256">
        <v>0.35</v>
      </c>
      <c r="H207" s="347">
        <v>155</v>
      </c>
    </row>
    <row r="208" spans="1:8">
      <c r="A208" s="256">
        <v>70</v>
      </c>
      <c r="B208" s="256">
        <v>0.4</v>
      </c>
      <c r="H208" s="347">
        <v>160</v>
      </c>
    </row>
    <row r="209" spans="1:8">
      <c r="A209" s="256">
        <v>80</v>
      </c>
      <c r="B209" s="256">
        <v>0.45</v>
      </c>
      <c r="H209" s="347">
        <v>165</v>
      </c>
    </row>
    <row r="210" spans="1:8">
      <c r="A210" s="256">
        <v>90</v>
      </c>
      <c r="B210" s="256">
        <v>0.5</v>
      </c>
      <c r="H210" s="347">
        <v>170</v>
      </c>
    </row>
    <row r="211" spans="1:8">
      <c r="A211" s="256">
        <v>100</v>
      </c>
      <c r="B211" s="256">
        <v>0.55000000000000004</v>
      </c>
      <c r="H211" s="347">
        <v>175</v>
      </c>
    </row>
    <row r="212" spans="1:8">
      <c r="A212" s="256">
        <v>110</v>
      </c>
      <c r="B212" s="256">
        <v>0.6</v>
      </c>
      <c r="H212" s="347">
        <v>180</v>
      </c>
    </row>
    <row r="213" spans="1:8">
      <c r="A213" s="256">
        <v>120</v>
      </c>
      <c r="B213" s="256">
        <v>0.65</v>
      </c>
      <c r="H213" s="347">
        <v>185</v>
      </c>
    </row>
    <row r="214" spans="1:8">
      <c r="A214" s="256">
        <v>130</v>
      </c>
      <c r="B214" s="256">
        <v>0.7</v>
      </c>
      <c r="H214" s="347">
        <v>190</v>
      </c>
    </row>
    <row r="215" spans="1:8">
      <c r="A215" s="256">
        <v>140</v>
      </c>
      <c r="B215" s="256">
        <v>0.75</v>
      </c>
      <c r="H215" s="347">
        <v>195</v>
      </c>
    </row>
    <row r="216" spans="1:8">
      <c r="A216" s="256">
        <v>150</v>
      </c>
      <c r="B216" s="256">
        <v>0.8</v>
      </c>
      <c r="H216" s="347">
        <v>200</v>
      </c>
    </row>
    <row r="217" spans="1:8">
      <c r="A217" s="256">
        <v>160</v>
      </c>
      <c r="B217" s="256">
        <v>0.85</v>
      </c>
    </row>
    <row r="218" spans="1:8">
      <c r="A218" s="256">
        <v>170</v>
      </c>
      <c r="B218" s="256">
        <v>0.9</v>
      </c>
    </row>
    <row r="219" spans="1:8">
      <c r="A219" s="256">
        <v>180</v>
      </c>
      <c r="B219" s="256">
        <v>0.95</v>
      </c>
    </row>
    <row r="220" spans="1:8">
      <c r="A220" s="256">
        <v>190</v>
      </c>
      <c r="B220" s="256">
        <v>1</v>
      </c>
    </row>
    <row r="221" spans="1:8">
      <c r="A221" s="256">
        <v>200</v>
      </c>
      <c r="B221" s="256">
        <v>1.05</v>
      </c>
    </row>
    <row r="222" spans="1:8">
      <c r="B222" s="256">
        <v>1.1000000000000001</v>
      </c>
    </row>
    <row r="223" spans="1:8">
      <c r="B223" s="256">
        <v>1.1499999999999999</v>
      </c>
    </row>
    <row r="224" spans="1:8">
      <c r="B224" s="256">
        <v>1.2</v>
      </c>
    </row>
    <row r="225" spans="2:2">
      <c r="B225" s="256">
        <v>1.25</v>
      </c>
    </row>
    <row r="226" spans="2:2">
      <c r="B226" s="256">
        <v>1.3</v>
      </c>
    </row>
    <row r="227" spans="2:2">
      <c r="B227" s="256">
        <v>1.35</v>
      </c>
    </row>
    <row r="228" spans="2:2">
      <c r="B228" s="256">
        <v>1.4</v>
      </c>
    </row>
    <row r="229" spans="2:2">
      <c r="B229" s="256">
        <v>1.45</v>
      </c>
    </row>
    <row r="230" spans="2:2">
      <c r="B230" s="256">
        <v>1.5</v>
      </c>
    </row>
    <row r="231" spans="2:2">
      <c r="B231" s="256">
        <v>1.55</v>
      </c>
    </row>
    <row r="232" spans="2:2">
      <c r="B232" s="256">
        <v>1.6</v>
      </c>
    </row>
    <row r="233" spans="2:2">
      <c r="B233" s="256">
        <v>1.65</v>
      </c>
    </row>
    <row r="234" spans="2:2">
      <c r="B234" s="256">
        <v>1.7</v>
      </c>
    </row>
    <row r="235" spans="2:2">
      <c r="B235" s="256">
        <v>1.75</v>
      </c>
    </row>
    <row r="236" spans="2:2">
      <c r="B236" s="256">
        <v>1.8</v>
      </c>
    </row>
    <row r="237" spans="2:2">
      <c r="B237" s="256">
        <v>1.85</v>
      </c>
    </row>
    <row r="238" spans="2:2">
      <c r="B238" s="256">
        <v>1.9</v>
      </c>
    </row>
    <row r="239" spans="2:2">
      <c r="B239" s="256">
        <v>1.95</v>
      </c>
    </row>
    <row r="240" spans="2:2">
      <c r="B240" s="256">
        <v>2</v>
      </c>
    </row>
    <row r="243" spans="1:16">
      <c r="A243" s="673" t="s">
        <v>695</v>
      </c>
      <c r="B243" s="671"/>
      <c r="C243" s="671"/>
      <c r="D243" s="671"/>
      <c r="E243" s="671"/>
      <c r="F243" s="671"/>
      <c r="G243" s="671"/>
      <c r="H243" s="671"/>
      <c r="I243" s="672"/>
    </row>
    <row r="244" spans="1:16">
      <c r="A244" s="249"/>
      <c r="B244" s="149"/>
      <c r="C244" s="149"/>
      <c r="D244" s="149"/>
      <c r="E244" s="149"/>
      <c r="F244" s="149"/>
      <c r="G244" s="149"/>
      <c r="H244" s="149"/>
      <c r="I244" s="250"/>
    </row>
    <row r="245" spans="1:16">
      <c r="A245" s="249"/>
      <c r="B245" s="529" t="s">
        <v>703</v>
      </c>
      <c r="C245" s="529"/>
      <c r="D245" s="529"/>
      <c r="E245" s="529"/>
      <c r="F245" s="529"/>
      <c r="G245" s="529"/>
      <c r="H245" s="529"/>
      <c r="I245" s="250"/>
    </row>
    <row r="246" spans="1:16">
      <c r="A246" s="474" t="s">
        <v>696</v>
      </c>
      <c r="B246" s="474"/>
      <c r="C246" s="149"/>
      <c r="D246" s="149"/>
      <c r="E246" s="149"/>
      <c r="F246" s="149"/>
      <c r="G246" s="149"/>
      <c r="H246" s="149"/>
      <c r="I246" s="250"/>
    </row>
    <row r="247" spans="1:16">
      <c r="A247" s="543" t="s">
        <v>697</v>
      </c>
      <c r="B247" s="543"/>
      <c r="C247" s="256">
        <v>1.9</v>
      </c>
      <c r="D247" s="149"/>
      <c r="E247" s="149"/>
      <c r="F247" s="149"/>
      <c r="G247" s="149"/>
      <c r="H247" s="149"/>
      <c r="I247" s="250"/>
    </row>
    <row r="248" spans="1:16">
      <c r="A248" s="543" t="s">
        <v>698</v>
      </c>
      <c r="B248" s="543"/>
      <c r="C248" s="256">
        <v>0.95</v>
      </c>
      <c r="D248" s="149"/>
      <c r="E248" s="149"/>
      <c r="F248" s="149"/>
      <c r="G248" s="149"/>
      <c r="H248" s="149"/>
      <c r="I248" s="250"/>
    </row>
    <row r="249" spans="1:16">
      <c r="A249" s="543" t="s">
        <v>699</v>
      </c>
      <c r="B249" s="543"/>
      <c r="C249" s="256">
        <f>C247*C248</f>
        <v>1.8049999999999999</v>
      </c>
      <c r="D249" s="149"/>
      <c r="E249" s="149"/>
      <c r="F249" s="149"/>
      <c r="G249" s="149"/>
      <c r="H249" s="149"/>
      <c r="I249" s="250"/>
      <c r="K249" t="str">
        <f>Porton_plano_de_madera_con_bastidor_de_hierro_FAO_para_A3_B3_C3</f>
        <v>Porton plano de madera con bastidor de hierro FAO para A3,B3,C3</v>
      </c>
      <c r="L249" s="255"/>
      <c r="M249" s="255"/>
      <c r="N249" s="255"/>
      <c r="O249" s="255"/>
      <c r="P249" s="255"/>
    </row>
    <row r="250" spans="1:16">
      <c r="A250" s="543" t="s">
        <v>700</v>
      </c>
      <c r="B250" s="543"/>
      <c r="C250" s="256">
        <f>C248/C247</f>
        <v>0.5</v>
      </c>
      <c r="D250" s="149"/>
      <c r="E250" s="149"/>
      <c r="F250" s="149"/>
      <c r="G250" s="149"/>
      <c r="H250" s="149"/>
      <c r="I250" s="250"/>
      <c r="K250" s="255" t="s">
        <v>718</v>
      </c>
      <c r="L250" s="255"/>
      <c r="M250" s="255"/>
      <c r="N250" s="255"/>
      <c r="O250" s="255"/>
      <c r="P250" s="255"/>
    </row>
    <row r="251" spans="1:16">
      <c r="A251" s="543" t="s">
        <v>701</v>
      </c>
      <c r="B251" s="543"/>
      <c r="C251" s="256">
        <f>C249/(C247*C248)</f>
        <v>1</v>
      </c>
      <c r="D251" s="149"/>
      <c r="E251" s="149"/>
      <c r="F251" s="149"/>
      <c r="G251" s="149"/>
      <c r="H251" s="149"/>
      <c r="I251" s="250"/>
      <c r="K251" s="255"/>
      <c r="L251" s="255"/>
      <c r="M251" s="255"/>
      <c r="N251" s="255"/>
      <c r="O251" s="255"/>
      <c r="P251" s="255"/>
    </row>
    <row r="252" spans="1:16">
      <c r="A252" s="543" t="s">
        <v>702</v>
      </c>
      <c r="B252" s="543"/>
      <c r="C252" s="256">
        <v>135</v>
      </c>
      <c r="D252" s="149"/>
      <c r="E252" s="149"/>
      <c r="F252" s="149"/>
      <c r="G252" s="149"/>
      <c r="H252" s="149"/>
      <c r="I252" s="250"/>
      <c r="K252" s="255"/>
      <c r="L252" s="255"/>
      <c r="M252" s="255"/>
      <c r="N252" s="255"/>
      <c r="O252" s="255"/>
      <c r="P252" s="255"/>
    </row>
    <row r="253" spans="1:16">
      <c r="A253" s="543" t="s">
        <v>704</v>
      </c>
      <c r="B253" s="543"/>
      <c r="C253" s="256">
        <v>0.59699999999999998</v>
      </c>
      <c r="D253" s="149"/>
      <c r="E253" s="149"/>
      <c r="F253" s="149"/>
      <c r="G253" s="149"/>
      <c r="H253" s="149"/>
      <c r="I253" s="250"/>
      <c r="K253" s="255"/>
      <c r="L253" s="255"/>
      <c r="M253" s="255"/>
      <c r="N253" s="255"/>
      <c r="O253" s="255"/>
      <c r="P253" s="255"/>
    </row>
    <row r="254" spans="1:16">
      <c r="A254" s="543" t="s">
        <v>705</v>
      </c>
      <c r="B254" s="543"/>
      <c r="C254" s="256">
        <f>C252*C253</f>
        <v>80.594999999999999</v>
      </c>
      <c r="D254" s="149"/>
      <c r="E254" s="149"/>
      <c r="F254" s="149"/>
      <c r="G254" s="149"/>
      <c r="H254" s="149"/>
      <c r="I254" s="250"/>
      <c r="K254" s="255"/>
      <c r="L254" s="255"/>
      <c r="M254" s="255"/>
      <c r="N254" s="255"/>
      <c r="O254" s="255"/>
      <c r="P254" s="255"/>
    </row>
    <row r="255" spans="1:16">
      <c r="A255" s="249"/>
      <c r="B255" s="149"/>
      <c r="C255" s="149"/>
      <c r="D255" s="149"/>
      <c r="E255" s="149"/>
      <c r="F255" s="149"/>
      <c r="G255" s="149"/>
      <c r="H255" s="149"/>
      <c r="I255" s="250"/>
      <c r="K255" s="255"/>
      <c r="L255" s="255"/>
      <c r="M255" s="255"/>
      <c r="N255" s="255"/>
      <c r="O255" s="255"/>
      <c r="P255" s="255"/>
    </row>
    <row r="256" spans="1:16">
      <c r="A256" s="249"/>
      <c r="B256" s="149"/>
      <c r="C256" s="149"/>
      <c r="D256" s="149"/>
      <c r="E256" s="149"/>
      <c r="F256" s="149"/>
      <c r="G256" s="149"/>
      <c r="H256" s="149"/>
      <c r="I256" s="250"/>
      <c r="K256" s="255"/>
      <c r="L256" s="255"/>
      <c r="M256" s="255"/>
      <c r="N256" s="255"/>
      <c r="O256" s="255"/>
      <c r="P256" s="255"/>
    </row>
    <row r="257" spans="1:16">
      <c r="A257" s="249"/>
      <c r="B257" s="256" t="s">
        <v>706</v>
      </c>
      <c r="C257" s="256" t="s">
        <v>707</v>
      </c>
      <c r="D257" s="256" t="s">
        <v>708</v>
      </c>
      <c r="E257" s="256" t="s">
        <v>709</v>
      </c>
      <c r="F257" s="149"/>
      <c r="G257" s="149"/>
      <c r="H257" s="149"/>
      <c r="I257" s="250"/>
      <c r="K257" s="255"/>
      <c r="L257" s="255"/>
      <c r="M257" s="255"/>
      <c r="N257" s="255"/>
      <c r="O257" s="255"/>
      <c r="P257" s="255"/>
    </row>
    <row r="258" spans="1:16">
      <c r="A258" s="249"/>
      <c r="B258" s="256" t="s">
        <v>602</v>
      </c>
      <c r="C258" s="474" t="s">
        <v>136</v>
      </c>
      <c r="D258" s="474"/>
      <c r="E258" s="474"/>
      <c r="F258" s="149"/>
      <c r="G258" s="149"/>
      <c r="H258" s="149"/>
      <c r="I258" s="250"/>
      <c r="K258" s="255"/>
      <c r="L258" s="255"/>
      <c r="M258" s="255"/>
      <c r="N258" s="255"/>
      <c r="O258" s="255"/>
      <c r="P258" s="255"/>
    </row>
    <row r="259" spans="1:16">
      <c r="A259" s="249"/>
      <c r="B259" s="256">
        <v>25</v>
      </c>
      <c r="C259" s="256">
        <v>0.8</v>
      </c>
      <c r="D259" s="256">
        <v>0.53</v>
      </c>
      <c r="E259" s="197">
        <f t="shared" ref="E259:E264" si="2">C259/D259</f>
        <v>1.5094339622641511</v>
      </c>
      <c r="F259" s="149"/>
      <c r="G259" s="149"/>
      <c r="H259" s="149"/>
      <c r="I259" s="250"/>
      <c r="K259" s="255"/>
      <c r="L259" s="255"/>
      <c r="M259" s="255"/>
      <c r="N259" s="255"/>
      <c r="O259" s="255"/>
      <c r="P259" s="255"/>
    </row>
    <row r="260" spans="1:16">
      <c r="A260" s="249"/>
      <c r="B260" s="256">
        <v>30</v>
      </c>
      <c r="C260" s="256">
        <v>0.92</v>
      </c>
      <c r="D260" s="256">
        <v>0.67</v>
      </c>
      <c r="E260" s="197">
        <f t="shared" si="2"/>
        <v>1.3731343283582089</v>
      </c>
      <c r="F260" s="149"/>
      <c r="G260" s="149"/>
      <c r="H260" s="149"/>
      <c r="I260" s="250"/>
      <c r="K260" s="255"/>
      <c r="L260" s="255"/>
      <c r="M260" s="255"/>
      <c r="N260" s="255"/>
      <c r="O260" s="255"/>
      <c r="P260" s="255"/>
    </row>
    <row r="261" spans="1:16">
      <c r="A261" s="249"/>
      <c r="B261" s="256">
        <v>32</v>
      </c>
      <c r="C261" s="256">
        <v>0.93</v>
      </c>
      <c r="D261" s="256">
        <v>0.71</v>
      </c>
      <c r="E261" s="197">
        <f t="shared" si="2"/>
        <v>1.3098591549295775</v>
      </c>
      <c r="F261" s="149"/>
      <c r="G261" s="149"/>
      <c r="H261" s="149"/>
      <c r="I261" s="250"/>
      <c r="K261" s="255"/>
      <c r="L261" s="255"/>
      <c r="M261" s="255"/>
      <c r="N261" s="255"/>
      <c r="O261" s="255"/>
      <c r="P261" s="255"/>
    </row>
    <row r="262" spans="1:16">
      <c r="A262" s="249"/>
      <c r="B262" s="256">
        <v>35</v>
      </c>
      <c r="C262" s="256">
        <v>0.86</v>
      </c>
      <c r="D262" s="256">
        <v>0.74</v>
      </c>
      <c r="E262" s="197">
        <f t="shared" si="2"/>
        <v>1.1621621621621621</v>
      </c>
      <c r="F262" s="149"/>
      <c r="G262" s="149"/>
      <c r="H262" s="149"/>
      <c r="I262" s="250"/>
      <c r="K262" s="255"/>
      <c r="L262" s="255"/>
      <c r="M262" s="255"/>
      <c r="N262" s="255"/>
      <c r="O262" s="255"/>
      <c r="P262" s="255"/>
    </row>
    <row r="263" spans="1:16">
      <c r="A263" s="249"/>
      <c r="B263" s="256">
        <v>40</v>
      </c>
      <c r="C263" s="256">
        <v>0.78</v>
      </c>
      <c r="D263" s="256">
        <v>0.79</v>
      </c>
      <c r="E263" s="197">
        <f t="shared" si="2"/>
        <v>0.98734177215189878</v>
      </c>
      <c r="F263" s="149"/>
      <c r="G263" s="149"/>
      <c r="H263" s="149"/>
      <c r="I263" s="250"/>
      <c r="K263" s="255"/>
      <c r="L263" s="255"/>
      <c r="M263" s="255"/>
      <c r="N263" s="255"/>
      <c r="O263" s="255"/>
      <c r="P263" s="255"/>
    </row>
    <row r="264" spans="1:16">
      <c r="A264" s="249"/>
      <c r="B264" s="256">
        <v>45</v>
      </c>
      <c r="C264" s="256">
        <v>0.76</v>
      </c>
      <c r="D264" s="256">
        <v>0.89</v>
      </c>
      <c r="E264" s="197">
        <f t="shared" si="2"/>
        <v>0.8539325842696629</v>
      </c>
      <c r="F264" s="149"/>
      <c r="G264" s="149"/>
      <c r="H264" s="149"/>
      <c r="I264" s="250"/>
      <c r="K264" s="255"/>
      <c r="L264" s="255"/>
      <c r="M264" s="255"/>
      <c r="N264" s="255"/>
      <c r="O264" s="255"/>
      <c r="P264" s="255"/>
    </row>
    <row r="265" spans="1:16">
      <c r="A265" s="245"/>
      <c r="B265" s="251"/>
      <c r="C265" s="251"/>
      <c r="D265" s="251"/>
      <c r="E265" s="251"/>
      <c r="F265" s="251"/>
      <c r="G265" s="251"/>
      <c r="H265" s="251"/>
      <c r="I265" s="246"/>
      <c r="K265" s="255"/>
      <c r="L265" s="255"/>
      <c r="M265" s="255"/>
      <c r="N265" s="255"/>
      <c r="O265" s="255"/>
      <c r="P265" s="255"/>
    </row>
    <row r="266" spans="1:16" ht="15.75" thickBot="1">
      <c r="K266" s="255"/>
      <c r="L266" s="255"/>
      <c r="M266" s="255"/>
      <c r="N266" s="255"/>
      <c r="O266" s="255"/>
      <c r="P266" s="255"/>
    </row>
    <row r="267" spans="1:16">
      <c r="A267" s="334"/>
      <c r="B267" s="665" t="str">
        <f>Morgere_Polivalente_Oval</f>
        <v>Morgere Polivalente Oval</v>
      </c>
      <c r="C267" s="665"/>
      <c r="D267" s="665"/>
      <c r="E267" s="665"/>
      <c r="F267" s="665"/>
      <c r="G267" s="665"/>
      <c r="H267" s="665"/>
      <c r="I267" s="335"/>
      <c r="K267" s="255"/>
      <c r="L267" s="255"/>
      <c r="M267" s="255"/>
      <c r="N267" s="255"/>
      <c r="O267" s="255"/>
      <c r="P267" s="255"/>
    </row>
    <row r="268" spans="1:16">
      <c r="A268" s="535" t="s">
        <v>696</v>
      </c>
      <c r="B268" s="474"/>
      <c r="C268" s="149"/>
      <c r="D268" s="149"/>
      <c r="E268" s="149"/>
      <c r="F268" s="149"/>
      <c r="G268" s="149"/>
      <c r="H268" s="149"/>
      <c r="I268" s="320"/>
      <c r="K268" s="255"/>
      <c r="L268" s="255"/>
      <c r="M268" s="255"/>
      <c r="N268" s="255"/>
      <c r="O268" s="255"/>
      <c r="P268" s="255"/>
    </row>
    <row r="269" spans="1:16">
      <c r="A269" s="713" t="s">
        <v>697</v>
      </c>
      <c r="B269" s="543"/>
      <c r="C269" s="256">
        <v>1.4</v>
      </c>
      <c r="D269" s="149"/>
      <c r="E269" s="149"/>
      <c r="F269" s="149"/>
      <c r="G269" s="149"/>
      <c r="H269" s="149"/>
      <c r="I269" s="320"/>
    </row>
    <row r="270" spans="1:16">
      <c r="A270" s="713" t="s">
        <v>698</v>
      </c>
      <c r="B270" s="543"/>
      <c r="C270" s="198">
        <f>C272*C269</f>
        <v>0.95199999999999996</v>
      </c>
      <c r="D270" s="149"/>
      <c r="E270" s="149"/>
      <c r="F270" s="149"/>
      <c r="G270" s="149"/>
      <c r="H270" s="149"/>
      <c r="I270" s="320"/>
    </row>
    <row r="271" spans="1:16">
      <c r="A271" s="713" t="s">
        <v>699</v>
      </c>
      <c r="B271" s="543"/>
      <c r="C271" s="197">
        <f>(C269/2)*(C270/2)*PI()</f>
        <v>1.046778672176119</v>
      </c>
      <c r="D271" s="149"/>
      <c r="E271" s="149"/>
      <c r="F271" s="149"/>
      <c r="G271" s="149"/>
      <c r="H271" s="149"/>
      <c r="I271" s="320"/>
    </row>
    <row r="272" spans="1:16">
      <c r="A272" s="713" t="s">
        <v>700</v>
      </c>
      <c r="B272" s="543"/>
      <c r="C272" s="256">
        <v>0.68</v>
      </c>
      <c r="D272" s="149"/>
      <c r="E272" s="149"/>
      <c r="F272" s="149"/>
      <c r="G272" s="149"/>
      <c r="H272" s="149"/>
      <c r="I272" s="320"/>
    </row>
    <row r="273" spans="1:9">
      <c r="A273" s="713" t="s">
        <v>701</v>
      </c>
      <c r="B273" s="543"/>
      <c r="C273" s="197">
        <f>(C271/(C269*C270))</f>
        <v>0.78539816339744839</v>
      </c>
      <c r="D273" s="149"/>
      <c r="E273" s="149"/>
      <c r="F273" s="149"/>
      <c r="G273" s="149"/>
      <c r="H273" s="149"/>
      <c r="I273" s="320"/>
    </row>
    <row r="274" spans="1:9">
      <c r="A274" s="713" t="s">
        <v>702</v>
      </c>
      <c r="B274" s="543"/>
      <c r="C274" s="197">
        <v>120</v>
      </c>
      <c r="D274" s="149"/>
      <c r="E274" s="149"/>
      <c r="F274" s="149"/>
      <c r="G274" s="149"/>
      <c r="H274" s="149"/>
      <c r="I274" s="320"/>
    </row>
    <row r="275" spans="1:9">
      <c r="A275" s="713" t="s">
        <v>704</v>
      </c>
      <c r="B275" s="543"/>
      <c r="C275" s="256">
        <v>0.87</v>
      </c>
      <c r="D275" s="149"/>
      <c r="E275" s="149"/>
      <c r="F275" s="149"/>
      <c r="G275" s="149"/>
      <c r="H275" s="149"/>
      <c r="I275" s="320"/>
    </row>
    <row r="276" spans="1:9">
      <c r="A276" s="713" t="s">
        <v>705</v>
      </c>
      <c r="B276" s="543"/>
      <c r="C276" s="256">
        <f>C274*C275</f>
        <v>104.4</v>
      </c>
      <c r="D276" s="149"/>
      <c r="E276" s="149"/>
      <c r="F276" s="149"/>
      <c r="G276" s="149"/>
      <c r="H276" s="149"/>
      <c r="I276" s="320"/>
    </row>
    <row r="277" spans="1:9">
      <c r="A277" s="319"/>
      <c r="B277" s="149"/>
      <c r="C277" s="149"/>
      <c r="D277" s="149"/>
      <c r="E277" s="149"/>
      <c r="F277" s="149"/>
      <c r="G277" s="149"/>
      <c r="H277" s="149"/>
      <c r="I277" s="320"/>
    </row>
    <row r="278" spans="1:9">
      <c r="A278" s="319"/>
      <c r="B278" s="149"/>
      <c r="C278" s="149"/>
      <c r="D278" s="149"/>
      <c r="E278" s="149"/>
      <c r="F278" s="149"/>
      <c r="G278" s="149"/>
      <c r="H278" s="149"/>
      <c r="I278" s="320"/>
    </row>
    <row r="279" spans="1:9">
      <c r="A279" s="319"/>
      <c r="B279" s="256" t="s">
        <v>706</v>
      </c>
      <c r="C279" s="256" t="s">
        <v>707</v>
      </c>
      <c r="D279" s="256" t="s">
        <v>708</v>
      </c>
      <c r="E279" s="256" t="s">
        <v>709</v>
      </c>
      <c r="F279" s="149"/>
      <c r="G279" s="149"/>
      <c r="H279" s="149"/>
      <c r="I279" s="320"/>
    </row>
    <row r="280" spans="1:9">
      <c r="A280" s="319"/>
      <c r="B280" s="256" t="s">
        <v>602</v>
      </c>
      <c r="C280" s="474" t="s">
        <v>136</v>
      </c>
      <c r="D280" s="474"/>
      <c r="E280" s="474"/>
      <c r="F280" s="149"/>
      <c r="G280" s="149"/>
      <c r="H280" s="149"/>
      <c r="I280" s="320"/>
    </row>
    <row r="281" spans="1:9">
      <c r="A281" s="319"/>
      <c r="B281" s="256">
        <v>25</v>
      </c>
      <c r="C281" s="256">
        <v>0</v>
      </c>
      <c r="D281" s="256">
        <v>0</v>
      </c>
      <c r="E281" s="197" t="e">
        <f t="shared" ref="E281:E286" si="3">C281/D281</f>
        <v>#DIV/0!</v>
      </c>
      <c r="F281" s="149"/>
      <c r="G281" s="149"/>
      <c r="H281" s="149"/>
      <c r="I281" s="320"/>
    </row>
    <row r="282" spans="1:9">
      <c r="A282" s="319"/>
      <c r="B282" s="256">
        <v>27</v>
      </c>
      <c r="C282" s="256">
        <v>1.22</v>
      </c>
      <c r="D282" s="256">
        <v>0.75</v>
      </c>
      <c r="E282" s="197">
        <f t="shared" si="3"/>
        <v>1.6266666666666667</v>
      </c>
      <c r="F282" s="149"/>
      <c r="G282" s="149"/>
      <c r="H282" s="149"/>
      <c r="I282" s="320"/>
    </row>
    <row r="283" spans="1:9">
      <c r="A283" s="319"/>
      <c r="B283" s="256">
        <v>30</v>
      </c>
      <c r="C283" s="256">
        <v>1.2</v>
      </c>
      <c r="D283" s="256">
        <v>0.77</v>
      </c>
      <c r="E283" s="197">
        <f t="shared" si="3"/>
        <v>1.5584415584415583</v>
      </c>
      <c r="F283" s="149"/>
      <c r="G283" s="149"/>
      <c r="H283" s="149"/>
      <c r="I283" s="320"/>
    </row>
    <row r="284" spans="1:9">
      <c r="A284" s="319"/>
      <c r="B284" s="256">
        <v>35</v>
      </c>
      <c r="C284" s="256">
        <v>1.04</v>
      </c>
      <c r="D284" s="256">
        <v>0.79</v>
      </c>
      <c r="E284" s="197">
        <f t="shared" si="3"/>
        <v>1.3164556962025316</v>
      </c>
      <c r="F284" s="149"/>
      <c r="G284" s="149"/>
      <c r="H284" s="149"/>
      <c r="I284" s="320"/>
    </row>
    <row r="285" spans="1:9">
      <c r="A285" s="319"/>
      <c r="B285" s="256">
        <v>40</v>
      </c>
      <c r="C285" s="256">
        <v>0.95</v>
      </c>
      <c r="D285" s="256">
        <v>0.84</v>
      </c>
      <c r="E285" s="197">
        <f t="shared" si="3"/>
        <v>1.1309523809523809</v>
      </c>
      <c r="F285" s="149"/>
      <c r="G285" s="149"/>
      <c r="H285" s="149"/>
      <c r="I285" s="320"/>
    </row>
    <row r="286" spans="1:9">
      <c r="A286" s="319"/>
      <c r="B286" s="256">
        <v>45</v>
      </c>
      <c r="C286" s="256">
        <v>0.88</v>
      </c>
      <c r="D286" s="256">
        <v>0.92</v>
      </c>
      <c r="E286" s="197">
        <f t="shared" si="3"/>
        <v>0.9565217391304347</v>
      </c>
      <c r="F286" s="149"/>
      <c r="G286" s="149"/>
      <c r="H286" s="149"/>
      <c r="I286" s="320"/>
    </row>
    <row r="287" spans="1:9" ht="15.75" thickBot="1">
      <c r="A287" s="321"/>
      <c r="B287" s="322"/>
      <c r="C287" s="322"/>
      <c r="D287" s="322"/>
      <c r="E287" s="322"/>
      <c r="F287" s="322"/>
      <c r="G287" s="322"/>
      <c r="H287" s="322"/>
      <c r="I287" s="323"/>
    </row>
    <row r="289" spans="1:10" ht="15.75" thickBot="1"/>
    <row r="290" spans="1:10">
      <c r="A290" s="696" t="s">
        <v>740</v>
      </c>
      <c r="B290" s="665"/>
      <c r="C290" s="665"/>
      <c r="D290" s="665"/>
      <c r="E290" s="665"/>
      <c r="F290" s="665"/>
      <c r="G290" s="665"/>
      <c r="H290" s="665"/>
      <c r="I290" s="697"/>
    </row>
    <row r="291" spans="1:10">
      <c r="A291" s="319"/>
      <c r="B291" s="300"/>
      <c r="C291" s="300"/>
      <c r="D291" s="300"/>
      <c r="E291" s="300"/>
      <c r="F291" s="300"/>
      <c r="G291" s="300"/>
      <c r="H291" s="300"/>
      <c r="I291" s="320"/>
    </row>
    <row r="292" spans="1:10">
      <c r="A292" s="319" t="s">
        <v>742</v>
      </c>
      <c r="B292" s="300" t="s">
        <v>0</v>
      </c>
      <c r="C292" s="300" t="s">
        <v>741</v>
      </c>
      <c r="D292" s="73" t="s">
        <v>744</v>
      </c>
      <c r="E292" s="73" t="s">
        <v>745</v>
      </c>
      <c r="F292" s="73" t="s">
        <v>746</v>
      </c>
      <c r="G292" s="300"/>
      <c r="H292" s="300"/>
      <c r="I292" s="320"/>
    </row>
    <row r="293" spans="1:10">
      <c r="A293" s="319" t="s">
        <v>743</v>
      </c>
      <c r="B293" s="414" t="s">
        <v>824</v>
      </c>
      <c r="C293" s="414">
        <v>14</v>
      </c>
      <c r="D293" s="414"/>
      <c r="E293" s="300">
        <f>27.5/220</f>
        <v>0.125</v>
      </c>
      <c r="F293" s="300">
        <v>4.3</v>
      </c>
      <c r="G293" s="300"/>
      <c r="H293" s="300"/>
      <c r="I293" s="320"/>
    </row>
    <row r="294" spans="1:10">
      <c r="A294" s="319" t="str">
        <f>A293</f>
        <v>MOSCUZZA</v>
      </c>
      <c r="B294" s="414" t="s">
        <v>825</v>
      </c>
      <c r="C294" s="414">
        <v>12</v>
      </c>
      <c r="D294" s="414"/>
      <c r="E294" s="300">
        <v>0.438</v>
      </c>
      <c r="F294" s="300">
        <v>3.48</v>
      </c>
      <c r="G294" s="300"/>
      <c r="H294" s="300"/>
      <c r="I294" s="320"/>
    </row>
    <row r="295" spans="1:10">
      <c r="A295" s="319" t="str">
        <f t="shared" ref="A295:A297" si="4">A294</f>
        <v>MOSCUZZA</v>
      </c>
      <c r="B295" s="414" t="s">
        <v>826</v>
      </c>
      <c r="C295" s="414">
        <v>14</v>
      </c>
      <c r="D295" s="414"/>
      <c r="E295" s="300">
        <v>0.624</v>
      </c>
      <c r="F295" s="300">
        <v>8.6999999999999993</v>
      </c>
      <c r="G295" s="300"/>
      <c r="H295" s="300"/>
      <c r="I295" s="320"/>
    </row>
    <row r="296" spans="1:10">
      <c r="A296" s="319" t="str">
        <f t="shared" si="4"/>
        <v>MOSCUZZA</v>
      </c>
      <c r="B296" s="72" t="s">
        <v>827</v>
      </c>
      <c r="C296" s="72">
        <v>16</v>
      </c>
      <c r="D296" s="72"/>
      <c r="E296" s="409">
        <f>36/220</f>
        <v>0.16363636363636364</v>
      </c>
      <c r="F296" s="300">
        <v>5.6</v>
      </c>
      <c r="G296" s="300"/>
      <c r="H296" s="300"/>
      <c r="I296" s="320"/>
    </row>
    <row r="297" spans="1:10">
      <c r="A297" s="319" t="str">
        <f t="shared" si="4"/>
        <v>MOSCUZZA</v>
      </c>
      <c r="B297" s="300"/>
      <c r="C297" s="300"/>
      <c r="D297" s="300"/>
      <c r="E297" s="300"/>
      <c r="F297" s="300"/>
      <c r="G297" s="300"/>
      <c r="H297" s="300"/>
      <c r="I297" s="320"/>
    </row>
    <row r="298" spans="1:10">
      <c r="A298" s="319"/>
      <c r="B298" s="300"/>
      <c r="C298" s="300"/>
      <c r="D298" s="300"/>
      <c r="E298" s="300"/>
      <c r="F298" s="300"/>
      <c r="G298" s="300"/>
      <c r="H298" s="300"/>
      <c r="I298" s="320"/>
      <c r="J298" s="300"/>
    </row>
    <row r="299" spans="1:10">
      <c r="A299" s="319"/>
      <c r="B299" s="300"/>
      <c r="C299" s="300"/>
      <c r="D299" s="300"/>
      <c r="E299" s="300"/>
      <c r="F299" s="300"/>
      <c r="G299" s="300"/>
      <c r="H299" s="300"/>
      <c r="I299" s="320"/>
    </row>
    <row r="300" spans="1:10">
      <c r="A300" s="319"/>
      <c r="B300" s="300"/>
      <c r="C300" s="300"/>
      <c r="D300" s="300"/>
      <c r="E300" s="300"/>
      <c r="F300" s="300"/>
      <c r="G300" s="300"/>
      <c r="H300" s="300"/>
      <c r="I300" s="320"/>
    </row>
    <row r="301" spans="1:10">
      <c r="A301" s="319"/>
      <c r="B301" s="300"/>
      <c r="C301" s="300"/>
      <c r="D301" s="300"/>
      <c r="E301" s="300"/>
      <c r="F301" s="300"/>
      <c r="G301" s="300"/>
      <c r="H301" s="300"/>
      <c r="I301" s="320"/>
    </row>
    <row r="302" spans="1:10">
      <c r="A302" s="319"/>
      <c r="B302" s="300"/>
      <c r="C302" s="300"/>
      <c r="D302" s="300"/>
      <c r="E302" s="300"/>
      <c r="F302" s="300"/>
      <c r="G302" s="300"/>
      <c r="H302" s="300"/>
      <c r="I302" s="320"/>
    </row>
    <row r="303" spans="1:10">
      <c r="A303" s="319"/>
      <c r="B303" s="300"/>
      <c r="C303" s="300"/>
      <c r="D303" s="300"/>
      <c r="E303" s="300"/>
      <c r="F303" s="300"/>
      <c r="G303" s="300"/>
      <c r="H303" s="300"/>
      <c r="I303" s="320"/>
    </row>
    <row r="304" spans="1:10">
      <c r="A304" s="319"/>
      <c r="B304" s="300"/>
      <c r="C304" s="300"/>
      <c r="D304" s="300"/>
      <c r="E304" s="300"/>
      <c r="F304" s="300"/>
      <c r="G304" s="300"/>
      <c r="H304" s="300"/>
      <c r="I304" s="320"/>
    </row>
    <row r="305" spans="1:9">
      <c r="A305" s="319"/>
      <c r="B305" s="300"/>
      <c r="C305" s="300"/>
      <c r="D305" s="300"/>
      <c r="E305" s="300"/>
      <c r="F305" s="300"/>
      <c r="G305" s="300"/>
      <c r="H305" s="300"/>
      <c r="I305" s="320"/>
    </row>
    <row r="306" spans="1:9">
      <c r="A306" s="319"/>
      <c r="B306" s="300"/>
      <c r="C306" s="300"/>
      <c r="D306" s="300"/>
      <c r="E306" s="300"/>
      <c r="F306" s="300"/>
      <c r="G306" s="300"/>
      <c r="H306" s="300"/>
      <c r="I306" s="320"/>
    </row>
    <row r="307" spans="1:9">
      <c r="A307" s="319"/>
      <c r="B307" s="300"/>
      <c r="C307" s="300"/>
      <c r="D307" s="300"/>
      <c r="E307" s="300"/>
      <c r="F307" s="300"/>
      <c r="G307" s="300"/>
      <c r="H307" s="300"/>
      <c r="I307" s="320"/>
    </row>
    <row r="308" spans="1:9">
      <c r="A308" s="319"/>
      <c r="B308" s="300"/>
      <c r="C308" s="300"/>
      <c r="D308" s="300"/>
      <c r="E308" s="300"/>
      <c r="F308" s="300"/>
      <c r="G308" s="300"/>
      <c r="H308" s="300"/>
      <c r="I308" s="320"/>
    </row>
    <row r="309" spans="1:9">
      <c r="A309" s="319"/>
      <c r="B309" s="300"/>
      <c r="C309" s="300"/>
      <c r="D309" s="300"/>
      <c r="E309" s="300"/>
      <c r="F309" s="300"/>
      <c r="G309" s="300"/>
      <c r="H309" s="300"/>
      <c r="I309" s="320"/>
    </row>
    <row r="310" spans="1:9" ht="15.75" thickBot="1">
      <c r="A310" s="321"/>
      <c r="B310" s="322"/>
      <c r="C310" s="322"/>
      <c r="D310" s="322"/>
      <c r="E310" s="322"/>
      <c r="F310" s="322"/>
      <c r="G310" s="322"/>
      <c r="H310" s="322"/>
      <c r="I310" s="323"/>
    </row>
    <row r="311" spans="1:9" ht="15.75" thickBot="1"/>
    <row r="312" spans="1:9">
      <c r="A312" s="696" t="s">
        <v>836</v>
      </c>
      <c r="B312" s="665"/>
      <c r="C312" s="665"/>
      <c r="D312" s="665"/>
      <c r="E312" s="665"/>
      <c r="F312" s="665"/>
      <c r="G312" s="665"/>
      <c r="H312" s="665"/>
      <c r="I312" s="697"/>
    </row>
    <row r="313" spans="1:9">
      <c r="A313" s="319"/>
      <c r="B313" s="300"/>
      <c r="C313" s="300"/>
      <c r="D313" s="300"/>
      <c r="E313" s="300"/>
      <c r="F313" s="300"/>
      <c r="G313" s="300"/>
      <c r="H313" s="300"/>
      <c r="I313" s="320"/>
    </row>
    <row r="314" spans="1:9">
      <c r="A314" s="347" t="s">
        <v>837</v>
      </c>
      <c r="B314" s="347" t="s">
        <v>838</v>
      </c>
      <c r="C314" s="347" t="s">
        <v>839</v>
      </c>
      <c r="D314" s="300"/>
      <c r="E314" s="300"/>
      <c r="F314" s="300"/>
      <c r="G314" s="300"/>
      <c r="H314" s="300"/>
      <c r="I314" s="320"/>
    </row>
    <row r="315" spans="1:9">
      <c r="A315" s="347"/>
      <c r="B315" s="347"/>
      <c r="C315" s="347" t="s">
        <v>835</v>
      </c>
      <c r="D315" s="300"/>
      <c r="E315" s="300"/>
      <c r="F315" s="300"/>
      <c r="G315" s="300"/>
      <c r="H315" s="300"/>
      <c r="I315" s="320"/>
    </row>
    <row r="316" spans="1:9">
      <c r="A316" s="347" t="s">
        <v>840</v>
      </c>
      <c r="B316" s="347" t="s">
        <v>844</v>
      </c>
      <c r="C316" s="347">
        <v>1.05</v>
      </c>
      <c r="D316" s="300"/>
      <c r="E316" s="300"/>
      <c r="F316" s="300"/>
      <c r="G316" s="300"/>
      <c r="H316" s="300"/>
      <c r="I316" s="320"/>
    </row>
    <row r="317" spans="1:9">
      <c r="A317" s="347" t="s">
        <v>840</v>
      </c>
      <c r="B317" s="347" t="s">
        <v>843</v>
      </c>
      <c r="C317" s="347">
        <v>6.31</v>
      </c>
      <c r="D317" s="300"/>
      <c r="E317" s="300"/>
      <c r="F317" s="300"/>
      <c r="G317" s="300"/>
      <c r="H317" s="300"/>
      <c r="I317" s="320"/>
    </row>
    <row r="318" spans="1:9">
      <c r="A318" s="319"/>
      <c r="B318" s="300"/>
      <c r="C318" s="300"/>
      <c r="D318" s="300"/>
      <c r="E318" s="300"/>
      <c r="F318" s="300"/>
      <c r="G318" s="300"/>
      <c r="H318" s="300"/>
      <c r="I318" s="320"/>
    </row>
    <row r="319" spans="1:9">
      <c r="A319" s="319"/>
      <c r="B319" s="300"/>
      <c r="C319" s="300"/>
      <c r="D319" s="300"/>
      <c r="E319" s="300"/>
      <c r="F319" s="300"/>
      <c r="G319" s="300"/>
      <c r="H319" s="300"/>
      <c r="I319" s="320"/>
    </row>
    <row r="320" spans="1:9">
      <c r="A320" s="319"/>
      <c r="B320" s="300"/>
      <c r="C320" s="300"/>
      <c r="D320" s="300"/>
      <c r="E320" s="300"/>
      <c r="F320" s="300"/>
      <c r="G320" s="300"/>
      <c r="H320" s="300"/>
      <c r="I320" s="320"/>
    </row>
    <row r="321" spans="1:9" ht="15.75" thickBot="1">
      <c r="A321" s="321"/>
      <c r="B321" s="322"/>
      <c r="C321" s="322"/>
      <c r="D321" s="322"/>
      <c r="E321" s="322"/>
      <c r="F321" s="322"/>
      <c r="G321" s="322"/>
      <c r="H321" s="322"/>
      <c r="I321" s="323"/>
    </row>
    <row r="322" spans="1:9" ht="15.75" thickBot="1">
      <c r="H322" s="255"/>
    </row>
    <row r="323" spans="1:9">
      <c r="A323" s="334"/>
      <c r="B323" s="665" t="s">
        <v>934</v>
      </c>
      <c r="C323" s="665"/>
      <c r="D323" s="665"/>
      <c r="E323" s="665"/>
      <c r="F323" s="665"/>
      <c r="G323" s="665"/>
      <c r="H323" s="665"/>
      <c r="I323" s="335"/>
    </row>
    <row r="324" spans="1:9" s="255" customFormat="1">
      <c r="A324" s="319"/>
      <c r="B324" s="300"/>
      <c r="C324" s="300"/>
      <c r="D324" s="300"/>
      <c r="E324" s="300"/>
      <c r="F324" s="300"/>
      <c r="G324" s="300"/>
      <c r="H324" s="300"/>
      <c r="I324" s="320"/>
    </row>
    <row r="325" spans="1:9" s="255" customFormat="1">
      <c r="A325" s="319"/>
      <c r="B325" s="300"/>
      <c r="C325" s="300"/>
      <c r="D325" s="300"/>
      <c r="E325" s="300"/>
      <c r="F325" s="300"/>
      <c r="G325" s="300"/>
      <c r="H325" s="300"/>
      <c r="I325" s="320"/>
    </row>
    <row r="326" spans="1:9" s="255" customFormat="1">
      <c r="A326" s="319"/>
      <c r="B326" s="300"/>
      <c r="C326" s="300"/>
      <c r="D326" s="300"/>
      <c r="E326" s="300"/>
      <c r="F326" s="300"/>
      <c r="G326" s="300"/>
      <c r="H326" s="300"/>
      <c r="I326" s="320"/>
    </row>
    <row r="327" spans="1:9" s="255" customFormat="1">
      <c r="A327" s="319"/>
      <c r="B327" s="300"/>
      <c r="C327" s="300"/>
      <c r="D327" s="300"/>
      <c r="E327" s="300"/>
      <c r="F327" s="300"/>
      <c r="G327" s="300"/>
      <c r="H327" s="300"/>
      <c r="I327" s="320"/>
    </row>
    <row r="328" spans="1:9" s="255" customFormat="1">
      <c r="A328" s="319"/>
      <c r="B328" s="300"/>
      <c r="C328" s="300"/>
      <c r="D328" s="300"/>
      <c r="E328" s="300"/>
      <c r="F328" s="300"/>
      <c r="G328" s="300"/>
      <c r="H328" s="300"/>
      <c r="I328" s="320"/>
    </row>
    <row r="329" spans="1:9" s="255" customFormat="1">
      <c r="A329" s="319"/>
      <c r="B329" s="300"/>
      <c r="C329" s="300"/>
      <c r="D329" s="300"/>
      <c r="E329" s="300"/>
      <c r="F329" s="300"/>
      <c r="G329" s="300"/>
      <c r="H329" s="300"/>
      <c r="I329" s="320"/>
    </row>
    <row r="330" spans="1:9" s="255" customFormat="1">
      <c r="A330" s="319"/>
      <c r="B330" s="300"/>
      <c r="C330" s="300"/>
      <c r="D330" s="300"/>
      <c r="E330" s="300"/>
      <c r="F330" s="300"/>
      <c r="G330" s="300"/>
      <c r="H330" s="300"/>
      <c r="I330" s="320"/>
    </row>
    <row r="331" spans="1:9" s="255" customFormat="1">
      <c r="A331" s="319"/>
      <c r="B331" s="300"/>
      <c r="C331" s="300"/>
      <c r="D331" s="300"/>
      <c r="E331" s="300"/>
      <c r="F331" s="300"/>
      <c r="G331" s="300"/>
      <c r="H331" s="300"/>
      <c r="I331" s="320"/>
    </row>
    <row r="332" spans="1:9" s="255" customFormat="1">
      <c r="A332" s="319"/>
      <c r="B332" s="300"/>
      <c r="C332" s="300"/>
      <c r="D332" s="300"/>
      <c r="E332" s="300"/>
      <c r="F332" s="300"/>
      <c r="G332" s="300"/>
      <c r="H332" s="300"/>
      <c r="I332" s="320"/>
    </row>
    <row r="333" spans="1:9" s="255" customFormat="1">
      <c r="A333" s="319"/>
      <c r="B333" s="300"/>
      <c r="C333" s="300"/>
      <c r="D333" s="300"/>
      <c r="E333" s="300"/>
      <c r="F333" s="300"/>
      <c r="G333" s="300"/>
      <c r="H333" s="300"/>
      <c r="I333" s="320"/>
    </row>
    <row r="334" spans="1:9" s="255" customFormat="1">
      <c r="A334" s="319"/>
      <c r="B334" s="300"/>
      <c r="C334" s="300"/>
      <c r="D334" s="300"/>
      <c r="E334" s="300"/>
      <c r="F334" s="300"/>
      <c r="G334" s="300"/>
      <c r="H334" s="300"/>
      <c r="I334" s="320"/>
    </row>
    <row r="335" spans="1:9" s="255" customFormat="1">
      <c r="A335" s="319"/>
      <c r="B335" s="300"/>
      <c r="C335" s="300"/>
      <c r="D335" s="300"/>
      <c r="E335" s="300"/>
      <c r="F335" s="300"/>
      <c r="G335" s="300"/>
      <c r="H335" s="300"/>
      <c r="I335" s="320"/>
    </row>
    <row r="336" spans="1:9" s="255" customFormat="1">
      <c r="A336" s="319"/>
      <c r="B336" s="300"/>
      <c r="C336" s="300"/>
      <c r="D336" s="300"/>
      <c r="E336" s="300"/>
      <c r="F336" s="300"/>
      <c r="G336" s="300"/>
      <c r="H336" s="300"/>
      <c r="I336" s="320"/>
    </row>
    <row r="337" spans="1:9" s="255" customFormat="1">
      <c r="A337" s="319"/>
      <c r="B337" s="347" t="s">
        <v>257</v>
      </c>
      <c r="C337" s="474" t="s">
        <v>935</v>
      </c>
      <c r="D337" s="474"/>
      <c r="E337" s="347" t="s">
        <v>937</v>
      </c>
      <c r="F337" s="347" t="s">
        <v>549</v>
      </c>
      <c r="G337" s="746" t="s">
        <v>940</v>
      </c>
      <c r="H337" s="530"/>
      <c r="I337" s="320"/>
    </row>
    <row r="338" spans="1:9" s="255" customFormat="1">
      <c r="A338" s="319"/>
      <c r="B338" s="347">
        <v>9.5</v>
      </c>
      <c r="C338" s="415" t="s">
        <v>936</v>
      </c>
      <c r="D338" s="416"/>
      <c r="E338" s="347">
        <v>0.34300000000000003</v>
      </c>
      <c r="F338" s="347">
        <v>5.5</v>
      </c>
      <c r="G338" s="609" t="str">
        <f t="shared" ref="G338:G343" si="5">C338&amp;B338</f>
        <v>CA 6X19+1 AT Seale Compactado9,5</v>
      </c>
      <c r="H338" s="529"/>
      <c r="I338" s="320"/>
    </row>
    <row r="339" spans="1:9" s="255" customFormat="1">
      <c r="A339" s="319"/>
      <c r="B339" s="347">
        <v>12</v>
      </c>
      <c r="C339" s="415" t="s">
        <v>936</v>
      </c>
      <c r="D339" s="416"/>
      <c r="E339" s="347">
        <v>0.53100000000000003</v>
      </c>
      <c r="F339" s="347">
        <v>8.5500000000000007</v>
      </c>
      <c r="G339" s="609" t="str">
        <f t="shared" si="5"/>
        <v>CA 6X19+1 AT Seale Compactado12</v>
      </c>
      <c r="H339" s="529"/>
      <c r="I339" s="320"/>
    </row>
    <row r="340" spans="1:9">
      <c r="A340" s="319"/>
      <c r="B340" s="347">
        <v>13</v>
      </c>
      <c r="C340" s="415" t="s">
        <v>936</v>
      </c>
      <c r="D340" s="416"/>
      <c r="E340" s="347">
        <v>0.64300000000000002</v>
      </c>
      <c r="F340" s="347">
        <v>10.3</v>
      </c>
      <c r="G340" s="609" t="str">
        <f t="shared" si="5"/>
        <v>CA 6X19+1 AT Seale Compactado13</v>
      </c>
      <c r="H340" s="529"/>
      <c r="I340" s="320"/>
    </row>
    <row r="341" spans="1:9">
      <c r="A341" s="319"/>
      <c r="B341" s="347">
        <v>14</v>
      </c>
      <c r="C341" s="415" t="s">
        <v>936</v>
      </c>
      <c r="D341" s="416"/>
      <c r="E341" s="347">
        <v>0.72699999999999998</v>
      </c>
      <c r="F341" s="347">
        <v>11.2</v>
      </c>
      <c r="G341" s="609" t="str">
        <f t="shared" si="5"/>
        <v>CA 6X19+1 AT Seale Compactado14</v>
      </c>
      <c r="H341" s="529"/>
      <c r="I341" s="320"/>
    </row>
    <row r="342" spans="1:9">
      <c r="A342" s="319"/>
      <c r="B342" s="347">
        <v>16</v>
      </c>
      <c r="C342" s="415" t="s">
        <v>936</v>
      </c>
      <c r="D342" s="416"/>
      <c r="E342" s="347">
        <v>0.95</v>
      </c>
      <c r="F342" s="347">
        <v>14.69</v>
      </c>
      <c r="G342" s="609" t="str">
        <f t="shared" si="5"/>
        <v>CA 6X19+1 AT Seale Compactado16</v>
      </c>
      <c r="H342" s="529"/>
      <c r="I342" s="320"/>
    </row>
    <row r="343" spans="1:9">
      <c r="A343" s="319"/>
      <c r="B343" s="347">
        <v>18</v>
      </c>
      <c r="C343" s="415" t="s">
        <v>936</v>
      </c>
      <c r="D343" s="416"/>
      <c r="E343" s="347">
        <v>1.2</v>
      </c>
      <c r="F343" s="347">
        <v>18.46</v>
      </c>
      <c r="G343" s="609" t="str">
        <f t="shared" si="5"/>
        <v>CA 6X19+1 AT Seale Compactado18</v>
      </c>
      <c r="H343" s="529"/>
      <c r="I343" s="320"/>
    </row>
    <row r="344" spans="1:9" ht="15.75" thickBot="1">
      <c r="A344" s="321"/>
      <c r="B344" s="322"/>
      <c r="C344" s="322"/>
      <c r="D344" s="322"/>
      <c r="E344" s="322"/>
      <c r="F344" s="322"/>
      <c r="G344" s="322"/>
      <c r="H344" s="322"/>
      <c r="I344" s="323"/>
    </row>
    <row r="351" spans="1:9" ht="15.75" thickBot="1"/>
    <row r="352" spans="1:9">
      <c r="A352" s="334"/>
      <c r="B352" s="384"/>
      <c r="C352" s="335"/>
    </row>
    <row r="353" spans="1:3">
      <c r="A353" s="347" t="s">
        <v>194</v>
      </c>
      <c r="B353" s="347" t="s">
        <v>571</v>
      </c>
      <c r="C353" s="347" t="s">
        <v>871</v>
      </c>
    </row>
    <row r="354" spans="1:3">
      <c r="A354" s="347">
        <v>20</v>
      </c>
      <c r="B354" s="347">
        <v>120</v>
      </c>
      <c r="C354" s="198">
        <f>B354/A354</f>
        <v>6</v>
      </c>
    </row>
    <row r="355" spans="1:3">
      <c r="A355" s="347">
        <v>40</v>
      </c>
      <c r="B355" s="347">
        <v>200</v>
      </c>
      <c r="C355" s="198">
        <f t="shared" ref="C355:C383" si="6">B355/A355</f>
        <v>5</v>
      </c>
    </row>
    <row r="356" spans="1:3">
      <c r="A356" s="347">
        <v>60</v>
      </c>
      <c r="B356" s="347">
        <v>260</v>
      </c>
      <c r="C356" s="198">
        <f t="shared" si="6"/>
        <v>4.333333333333333</v>
      </c>
    </row>
    <row r="357" spans="1:3">
      <c r="A357" s="347">
        <v>80</v>
      </c>
      <c r="B357" s="366">
        <v>320</v>
      </c>
      <c r="C357" s="198">
        <f t="shared" si="6"/>
        <v>4</v>
      </c>
    </row>
    <row r="358" spans="1:3">
      <c r="A358" s="347">
        <v>100</v>
      </c>
      <c r="B358" s="366">
        <v>380</v>
      </c>
      <c r="C358" s="198">
        <f t="shared" si="6"/>
        <v>3.8</v>
      </c>
    </row>
    <row r="359" spans="1:3">
      <c r="A359" s="347">
        <v>120</v>
      </c>
      <c r="B359" s="366">
        <v>420</v>
      </c>
      <c r="C359" s="198">
        <f t="shared" si="6"/>
        <v>3.5</v>
      </c>
    </row>
    <row r="360" spans="1:3">
      <c r="A360" s="347">
        <v>140</v>
      </c>
      <c r="B360" s="366">
        <v>475</v>
      </c>
      <c r="C360" s="198">
        <f t="shared" si="6"/>
        <v>3.3928571428571428</v>
      </c>
    </row>
    <row r="361" spans="1:3">
      <c r="A361" s="347">
        <v>160</v>
      </c>
      <c r="B361" s="366">
        <v>530</v>
      </c>
      <c r="C361" s="198">
        <f t="shared" si="6"/>
        <v>3.3125</v>
      </c>
    </row>
    <row r="362" spans="1:3">
      <c r="A362" s="347">
        <v>180</v>
      </c>
      <c r="B362" s="366">
        <v>575</v>
      </c>
      <c r="C362" s="198">
        <f t="shared" si="6"/>
        <v>3.1944444444444446</v>
      </c>
    </row>
    <row r="363" spans="1:3">
      <c r="A363" s="347">
        <v>200</v>
      </c>
      <c r="B363" s="366">
        <v>600</v>
      </c>
      <c r="C363" s="198">
        <f t="shared" si="6"/>
        <v>3</v>
      </c>
    </row>
    <row r="364" spans="1:3">
      <c r="A364" s="347">
        <v>220</v>
      </c>
      <c r="B364" s="366">
        <v>655</v>
      </c>
      <c r="C364" s="198">
        <f t="shared" si="6"/>
        <v>2.9772727272727271</v>
      </c>
    </row>
    <row r="365" spans="1:3">
      <c r="A365" s="347">
        <v>240</v>
      </c>
      <c r="B365" s="366">
        <v>710</v>
      </c>
      <c r="C365" s="198">
        <f t="shared" si="6"/>
        <v>2.9583333333333335</v>
      </c>
    </row>
    <row r="366" spans="1:3">
      <c r="A366" s="347">
        <v>260</v>
      </c>
      <c r="B366" s="366">
        <v>765</v>
      </c>
      <c r="C366" s="198">
        <f t="shared" si="6"/>
        <v>2.9423076923076925</v>
      </c>
    </row>
    <row r="367" spans="1:3">
      <c r="A367" s="347">
        <v>280</v>
      </c>
      <c r="B367" s="366">
        <v>820</v>
      </c>
      <c r="C367" s="198">
        <f t="shared" si="6"/>
        <v>2.9285714285714284</v>
      </c>
    </row>
    <row r="368" spans="1:3">
      <c r="A368" s="347">
        <v>300</v>
      </c>
      <c r="B368" s="366">
        <v>875</v>
      </c>
      <c r="C368" s="198">
        <f t="shared" si="6"/>
        <v>2.9166666666666665</v>
      </c>
    </row>
    <row r="369" spans="1:3">
      <c r="A369" s="347">
        <v>320</v>
      </c>
      <c r="B369" s="366">
        <v>925</v>
      </c>
      <c r="C369" s="198">
        <f t="shared" si="6"/>
        <v>2.890625</v>
      </c>
    </row>
    <row r="370" spans="1:3">
      <c r="A370" s="347">
        <v>340</v>
      </c>
      <c r="B370" s="366">
        <v>975</v>
      </c>
      <c r="C370" s="198">
        <f t="shared" si="6"/>
        <v>2.8676470588235294</v>
      </c>
    </row>
    <row r="371" spans="1:3">
      <c r="A371" s="347">
        <v>360</v>
      </c>
      <c r="B371" s="366">
        <v>1030</v>
      </c>
      <c r="C371" s="198">
        <f t="shared" si="6"/>
        <v>2.8611111111111112</v>
      </c>
    </row>
    <row r="372" spans="1:3">
      <c r="A372" s="347">
        <v>380</v>
      </c>
      <c r="B372" s="366">
        <v>1080</v>
      </c>
      <c r="C372" s="198">
        <f t="shared" si="6"/>
        <v>2.8421052631578947</v>
      </c>
    </row>
    <row r="373" spans="1:3">
      <c r="A373" s="347">
        <v>400</v>
      </c>
      <c r="B373" s="366">
        <v>1130</v>
      </c>
      <c r="C373" s="198">
        <f t="shared" si="6"/>
        <v>2.8250000000000002</v>
      </c>
    </row>
    <row r="374" spans="1:3">
      <c r="A374" s="347">
        <v>420</v>
      </c>
      <c r="B374" s="366">
        <v>1175</v>
      </c>
      <c r="C374" s="198">
        <f t="shared" si="6"/>
        <v>2.7976190476190474</v>
      </c>
    </row>
    <row r="375" spans="1:3">
      <c r="A375" s="347">
        <v>440</v>
      </c>
      <c r="B375" s="366">
        <v>1230</v>
      </c>
      <c r="C375" s="198">
        <f t="shared" si="6"/>
        <v>2.7954545454545454</v>
      </c>
    </row>
    <row r="376" spans="1:3">
      <c r="A376" s="347">
        <v>460</v>
      </c>
      <c r="B376" s="366">
        <v>1280</v>
      </c>
      <c r="C376" s="198">
        <f t="shared" si="6"/>
        <v>2.7826086956521738</v>
      </c>
    </row>
    <row r="377" spans="1:3">
      <c r="A377" s="347">
        <v>480</v>
      </c>
      <c r="B377" s="366">
        <v>1315</v>
      </c>
      <c r="C377" s="198">
        <f t="shared" si="6"/>
        <v>2.7395833333333335</v>
      </c>
    </row>
    <row r="378" spans="1:3">
      <c r="A378" s="347">
        <v>500</v>
      </c>
      <c r="B378" s="366">
        <v>1350</v>
      </c>
      <c r="C378" s="198">
        <f t="shared" si="6"/>
        <v>2.7</v>
      </c>
    </row>
    <row r="379" spans="1:3">
      <c r="A379" s="347">
        <v>520</v>
      </c>
      <c r="B379" s="366">
        <v>1460</v>
      </c>
      <c r="C379" s="198">
        <f t="shared" si="6"/>
        <v>2.8076923076923075</v>
      </c>
    </row>
    <row r="380" spans="1:3">
      <c r="A380" s="347">
        <v>540</v>
      </c>
      <c r="B380" s="366">
        <v>1575</v>
      </c>
      <c r="C380" s="198">
        <f t="shared" si="6"/>
        <v>2.9166666666666665</v>
      </c>
    </row>
    <row r="381" spans="1:3">
      <c r="A381" s="347">
        <v>560</v>
      </c>
      <c r="B381" s="366">
        <v>1680</v>
      </c>
      <c r="C381" s="198">
        <f t="shared" si="6"/>
        <v>3</v>
      </c>
    </row>
    <row r="382" spans="1:3">
      <c r="A382" s="347">
        <v>580</v>
      </c>
      <c r="B382" s="366">
        <v>1780</v>
      </c>
      <c r="C382" s="198">
        <f t="shared" si="6"/>
        <v>3.0689655172413794</v>
      </c>
    </row>
    <row r="383" spans="1:3">
      <c r="A383" s="347">
        <v>600</v>
      </c>
      <c r="B383" s="347">
        <v>1875</v>
      </c>
      <c r="C383" s="198">
        <f t="shared" si="6"/>
        <v>3.125</v>
      </c>
    </row>
  </sheetData>
  <mergeCells count="123">
    <mergeCell ref="A290:I290"/>
    <mergeCell ref="C280:E280"/>
    <mergeCell ref="A272:B272"/>
    <mergeCell ref="A273:B273"/>
    <mergeCell ref="A274:B274"/>
    <mergeCell ref="A275:B275"/>
    <mergeCell ref="A276:B276"/>
    <mergeCell ref="B267:H267"/>
    <mergeCell ref="A268:B268"/>
    <mergeCell ref="A269:B269"/>
    <mergeCell ref="A270:B270"/>
    <mergeCell ref="A271:B271"/>
    <mergeCell ref="A246:B246"/>
    <mergeCell ref="C258:E258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B96:Z96"/>
    <mergeCell ref="A85:B85"/>
    <mergeCell ref="A86:B86"/>
    <mergeCell ref="A87:B87"/>
    <mergeCell ref="A88:B88"/>
    <mergeCell ref="A94:I94"/>
    <mergeCell ref="A84:B84"/>
    <mergeCell ref="A243:I243"/>
    <mergeCell ref="B245:H245"/>
    <mergeCell ref="A65:B65"/>
    <mergeCell ref="A66:B66"/>
    <mergeCell ref="A67:B67"/>
    <mergeCell ref="A68:B68"/>
    <mergeCell ref="A79:B79"/>
    <mergeCell ref="A80:B80"/>
    <mergeCell ref="A81:B81"/>
    <mergeCell ref="A82:B82"/>
    <mergeCell ref="A83:B83"/>
    <mergeCell ref="A74:B74"/>
    <mergeCell ref="A75:B75"/>
    <mergeCell ref="A76:B76"/>
    <mergeCell ref="A77:B77"/>
    <mergeCell ref="A78:B78"/>
    <mergeCell ref="A69:B69"/>
    <mergeCell ref="A70:B70"/>
    <mergeCell ref="A71:B71"/>
    <mergeCell ref="A72:B72"/>
    <mergeCell ref="A73:B73"/>
    <mergeCell ref="A60:B60"/>
    <mergeCell ref="A61:B61"/>
    <mergeCell ref="A62:B62"/>
    <mergeCell ref="A63:B63"/>
    <mergeCell ref="A64:B64"/>
    <mergeCell ref="A55:B55"/>
    <mergeCell ref="A56:B56"/>
    <mergeCell ref="A57:B57"/>
    <mergeCell ref="A58:B58"/>
    <mergeCell ref="A59:B59"/>
    <mergeCell ref="A50:B50"/>
    <mergeCell ref="A51:B51"/>
    <mergeCell ref="A52:B52"/>
    <mergeCell ref="A53:B53"/>
    <mergeCell ref="A54:B54"/>
    <mergeCell ref="A45:J45"/>
    <mergeCell ref="A48:B48"/>
    <mergeCell ref="A49:B49"/>
    <mergeCell ref="I39:J39"/>
    <mergeCell ref="I40:J40"/>
    <mergeCell ref="I41:J41"/>
    <mergeCell ref="I42:J42"/>
    <mergeCell ref="E42:F42"/>
    <mergeCell ref="C42:D42"/>
    <mergeCell ref="G39:H39"/>
    <mergeCell ref="G40:H40"/>
    <mergeCell ref="G41:H41"/>
    <mergeCell ref="G42:H42"/>
    <mergeCell ref="I37:J37"/>
    <mergeCell ref="I38:J38"/>
    <mergeCell ref="A33:F33"/>
    <mergeCell ref="G34:H34"/>
    <mergeCell ref="G35:H35"/>
    <mergeCell ref="G36:H36"/>
    <mergeCell ref="G37:H37"/>
    <mergeCell ref="C35:D35"/>
    <mergeCell ref="C36:D36"/>
    <mergeCell ref="C37:D37"/>
    <mergeCell ref="G38:H38"/>
    <mergeCell ref="A1:M1"/>
    <mergeCell ref="A2:C3"/>
    <mergeCell ref="A5:B5"/>
    <mergeCell ref="A14:K14"/>
    <mergeCell ref="A15:C15"/>
    <mergeCell ref="A116:O116"/>
    <mergeCell ref="A175:G175"/>
    <mergeCell ref="A16:C16"/>
    <mergeCell ref="A17:C17"/>
    <mergeCell ref="A18:C18"/>
    <mergeCell ref="A19:C19"/>
    <mergeCell ref="A20:C20"/>
    <mergeCell ref="A21:C21"/>
    <mergeCell ref="C38:D38"/>
    <mergeCell ref="C39:D39"/>
    <mergeCell ref="C40:D40"/>
    <mergeCell ref="C41:D41"/>
    <mergeCell ref="A25:C25"/>
    <mergeCell ref="A22:C22"/>
    <mergeCell ref="A23:C23"/>
    <mergeCell ref="A24:C24"/>
    <mergeCell ref="I34:J34"/>
    <mergeCell ref="I35:J35"/>
    <mergeCell ref="I36:J36"/>
    <mergeCell ref="G337:H337"/>
    <mergeCell ref="G338:H338"/>
    <mergeCell ref="G339:H339"/>
    <mergeCell ref="G340:H340"/>
    <mergeCell ref="G341:H341"/>
    <mergeCell ref="G342:H342"/>
    <mergeCell ref="G343:H343"/>
    <mergeCell ref="A312:I312"/>
    <mergeCell ref="B323:H323"/>
    <mergeCell ref="C337:D337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43</vt:i4>
      </vt:variant>
    </vt:vector>
  </HeadingPairs>
  <TitlesOfParts>
    <vt:vector size="56" baseType="lpstr">
      <vt:lpstr>Especie Blanco</vt:lpstr>
      <vt:lpstr>Tipo de buques</vt:lpstr>
      <vt:lpstr>Potenc disponible para arrastre</vt:lpstr>
      <vt:lpstr>Potencia Disponible Arrastre OK</vt:lpstr>
      <vt:lpstr>Paños de red y cortes</vt:lpstr>
      <vt:lpstr>Cables Y Cabulleria</vt:lpstr>
      <vt:lpstr>Mecánica de la Red</vt:lpstr>
      <vt:lpstr>Dimensiones de la Red</vt:lpstr>
      <vt:lpstr>Resistencia de la RED</vt:lpstr>
      <vt:lpstr>Portones y aparejamiento</vt:lpstr>
      <vt:lpstr>Flotación y Lastre</vt:lpstr>
      <vt:lpstr>Cables de Remolque</vt:lpstr>
      <vt:lpstr>Tablas de Referencias</vt:lpstr>
      <vt:lpstr>alfaremolque</vt:lpstr>
      <vt:lpstr>angulopatentes</vt:lpstr>
      <vt:lpstr>anguloremolque</vt:lpstr>
      <vt:lpstr>Burlon</vt:lpstr>
      <vt:lpstr>cabl</vt:lpstr>
      <vt:lpstr>cables</vt:lpstr>
      <vt:lpstr>cincuenta</vt:lpstr>
      <vt:lpstr>cincuentayocho</vt:lpstr>
      <vt:lpstr>consremolque</vt:lpstr>
      <vt:lpstr>construccioncable</vt:lpstr>
      <vt:lpstr>diaca</vt:lpstr>
      <vt:lpstr>diamcab</vt:lpstr>
      <vt:lpstr>diametrocable</vt:lpstr>
      <vt:lpstr>diamremolque</vt:lpstr>
      <vt:lpstr>Kgf</vt:lpstr>
      <vt:lpstr>klastre</vt:lpstr>
      <vt:lpstr>Largototal</vt:lpstr>
      <vt:lpstr>Lima</vt:lpstr>
      <vt:lpstr>listadelistas</vt:lpstr>
      <vt:lpstr>Longitudespatentes</vt:lpstr>
      <vt:lpstr>longp</vt:lpstr>
      <vt:lpstr>LP</vt:lpstr>
      <vt:lpstr>Lpatent</vt:lpstr>
      <vt:lpstr>matcab</vt:lpstr>
      <vt:lpstr>materialcable</vt:lpstr>
      <vt:lpstr>Morgere_Polivalente_Oval</vt:lpstr>
      <vt:lpstr>nhp</vt:lpstr>
      <vt:lpstr>pesoremolque</vt:lpstr>
      <vt:lpstr>porcentajesutiles</vt:lpstr>
      <vt:lpstr>porton_del_orto</vt:lpstr>
      <vt:lpstr>Porton_plano_de_madera_con_bastidor_de_hierro_FAO_para_A3_B3_C3</vt:lpstr>
      <vt:lpstr>portones</vt:lpstr>
      <vt:lpstr>Profundidades</vt:lpstr>
      <vt:lpstr>prueba</vt:lpstr>
      <vt:lpstr>prueba2</vt:lpstr>
      <vt:lpstr>prueba3</vt:lpstr>
      <vt:lpstr>prueba4</vt:lpstr>
      <vt:lpstr>Relacion_Dremiere_patentes</vt:lpstr>
      <vt:lpstr>relaciondremiere</vt:lpstr>
      <vt:lpstr>resisremolque</vt:lpstr>
      <vt:lpstr>resulmat</vt:lpstr>
      <vt:lpstr>triangulo</vt:lpstr>
      <vt:lpstr>δ_Patentes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</dc:creator>
  <cp:lastModifiedBy>Ariel</cp:lastModifiedBy>
  <cp:lastPrinted>2014-05-08T16:00:47Z</cp:lastPrinted>
  <dcterms:created xsi:type="dcterms:W3CDTF">2012-03-08T17:27:41Z</dcterms:created>
  <dcterms:modified xsi:type="dcterms:W3CDTF">2014-08-05T02:07:19Z</dcterms:modified>
</cp:coreProperties>
</file>