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90" windowWidth="15030" windowHeight="7215" firstSheet="21" activeTab="30"/>
  </bookViews>
  <sheets>
    <sheet name="Det.Neut." sheetId="1" r:id="rId1"/>
    <sheet name="Det.Neut. sin tensan" sheetId="35" r:id="rId2"/>
    <sheet name="Det.Verde 30%" sheetId="14" r:id="rId3"/>
    <sheet name="Det.Verde" sheetId="4" r:id="rId4"/>
    <sheet name="Det.Verde sin tensan" sheetId="34" r:id="rId5"/>
    <sheet name="Det.Econom" sheetId="15" r:id="rId6"/>
    <sheet name="Det. Especial" sheetId="16" r:id="rId7"/>
    <sheet name="Det.Alcalino" sheetId="22" r:id="rId8"/>
    <sheet name="Jabón Liq. Ropa" sheetId="5" r:id="rId9"/>
    <sheet name="Jabón Liq.Mano" sheetId="24" r:id="rId10"/>
    <sheet name="Suav. Confor" sheetId="6" r:id="rId11"/>
    <sheet name="Suav. Natural" sheetId="17" r:id="rId12"/>
    <sheet name="Suav. Viveré" sheetId="23" r:id="rId13"/>
    <sheet name="Perfume Ropa Natur" sheetId="29" r:id="rId14"/>
    <sheet name="Perfume Ropa Conf" sheetId="28" r:id="rId15"/>
    <sheet name="Apresto" sheetId="36" r:id="rId16"/>
    <sheet name="Multiuso" sheetId="26" r:id="rId17"/>
    <sheet name="Limpia Vidrio" sheetId="27" r:id="rId18"/>
    <sheet name="Desod. Lav" sheetId="7" r:id="rId19"/>
    <sheet name="Desod. Citron" sheetId="18" r:id="rId20"/>
    <sheet name="Desod. Primavera" sheetId="19" r:id="rId21"/>
    <sheet name="Cloro" sheetId="13" r:id="rId22"/>
    <sheet name="Ventas" sheetId="8" r:id="rId23"/>
    <sheet name="Marg" sheetId="9" r:id="rId24"/>
    <sheet name="Gas F" sheetId="10" r:id="rId25"/>
    <sheet name="Inv. Inic." sheetId="11" r:id="rId26"/>
    <sheet name="Result" sheetId="12" r:id="rId27"/>
    <sheet name="Cant.Mate Pr" sheetId="21" r:id="rId28"/>
    <sheet name="Proveed" sheetId="25" r:id="rId29"/>
    <sheet name="COSTO" sheetId="30" r:id="rId30"/>
    <sheet name="STOCK" sheetId="33" r:id="rId31"/>
  </sheets>
  <externalReferences>
    <externalReference r:id="rId32"/>
  </externalReferences>
  <calcPr calcId="125725"/>
</workbook>
</file>

<file path=xl/calcChain.xml><?xml version="1.0" encoding="utf-8"?>
<calcChain xmlns="http://schemas.openxmlformats.org/spreadsheetml/2006/main">
  <c r="I33" i="9"/>
  <c r="H33"/>
  <c r="D78" i="8"/>
  <c r="C78"/>
  <c r="B78"/>
  <c r="C4" i="24"/>
  <c r="B35" i="33"/>
  <c r="B30"/>
  <c r="B3"/>
  <c r="E8" i="30" l="1"/>
  <c r="D8"/>
  <c r="J32" i="9"/>
  <c r="I32"/>
  <c r="J31"/>
  <c r="J30"/>
  <c r="J29"/>
  <c r="I31"/>
  <c r="I30"/>
  <c r="I29"/>
  <c r="J28"/>
  <c r="I28"/>
  <c r="I23"/>
  <c r="J14"/>
  <c r="I14"/>
  <c r="E14"/>
  <c r="F14" s="1"/>
  <c r="F31"/>
  <c r="F29"/>
  <c r="E32"/>
  <c r="F32" s="1"/>
  <c r="E31"/>
  <c r="E30"/>
  <c r="F30" s="1"/>
  <c r="E29"/>
  <c r="E28"/>
  <c r="F28" s="1"/>
  <c r="D23"/>
  <c r="E23" s="1"/>
  <c r="F23" s="1"/>
  <c r="I35" i="18"/>
  <c r="H35"/>
  <c r="H30"/>
  <c r="D26"/>
  <c r="E26" s="1"/>
  <c r="D25"/>
  <c r="E25" s="1"/>
  <c r="C27"/>
  <c r="E27" s="1"/>
  <c r="C26"/>
  <c r="C25"/>
  <c r="E29"/>
  <c r="B28"/>
  <c r="C24"/>
  <c r="H9" i="5"/>
  <c r="D9" i="34"/>
  <c r="E28" i="30"/>
  <c r="J37" i="33"/>
  <c r="J35"/>
  <c r="J34"/>
  <c r="J30"/>
  <c r="J22"/>
  <c r="J21"/>
  <c r="J13"/>
  <c r="J7"/>
  <c r="J3"/>
  <c r="D5" i="30"/>
  <c r="E5"/>
  <c r="H20" i="36"/>
  <c r="I20" s="1"/>
  <c r="H8"/>
  <c r="C7"/>
  <c r="E7" s="1"/>
  <c r="C6"/>
  <c r="D5"/>
  <c r="C5"/>
  <c r="E5" s="1"/>
  <c r="C4"/>
  <c r="E4" s="1"/>
  <c r="D12" i="5"/>
  <c r="D35" i="33"/>
  <c r="D34"/>
  <c r="D30"/>
  <c r="D21"/>
  <c r="D19"/>
  <c r="D3"/>
  <c r="C35"/>
  <c r="C34"/>
  <c r="B34"/>
  <c r="C33"/>
  <c r="C30"/>
  <c r="C21"/>
  <c r="C14"/>
  <c r="C3"/>
  <c r="H16"/>
  <c r="H28"/>
  <c r="H6"/>
  <c r="J23" i="9" l="1"/>
  <c r="K23" s="1"/>
  <c r="K28"/>
  <c r="K29"/>
  <c r="K30"/>
  <c r="K32"/>
  <c r="K14"/>
  <c r="K31"/>
  <c r="C28" i="18"/>
  <c r="E6" i="36"/>
  <c r="E14"/>
  <c r="E15" s="1"/>
  <c r="E19" s="1"/>
  <c r="G19" s="1"/>
  <c r="I19" s="1"/>
  <c r="J19" s="1"/>
  <c r="C23" s="1"/>
  <c r="B6" i="33"/>
  <c r="B22"/>
  <c r="B37"/>
  <c r="E15" i="30"/>
  <c r="C6" i="23"/>
  <c r="G12" i="33"/>
  <c r="G24"/>
  <c r="B27"/>
  <c r="B28"/>
  <c r="I47" i="35"/>
  <c r="H47"/>
  <c r="E44"/>
  <c r="E36"/>
  <c r="E35"/>
  <c r="B34"/>
  <c r="E33"/>
  <c r="C33"/>
  <c r="E32"/>
  <c r="C32"/>
  <c r="E31"/>
  <c r="C31"/>
  <c r="E30"/>
  <c r="C30"/>
  <c r="E29"/>
  <c r="C29"/>
  <c r="E28"/>
  <c r="C28"/>
  <c r="E27"/>
  <c r="E37" s="1"/>
  <c r="E38" s="1"/>
  <c r="E46" s="1"/>
  <c r="G46" s="1"/>
  <c r="I46" s="1"/>
  <c r="J46" s="1"/>
  <c r="C27"/>
  <c r="C34" s="1"/>
  <c r="E34" s="1"/>
  <c r="E21"/>
  <c r="E12"/>
  <c r="B11"/>
  <c r="C10"/>
  <c r="E10" s="1"/>
  <c r="D9"/>
  <c r="C9"/>
  <c r="D8"/>
  <c r="C8"/>
  <c r="D7"/>
  <c r="C7"/>
  <c r="D6"/>
  <c r="C6"/>
  <c r="N5"/>
  <c r="M5"/>
  <c r="C5"/>
  <c r="D4"/>
  <c r="C4"/>
  <c r="I20" i="34"/>
  <c r="H20"/>
  <c r="E13"/>
  <c r="D12"/>
  <c r="C12"/>
  <c r="E11"/>
  <c r="B11"/>
  <c r="C10"/>
  <c r="E10" s="1"/>
  <c r="C9"/>
  <c r="E9" s="1"/>
  <c r="H8"/>
  <c r="D8"/>
  <c r="C8"/>
  <c r="E8" s="1"/>
  <c r="D7"/>
  <c r="C7"/>
  <c r="D6"/>
  <c r="C6"/>
  <c r="E6" s="1"/>
  <c r="D5"/>
  <c r="C5"/>
  <c r="D4"/>
  <c r="C4"/>
  <c r="E7" i="35" l="1"/>
  <c r="E4" i="34"/>
  <c r="E8" i="35"/>
  <c r="E9"/>
  <c r="E6"/>
  <c r="E4"/>
  <c r="E12" i="34"/>
  <c r="E5"/>
  <c r="E7"/>
  <c r="E14" l="1"/>
  <c r="E15" s="1"/>
  <c r="D6" i="24" s="1"/>
  <c r="E19" i="34" l="1"/>
  <c r="G19" s="1"/>
  <c r="I19" s="1"/>
  <c r="J19" s="1"/>
  <c r="C23" s="1"/>
  <c r="D24" i="18"/>
  <c r="E24" s="1"/>
  <c r="E30" s="1"/>
  <c r="D5" i="9"/>
  <c r="L30" i="33"/>
  <c r="L29"/>
  <c r="L26"/>
  <c r="L13"/>
  <c r="L5"/>
  <c r="O16"/>
  <c r="I27"/>
  <c r="I17"/>
  <c r="O17" s="1"/>
  <c r="N27"/>
  <c r="N32"/>
  <c r="N5"/>
  <c r="K30"/>
  <c r="K25"/>
  <c r="K14"/>
  <c r="K8"/>
  <c r="K5"/>
  <c r="K4"/>
  <c r="N5" i="1"/>
  <c r="D9"/>
  <c r="D8"/>
  <c r="D7"/>
  <c r="D6"/>
  <c r="D4"/>
  <c r="O9" i="33"/>
  <c r="B10"/>
  <c r="O10" s="1"/>
  <c r="O4"/>
  <c r="O20"/>
  <c r="O18"/>
  <c r="O28"/>
  <c r="O29"/>
  <c r="O8"/>
  <c r="O25"/>
  <c r="O22"/>
  <c r="O36"/>
  <c r="B7"/>
  <c r="O19"/>
  <c r="O14"/>
  <c r="O12"/>
  <c r="O26"/>
  <c r="O27"/>
  <c r="O32"/>
  <c r="M24"/>
  <c r="G6"/>
  <c r="O11"/>
  <c r="O21"/>
  <c r="M5"/>
  <c r="B5"/>
  <c r="O5" s="1"/>
  <c r="O15"/>
  <c r="O23"/>
  <c r="O31"/>
  <c r="O33"/>
  <c r="O34"/>
  <c r="M30"/>
  <c r="O3"/>
  <c r="D5" i="23"/>
  <c r="D4"/>
  <c r="D9" i="5"/>
  <c r="E31" i="18" l="1"/>
  <c r="D4" s="1"/>
  <c r="I34"/>
  <c r="J34" s="1"/>
  <c r="C38" s="1"/>
  <c r="E34"/>
  <c r="G34" s="1"/>
  <c r="O35" i="33"/>
  <c r="O37"/>
  <c r="O30"/>
  <c r="O6"/>
  <c r="O24"/>
  <c r="O13"/>
  <c r="O7"/>
  <c r="C5" i="4"/>
  <c r="D8" i="27"/>
  <c r="D7"/>
  <c r="D6"/>
  <c r="D5"/>
  <c r="D4"/>
  <c r="D9" i="26"/>
  <c r="D8"/>
  <c r="D7"/>
  <c r="E35" i="30"/>
  <c r="D35"/>
  <c r="D6" i="26"/>
  <c r="E6" s="1"/>
  <c r="D5"/>
  <c r="D4"/>
  <c r="D6" i="28"/>
  <c r="D5"/>
  <c r="D4"/>
  <c r="D6" i="29"/>
  <c r="E6" s="1"/>
  <c r="D5"/>
  <c r="D4"/>
  <c r="D6" i="23"/>
  <c r="D6" i="17"/>
  <c r="D5"/>
  <c r="D4"/>
  <c r="D6" i="6"/>
  <c r="D5"/>
  <c r="D4"/>
  <c r="D4" i="13"/>
  <c r="D12" i="4"/>
  <c r="D5" i="24"/>
  <c r="D4"/>
  <c r="E4" s="1"/>
  <c r="E11" i="30"/>
  <c r="E34" s="1"/>
  <c r="D11" i="5"/>
  <c r="D10"/>
  <c r="D8"/>
  <c r="D7"/>
  <c r="D6"/>
  <c r="D4"/>
  <c r="D9" i="22"/>
  <c r="D8"/>
  <c r="D7"/>
  <c r="D6"/>
  <c r="D5"/>
  <c r="D4"/>
  <c r="D11" i="16"/>
  <c r="D10"/>
  <c r="D9"/>
  <c r="E33" i="30"/>
  <c r="D8" i="16"/>
  <c r="D7"/>
  <c r="D6"/>
  <c r="D4"/>
  <c r="D10" i="15"/>
  <c r="D9"/>
  <c r="D8"/>
  <c r="D6"/>
  <c r="D5"/>
  <c r="D4"/>
  <c r="D9" i="4"/>
  <c r="D8"/>
  <c r="D7"/>
  <c r="D6"/>
  <c r="D5"/>
  <c r="D4"/>
  <c r="D23" i="30"/>
  <c r="E23" s="1"/>
  <c r="E32"/>
  <c r="E31"/>
  <c r="D21"/>
  <c r="E21" s="1"/>
  <c r="D20"/>
  <c r="E20" s="1"/>
  <c r="D30"/>
  <c r="E30" s="1"/>
  <c r="E29"/>
  <c r="D25"/>
  <c r="E25" s="1"/>
  <c r="D24"/>
  <c r="E24" s="1"/>
  <c r="E22"/>
  <c r="E19"/>
  <c r="E18"/>
  <c r="E17"/>
  <c r="D17"/>
  <c r="E14"/>
  <c r="E13"/>
  <c r="D7" i="15"/>
  <c r="D5" i="5"/>
  <c r="I20" i="27"/>
  <c r="D85" i="9"/>
  <c r="I83"/>
  <c r="I69"/>
  <c r="I67"/>
  <c r="I57"/>
  <c r="I43"/>
  <c r="I41"/>
  <c r="I8"/>
  <c r="I26"/>
  <c r="I10"/>
  <c r="C4" i="29"/>
  <c r="C5"/>
  <c r="E5" s="1"/>
  <c r="C6"/>
  <c r="C7"/>
  <c r="E7" s="1"/>
  <c r="H20"/>
  <c r="I20" s="1"/>
  <c r="H8"/>
  <c r="E4"/>
  <c r="I20" i="24"/>
  <c r="H8" i="16"/>
  <c r="I16" i="23"/>
  <c r="H20" i="28"/>
  <c r="I20" s="1"/>
  <c r="H8"/>
  <c r="C7"/>
  <c r="E7" s="1"/>
  <c r="C6"/>
  <c r="E6" s="1"/>
  <c r="C5"/>
  <c r="C4"/>
  <c r="E4" s="1"/>
  <c r="H20" i="27"/>
  <c r="C9"/>
  <c r="E9" s="1"/>
  <c r="H8"/>
  <c r="C8"/>
  <c r="E8" s="1"/>
  <c r="C7"/>
  <c r="C6"/>
  <c r="C5"/>
  <c r="C4"/>
  <c r="E4" s="1"/>
  <c r="C9" i="26"/>
  <c r="C8"/>
  <c r="E8" s="1"/>
  <c r="C7"/>
  <c r="C4"/>
  <c r="C5"/>
  <c r="C6"/>
  <c r="I20"/>
  <c r="H20"/>
  <c r="H8"/>
  <c r="E5"/>
  <c r="E4"/>
  <c r="G24" i="11"/>
  <c r="H20" i="24"/>
  <c r="H8"/>
  <c r="C6"/>
  <c r="E6" s="1"/>
  <c r="C5"/>
  <c r="E5" s="1"/>
  <c r="H35" i="23"/>
  <c r="E28"/>
  <c r="B27"/>
  <c r="C26"/>
  <c r="E26" s="1"/>
  <c r="C25"/>
  <c r="C27" s="1"/>
  <c r="H16"/>
  <c r="H9"/>
  <c r="E9"/>
  <c r="B8"/>
  <c r="C7"/>
  <c r="E7" s="1"/>
  <c r="E6"/>
  <c r="C5"/>
  <c r="E5" s="1"/>
  <c r="C4"/>
  <c r="C8" s="1"/>
  <c r="E8" s="1"/>
  <c r="H20" i="22"/>
  <c r="I20" s="1"/>
  <c r="E13"/>
  <c r="C12"/>
  <c r="E12" s="1"/>
  <c r="E11"/>
  <c r="B11"/>
  <c r="C10"/>
  <c r="E10" s="1"/>
  <c r="C9"/>
  <c r="H8"/>
  <c r="C8"/>
  <c r="E8" s="1"/>
  <c r="C7"/>
  <c r="E7" s="1"/>
  <c r="C6"/>
  <c r="E6" s="1"/>
  <c r="C5"/>
  <c r="E5" s="1"/>
  <c r="C4"/>
  <c r="E4" s="1"/>
  <c r="I81" i="9"/>
  <c r="I72"/>
  <c r="I55"/>
  <c r="I46"/>
  <c r="I24"/>
  <c r="I13"/>
  <c r="E68" i="8"/>
  <c r="D68"/>
  <c r="C68"/>
  <c r="B68"/>
  <c r="E32"/>
  <c r="D32"/>
  <c r="C32"/>
  <c r="B32"/>
  <c r="H85" i="9"/>
  <c r="I84"/>
  <c r="I82"/>
  <c r="I80"/>
  <c r="I79"/>
  <c r="I78"/>
  <c r="I77"/>
  <c r="I76"/>
  <c r="I75"/>
  <c r="I74"/>
  <c r="I73"/>
  <c r="I71"/>
  <c r="I70"/>
  <c r="I68"/>
  <c r="I66"/>
  <c r="I65"/>
  <c r="I64"/>
  <c r="I85" s="1"/>
  <c r="F3" i="12" s="1"/>
  <c r="H59" i="9"/>
  <c r="I58"/>
  <c r="I56"/>
  <c r="I54"/>
  <c r="I53"/>
  <c r="I52"/>
  <c r="I51"/>
  <c r="I50"/>
  <c r="I49"/>
  <c r="I48"/>
  <c r="I47"/>
  <c r="I45"/>
  <c r="I44"/>
  <c r="I42"/>
  <c r="I40"/>
  <c r="I39"/>
  <c r="I38"/>
  <c r="D76" i="8"/>
  <c r="D72"/>
  <c r="E72"/>
  <c r="E64"/>
  <c r="D64"/>
  <c r="D60"/>
  <c r="E60"/>
  <c r="E56"/>
  <c r="D56"/>
  <c r="D52"/>
  <c r="E52"/>
  <c r="E48"/>
  <c r="D48"/>
  <c r="D44"/>
  <c r="E44"/>
  <c r="E40"/>
  <c r="D40"/>
  <c r="E28"/>
  <c r="E77" s="1"/>
  <c r="D28"/>
  <c r="D77" s="1"/>
  <c r="E16"/>
  <c r="D16"/>
  <c r="E12"/>
  <c r="D12"/>
  <c r="A21" i="21"/>
  <c r="A20"/>
  <c r="A19"/>
  <c r="A18"/>
  <c r="A17"/>
  <c r="A16"/>
  <c r="A15"/>
  <c r="A14"/>
  <c r="A8"/>
  <c r="A13"/>
  <c r="A12"/>
  <c r="A11"/>
  <c r="A10"/>
  <c r="A9"/>
  <c r="A7"/>
  <c r="A6"/>
  <c r="A5"/>
  <c r="A4"/>
  <c r="A3"/>
  <c r="I6" i="9"/>
  <c r="I7"/>
  <c r="I9"/>
  <c r="I11"/>
  <c r="I12"/>
  <c r="I15"/>
  <c r="I16"/>
  <c r="I17"/>
  <c r="I18"/>
  <c r="I19"/>
  <c r="I20"/>
  <c r="I22"/>
  <c r="I25"/>
  <c r="I27"/>
  <c r="C72" i="8"/>
  <c r="B72"/>
  <c r="C64"/>
  <c r="B64"/>
  <c r="C60"/>
  <c r="B60"/>
  <c r="C56"/>
  <c r="B56"/>
  <c r="C52"/>
  <c r="B52"/>
  <c r="C48"/>
  <c r="B48"/>
  <c r="C44"/>
  <c r="B44"/>
  <c r="C40"/>
  <c r="B40"/>
  <c r="C28"/>
  <c r="C77" s="1"/>
  <c r="B28"/>
  <c r="B77" s="1"/>
  <c r="C16"/>
  <c r="B16"/>
  <c r="C12"/>
  <c r="B12"/>
  <c r="H14" i="19"/>
  <c r="I14" s="1"/>
  <c r="H9"/>
  <c r="E7"/>
  <c r="B6"/>
  <c r="C5"/>
  <c r="E5" s="1"/>
  <c r="C4"/>
  <c r="C6" s="1"/>
  <c r="H14" i="18"/>
  <c r="I14" s="1"/>
  <c r="H9"/>
  <c r="E7"/>
  <c r="B6"/>
  <c r="C5"/>
  <c r="E5" s="1"/>
  <c r="C4"/>
  <c r="C6" s="1"/>
  <c r="I14" i="7"/>
  <c r="I14" i="13"/>
  <c r="H35" i="17"/>
  <c r="E28"/>
  <c r="C27"/>
  <c r="B27"/>
  <c r="E26"/>
  <c r="C26"/>
  <c r="E25"/>
  <c r="E29" s="1"/>
  <c r="E30" s="1"/>
  <c r="E34" s="1"/>
  <c r="G34" s="1"/>
  <c r="I34" s="1"/>
  <c r="J34" s="1"/>
  <c r="C39" s="1"/>
  <c r="C25"/>
  <c r="H16"/>
  <c r="I16" s="1"/>
  <c r="H9"/>
  <c r="E9"/>
  <c r="B8"/>
  <c r="C7"/>
  <c r="E7" s="1"/>
  <c r="C6"/>
  <c r="E6" s="1"/>
  <c r="C5"/>
  <c r="E5" s="1"/>
  <c r="C4"/>
  <c r="H19" i="16"/>
  <c r="I19" s="1"/>
  <c r="E13"/>
  <c r="C12"/>
  <c r="E12" s="1"/>
  <c r="C11"/>
  <c r="E11" s="1"/>
  <c r="C10"/>
  <c r="E10" s="1"/>
  <c r="C9"/>
  <c r="E9" s="1"/>
  <c r="C8"/>
  <c r="E8" s="1"/>
  <c r="C7"/>
  <c r="E7" s="1"/>
  <c r="C6"/>
  <c r="C5"/>
  <c r="C4"/>
  <c r="E4" s="1"/>
  <c r="I20" i="15"/>
  <c r="H20"/>
  <c r="E13"/>
  <c r="C12"/>
  <c r="E12" s="1"/>
  <c r="E11"/>
  <c r="C10"/>
  <c r="E10" s="1"/>
  <c r="C9"/>
  <c r="E9" s="1"/>
  <c r="H8"/>
  <c r="C8"/>
  <c r="E8" s="1"/>
  <c r="C7"/>
  <c r="C6"/>
  <c r="E6" s="1"/>
  <c r="C5"/>
  <c r="E5" s="1"/>
  <c r="C4"/>
  <c r="E4" s="1"/>
  <c r="E9" i="6"/>
  <c r="E9" i="22" l="1"/>
  <c r="E7" i="26"/>
  <c r="E5" i="27"/>
  <c r="E7"/>
  <c r="E6"/>
  <c r="E6" i="16"/>
  <c r="E4" i="21"/>
  <c r="E7" i="15"/>
  <c r="E14" s="1"/>
  <c r="E15" s="1"/>
  <c r="D5" i="35"/>
  <c r="E5" s="1"/>
  <c r="E14" s="1"/>
  <c r="E15" s="1"/>
  <c r="J4" s="1"/>
  <c r="L4" s="1"/>
  <c r="N4" s="1"/>
  <c r="O4" s="1"/>
  <c r="H8" s="1"/>
  <c r="D5" i="1"/>
  <c r="D5" i="16"/>
  <c r="E5" s="1"/>
  <c r="E4" i="19"/>
  <c r="E8" s="1"/>
  <c r="E9" s="1"/>
  <c r="E13" s="1"/>
  <c r="G13" s="1"/>
  <c r="E9" i="26"/>
  <c r="E14" s="1"/>
  <c r="E15" s="1"/>
  <c r="E5" i="28"/>
  <c r="E14" s="1"/>
  <c r="E15" s="1"/>
  <c r="E14" i="29"/>
  <c r="E15" s="1"/>
  <c r="E14" i="27"/>
  <c r="E15" s="1"/>
  <c r="E14" i="24"/>
  <c r="E15" s="1"/>
  <c r="E4" i="23"/>
  <c r="E10" s="1"/>
  <c r="E11" s="1"/>
  <c r="E25"/>
  <c r="E29" s="1"/>
  <c r="E30" s="1"/>
  <c r="E34" s="1"/>
  <c r="G34" s="1"/>
  <c r="I34" s="1"/>
  <c r="J34" s="1"/>
  <c r="C39" s="1"/>
  <c r="E14" i="22"/>
  <c r="E15" s="1"/>
  <c r="I59" i="9"/>
  <c r="E3" i="12" s="1"/>
  <c r="E5" s="1"/>
  <c r="F5"/>
  <c r="C8" i="17"/>
  <c r="E8" s="1"/>
  <c r="H20" i="21"/>
  <c r="H18"/>
  <c r="H21"/>
  <c r="I21" s="1"/>
  <c r="J21" s="1"/>
  <c r="E7"/>
  <c r="E3"/>
  <c r="E12"/>
  <c r="E6"/>
  <c r="E9"/>
  <c r="E13"/>
  <c r="I13" s="1"/>
  <c r="J13" s="1"/>
  <c r="E14"/>
  <c r="I14" s="1"/>
  <c r="J14" s="1"/>
  <c r="D3"/>
  <c r="D6"/>
  <c r="D9"/>
  <c r="D10"/>
  <c r="I10" s="1"/>
  <c r="J10" s="1"/>
  <c r="D11"/>
  <c r="I11" s="1"/>
  <c r="J11" s="1"/>
  <c r="D4"/>
  <c r="D7"/>
  <c r="D22" i="9"/>
  <c r="J22" s="1"/>
  <c r="K22" s="1"/>
  <c r="E4" i="17"/>
  <c r="I13" i="19"/>
  <c r="J13" s="1"/>
  <c r="C17" s="1"/>
  <c r="E4" i="18"/>
  <c r="E8" s="1"/>
  <c r="E9" s="1"/>
  <c r="E14" i="16" l="1"/>
  <c r="E15" s="1"/>
  <c r="D20" i="9"/>
  <c r="J20" s="1"/>
  <c r="K20" s="1"/>
  <c r="D52"/>
  <c r="D78"/>
  <c r="E10" i="17"/>
  <c r="E11" s="1"/>
  <c r="D71" i="9" s="1"/>
  <c r="D21"/>
  <c r="J21" s="1"/>
  <c r="D77"/>
  <c r="D49"/>
  <c r="D17"/>
  <c r="D80"/>
  <c r="D53"/>
  <c r="D75"/>
  <c r="D51"/>
  <c r="D19"/>
  <c r="D79"/>
  <c r="D54"/>
  <c r="E19" i="29"/>
  <c r="G19" s="1"/>
  <c r="I19" s="1"/>
  <c r="J19" s="1"/>
  <c r="C23" s="1"/>
  <c r="D26" i="9"/>
  <c r="D83"/>
  <c r="D57"/>
  <c r="E19" i="24"/>
  <c r="G19" s="1"/>
  <c r="I19" s="1"/>
  <c r="J19" s="1"/>
  <c r="C23" s="1"/>
  <c r="D43" i="9"/>
  <c r="D69"/>
  <c r="D10"/>
  <c r="E19" i="22"/>
  <c r="G19" s="1"/>
  <c r="I19" s="1"/>
  <c r="J19" s="1"/>
  <c r="C23" s="1"/>
  <c r="D8" i="9"/>
  <c r="D67"/>
  <c r="D41"/>
  <c r="E19" i="28"/>
  <c r="G19" s="1"/>
  <c r="I19" s="1"/>
  <c r="J19" s="1"/>
  <c r="C23" s="1"/>
  <c r="D56" i="9"/>
  <c r="D25"/>
  <c r="D82"/>
  <c r="E19" i="26"/>
  <c r="G19" s="1"/>
  <c r="I19" s="1"/>
  <c r="J19" s="1"/>
  <c r="C23" s="1"/>
  <c r="D84" i="9"/>
  <c r="D58"/>
  <c r="D27"/>
  <c r="E19" i="27"/>
  <c r="G19" s="1"/>
  <c r="I19" s="1"/>
  <c r="J19" s="1"/>
  <c r="C23" s="1"/>
  <c r="D81" i="9"/>
  <c r="D55"/>
  <c r="D24"/>
  <c r="D72"/>
  <c r="D46"/>
  <c r="E15" i="23"/>
  <c r="G15" s="1"/>
  <c r="I15" s="1"/>
  <c r="J15" s="1"/>
  <c r="C19" s="1"/>
  <c r="D13" i="9"/>
  <c r="D45"/>
  <c r="D66"/>
  <c r="D40"/>
  <c r="D65"/>
  <c r="D39"/>
  <c r="E22"/>
  <c r="F22" s="1"/>
  <c r="E20"/>
  <c r="F20" s="1"/>
  <c r="E15" i="17"/>
  <c r="G15" s="1"/>
  <c r="I15" s="1"/>
  <c r="J15" s="1"/>
  <c r="C19" s="1"/>
  <c r="D12" i="9"/>
  <c r="E18" i="16"/>
  <c r="G18" s="1"/>
  <c r="I18" s="1"/>
  <c r="J18" s="1"/>
  <c r="C22" s="1"/>
  <c r="D7" i="9"/>
  <c r="E19" i="15"/>
  <c r="G19" s="1"/>
  <c r="I19" s="1"/>
  <c r="J19" s="1"/>
  <c r="C23" s="1"/>
  <c r="D6" i="9"/>
  <c r="I13" i="18"/>
  <c r="J13" s="1"/>
  <c r="C17" s="1"/>
  <c r="E13"/>
  <c r="G13" s="1"/>
  <c r="J78" i="9" l="1"/>
  <c r="K78" s="1"/>
  <c r="E78"/>
  <c r="F78" s="1"/>
  <c r="J52"/>
  <c r="K52" s="1"/>
  <c r="E52"/>
  <c r="F52" s="1"/>
  <c r="J54"/>
  <c r="K54" s="1"/>
  <c r="E54"/>
  <c r="F54" s="1"/>
  <c r="E80"/>
  <c r="F80" s="1"/>
  <c r="J80"/>
  <c r="K80" s="1"/>
  <c r="E79"/>
  <c r="F79" s="1"/>
  <c r="J79"/>
  <c r="K79" s="1"/>
  <c r="J53"/>
  <c r="K53" s="1"/>
  <c r="E53"/>
  <c r="F53" s="1"/>
  <c r="E83"/>
  <c r="F83" s="1"/>
  <c r="J83"/>
  <c r="K83" s="1"/>
  <c r="J57"/>
  <c r="K57" s="1"/>
  <c r="E57"/>
  <c r="F57" s="1"/>
  <c r="J26"/>
  <c r="K26" s="1"/>
  <c r="E26"/>
  <c r="F26" s="1"/>
  <c r="J69"/>
  <c r="K69" s="1"/>
  <c r="E69"/>
  <c r="F69" s="1"/>
  <c r="E10"/>
  <c r="F10" s="1"/>
  <c r="J10"/>
  <c r="K10" s="1"/>
  <c r="J43"/>
  <c r="K43" s="1"/>
  <c r="E43"/>
  <c r="F43" s="1"/>
  <c r="J41"/>
  <c r="K41" s="1"/>
  <c r="E41"/>
  <c r="F41" s="1"/>
  <c r="E67"/>
  <c r="F67" s="1"/>
  <c r="J67"/>
  <c r="K67" s="1"/>
  <c r="E8"/>
  <c r="F8" s="1"/>
  <c r="J8"/>
  <c r="K8" s="1"/>
  <c r="J82"/>
  <c r="K82" s="1"/>
  <c r="E82"/>
  <c r="F82" s="1"/>
  <c r="J25"/>
  <c r="K25" s="1"/>
  <c r="E25"/>
  <c r="F25" s="1"/>
  <c r="J56"/>
  <c r="K56" s="1"/>
  <c r="E56"/>
  <c r="F56" s="1"/>
  <c r="J27"/>
  <c r="K27" s="1"/>
  <c r="E27"/>
  <c r="F27" s="1"/>
  <c r="J84"/>
  <c r="K84" s="1"/>
  <c r="E84"/>
  <c r="F84" s="1"/>
  <c r="J58"/>
  <c r="K58" s="1"/>
  <c r="E58"/>
  <c r="F58" s="1"/>
  <c r="J24"/>
  <c r="K24" s="1"/>
  <c r="E24"/>
  <c r="F24" s="1"/>
  <c r="J55"/>
  <c r="K55" s="1"/>
  <c r="E55"/>
  <c r="F55" s="1"/>
  <c r="J81"/>
  <c r="K81" s="1"/>
  <c r="E81"/>
  <c r="F81" s="1"/>
  <c r="E46"/>
  <c r="F46" s="1"/>
  <c r="J46"/>
  <c r="K46" s="1"/>
  <c r="J72"/>
  <c r="K72" s="1"/>
  <c r="E72"/>
  <c r="F72" s="1"/>
  <c r="E13"/>
  <c r="F13" s="1"/>
  <c r="J13"/>
  <c r="K13" s="1"/>
  <c r="E71"/>
  <c r="F71" s="1"/>
  <c r="J71"/>
  <c r="K71" s="1"/>
  <c r="J45"/>
  <c r="K45" s="1"/>
  <c r="E45"/>
  <c r="F45" s="1"/>
  <c r="J40"/>
  <c r="K40" s="1"/>
  <c r="E40"/>
  <c r="F40" s="1"/>
  <c r="E66"/>
  <c r="F66" s="1"/>
  <c r="J66"/>
  <c r="K66" s="1"/>
  <c r="J39"/>
  <c r="K39" s="1"/>
  <c r="E39"/>
  <c r="F39" s="1"/>
  <c r="J65"/>
  <c r="K65" s="1"/>
  <c r="E65"/>
  <c r="F65" s="1"/>
  <c r="J12"/>
  <c r="K12" s="1"/>
  <c r="E12"/>
  <c r="F12" s="1"/>
  <c r="E7"/>
  <c r="F7" s="1"/>
  <c r="J7"/>
  <c r="K7" s="1"/>
  <c r="J6"/>
  <c r="E6"/>
  <c r="F6" s="1"/>
  <c r="K6" l="1"/>
  <c r="E13" i="4"/>
  <c r="E11"/>
  <c r="E14" i="5"/>
  <c r="I20" i="14"/>
  <c r="G55" i="11"/>
  <c r="H16" i="6"/>
  <c r="I16" s="1"/>
  <c r="B8" i="8"/>
  <c r="H20" i="5"/>
  <c r="I20" s="1"/>
  <c r="H35" i="6"/>
  <c r="E28"/>
  <c r="B27"/>
  <c r="C26"/>
  <c r="E26" s="1"/>
  <c r="C25"/>
  <c r="E25" s="1"/>
  <c r="C6" i="14"/>
  <c r="E6" s="1"/>
  <c r="E35" i="1"/>
  <c r="E36"/>
  <c r="I47"/>
  <c r="H47"/>
  <c r="E44"/>
  <c r="B34"/>
  <c r="C33"/>
  <c r="E33" s="1"/>
  <c r="C32"/>
  <c r="E32" s="1"/>
  <c r="C31"/>
  <c r="E31" s="1"/>
  <c r="C30"/>
  <c r="E30" s="1"/>
  <c r="C29"/>
  <c r="E29" s="1"/>
  <c r="C28"/>
  <c r="E28" s="1"/>
  <c r="C27"/>
  <c r="E27" s="1"/>
  <c r="C4" i="14"/>
  <c r="E4" s="1"/>
  <c r="C5"/>
  <c r="E5" s="1"/>
  <c r="H20"/>
  <c r="H8"/>
  <c r="C10" i="1"/>
  <c r="C9"/>
  <c r="C8"/>
  <c r="C7"/>
  <c r="C6"/>
  <c r="E6" s="1"/>
  <c r="C5"/>
  <c r="E5" s="1"/>
  <c r="C4"/>
  <c r="H8" i="13"/>
  <c r="H9" i="7"/>
  <c r="H9" i="6"/>
  <c r="I36" i="8"/>
  <c r="J36"/>
  <c r="K36"/>
  <c r="L36"/>
  <c r="M36"/>
  <c r="H36"/>
  <c r="E36"/>
  <c r="F36"/>
  <c r="G36"/>
  <c r="C36"/>
  <c r="D36"/>
  <c r="B36"/>
  <c r="H14" i="13"/>
  <c r="C5"/>
  <c r="E5" s="1"/>
  <c r="C4"/>
  <c r="D9" i="11"/>
  <c r="D8"/>
  <c r="D7"/>
  <c r="D6"/>
  <c r="D5"/>
  <c r="D4"/>
  <c r="D3"/>
  <c r="B6" i="10"/>
  <c r="B16" s="1"/>
  <c r="H14" i="7"/>
  <c r="H8" i="4"/>
  <c r="H20"/>
  <c r="I20" s="1"/>
  <c r="M5" i="1"/>
  <c r="E21"/>
  <c r="N22" i="8"/>
  <c r="C76"/>
  <c r="E76"/>
  <c r="F76"/>
  <c r="G76"/>
  <c r="H76"/>
  <c r="I76"/>
  <c r="J76"/>
  <c r="K76"/>
  <c r="L76"/>
  <c r="M76"/>
  <c r="B76"/>
  <c r="C24"/>
  <c r="D24"/>
  <c r="E24"/>
  <c r="F24"/>
  <c r="G24"/>
  <c r="H24"/>
  <c r="I24"/>
  <c r="J24"/>
  <c r="K24"/>
  <c r="L24"/>
  <c r="M24"/>
  <c r="B24"/>
  <c r="N18"/>
  <c r="N6"/>
  <c r="C20"/>
  <c r="D20"/>
  <c r="E20"/>
  <c r="F20"/>
  <c r="G20"/>
  <c r="H20"/>
  <c r="I20"/>
  <c r="J20"/>
  <c r="K20"/>
  <c r="L20"/>
  <c r="M20"/>
  <c r="B20"/>
  <c r="C8"/>
  <c r="D8"/>
  <c r="E8"/>
  <c r="F8"/>
  <c r="G8"/>
  <c r="H8"/>
  <c r="I8"/>
  <c r="J8"/>
  <c r="K8"/>
  <c r="L8"/>
  <c r="M8"/>
  <c r="N74"/>
  <c r="C4" i="7"/>
  <c r="E7"/>
  <c r="B6"/>
  <c r="C5"/>
  <c r="E5" s="1"/>
  <c r="B8" i="6"/>
  <c r="C7"/>
  <c r="E7" s="1"/>
  <c r="C6"/>
  <c r="C5"/>
  <c r="C4"/>
  <c r="C13" i="5"/>
  <c r="E13" s="1"/>
  <c r="C12"/>
  <c r="C10"/>
  <c r="C11"/>
  <c r="C9"/>
  <c r="C8"/>
  <c r="C7"/>
  <c r="C6"/>
  <c r="C5"/>
  <c r="C4"/>
  <c r="C12" i="4"/>
  <c r="B11"/>
  <c r="C10"/>
  <c r="E10" s="1"/>
  <c r="C9"/>
  <c r="C8"/>
  <c r="C7"/>
  <c r="C6"/>
  <c r="C4"/>
  <c r="B11" i="1"/>
  <c r="E7"/>
  <c r="E8"/>
  <c r="E9"/>
  <c r="E10"/>
  <c r="E4"/>
  <c r="E12"/>
  <c r="C14" i="12" l="1"/>
  <c r="I4" i="11"/>
  <c r="K4" s="1"/>
  <c r="D7" i="12"/>
  <c r="F7"/>
  <c r="E7"/>
  <c r="E5" i="6"/>
  <c r="G19" i="21"/>
  <c r="I19" s="1"/>
  <c r="J19" s="1"/>
  <c r="E4" i="6"/>
  <c r="G18" i="21"/>
  <c r="I18" s="1"/>
  <c r="J18" s="1"/>
  <c r="E6" i="6"/>
  <c r="G20" i="21"/>
  <c r="I20" s="1"/>
  <c r="J20" s="1"/>
  <c r="E6" i="5"/>
  <c r="F4" i="21"/>
  <c r="E5" i="5"/>
  <c r="F12" i="21"/>
  <c r="I12" s="1"/>
  <c r="J12" s="1"/>
  <c r="E8" i="5"/>
  <c r="F15" i="21"/>
  <c r="I15" s="1"/>
  <c r="J15" s="1"/>
  <c r="E11" i="5"/>
  <c r="F7" i="21"/>
  <c r="E12" i="5"/>
  <c r="F9" i="21"/>
  <c r="E4" i="5"/>
  <c r="F3" i="21"/>
  <c r="E7" i="5"/>
  <c r="F6" i="21"/>
  <c r="E9" i="5"/>
  <c r="F16" i="21"/>
  <c r="I16" s="1"/>
  <c r="J16" s="1"/>
  <c r="E10" i="5"/>
  <c r="F17" i="21"/>
  <c r="I17" s="1"/>
  <c r="J17" s="1"/>
  <c r="E4" i="4"/>
  <c r="C3" i="21"/>
  <c r="I3" s="1"/>
  <c r="J3" s="1"/>
  <c r="E6" i="4"/>
  <c r="C5" i="21"/>
  <c r="I5" s="1"/>
  <c r="J5" s="1"/>
  <c r="E8" i="4"/>
  <c r="C7" i="21"/>
  <c r="I7" s="1"/>
  <c r="J7" s="1"/>
  <c r="E12" i="4"/>
  <c r="C8" i="21"/>
  <c r="I8" s="1"/>
  <c r="J8" s="1"/>
  <c r="E5" i="4"/>
  <c r="C4" i="21"/>
  <c r="I4" s="1"/>
  <c r="J4" s="1"/>
  <c r="E7" i="4"/>
  <c r="C6" i="21"/>
  <c r="I6" s="1"/>
  <c r="J6" s="1"/>
  <c r="E9" i="4"/>
  <c r="C9" i="21"/>
  <c r="M77" i="8"/>
  <c r="K77"/>
  <c r="I77"/>
  <c r="G77"/>
  <c r="L77"/>
  <c r="J77"/>
  <c r="H77"/>
  <c r="F77"/>
  <c r="C27" i="6"/>
  <c r="E29"/>
  <c r="E30" s="1"/>
  <c r="E34" s="1"/>
  <c r="G34" s="1"/>
  <c r="I34" s="1"/>
  <c r="J34" s="1"/>
  <c r="C39" s="1"/>
  <c r="E14" i="14"/>
  <c r="E15" s="1"/>
  <c r="E19" s="1"/>
  <c r="G19" s="1"/>
  <c r="I19" s="1"/>
  <c r="J19" s="1"/>
  <c r="C23" s="1"/>
  <c r="D10" i="11"/>
  <c r="C34" i="1"/>
  <c r="E34" s="1"/>
  <c r="E37" s="1"/>
  <c r="E38" s="1"/>
  <c r="E46" s="1"/>
  <c r="G46" s="1"/>
  <c r="I46" s="1"/>
  <c r="J46" s="1"/>
  <c r="E4" i="13"/>
  <c r="E8" s="1"/>
  <c r="E9" s="1"/>
  <c r="C7" i="12"/>
  <c r="I5" i="9"/>
  <c r="C6" i="7"/>
  <c r="E4"/>
  <c r="E8" s="1"/>
  <c r="E9" s="1"/>
  <c r="C8" i="6"/>
  <c r="E8" s="1"/>
  <c r="E10" s="1"/>
  <c r="E11" s="1"/>
  <c r="E14" i="1"/>
  <c r="E15" s="1"/>
  <c r="J4" s="1"/>
  <c r="L4" s="1"/>
  <c r="N4" s="1"/>
  <c r="O4" s="1"/>
  <c r="H8" s="1"/>
  <c r="D15" i="9" l="1"/>
  <c r="J15" s="1"/>
  <c r="K15" s="1"/>
  <c r="D73"/>
  <c r="D47"/>
  <c r="D76"/>
  <c r="D74"/>
  <c r="D50"/>
  <c r="D48"/>
  <c r="E15" i="5"/>
  <c r="E16" s="1"/>
  <c r="D68" i="9" s="1"/>
  <c r="E14" i="4"/>
  <c r="E15" s="1"/>
  <c r="D64" i="9" s="1"/>
  <c r="D11"/>
  <c r="J11" s="1"/>
  <c r="K11" s="1"/>
  <c r="D70"/>
  <c r="D44"/>
  <c r="I9" i="21"/>
  <c r="J9" s="1"/>
  <c r="J22" s="1"/>
  <c r="E14" i="12"/>
  <c r="F14"/>
  <c r="I21" i="9"/>
  <c r="K21" s="1"/>
  <c r="E21"/>
  <c r="F21" s="1"/>
  <c r="I13" i="7"/>
  <c r="J13" s="1"/>
  <c r="C17" s="1"/>
  <c r="D18" i="9"/>
  <c r="D16"/>
  <c r="E13" i="7"/>
  <c r="G13" s="1"/>
  <c r="D14" i="12"/>
  <c r="E13" i="13"/>
  <c r="G13" s="1"/>
  <c r="I13" s="1"/>
  <c r="J13" s="1"/>
  <c r="C17" s="1"/>
  <c r="E15" i="6"/>
  <c r="G15" s="1"/>
  <c r="I15" s="1"/>
  <c r="J15" s="1"/>
  <c r="C19" s="1"/>
  <c r="C3" i="12"/>
  <c r="N77" i="8"/>
  <c r="D3" i="12" l="1"/>
  <c r="D5" s="1"/>
  <c r="E15" i="9"/>
  <c r="F15" s="1"/>
  <c r="D9"/>
  <c r="J9" s="1"/>
  <c r="K9" s="1"/>
  <c r="E11"/>
  <c r="F11" s="1"/>
  <c r="J5"/>
  <c r="J47"/>
  <c r="K47" s="1"/>
  <c r="E47"/>
  <c r="F47" s="1"/>
  <c r="E73"/>
  <c r="F73" s="1"/>
  <c r="J73"/>
  <c r="K73" s="1"/>
  <c r="D42"/>
  <c r="E42" s="1"/>
  <c r="F42" s="1"/>
  <c r="E19" i="5"/>
  <c r="G19" s="1"/>
  <c r="I19" s="1"/>
  <c r="J19" s="1"/>
  <c r="C23" s="1"/>
  <c r="E19" i="4"/>
  <c r="G19" s="1"/>
  <c r="I19" s="1"/>
  <c r="J19" s="1"/>
  <c r="C23" s="1"/>
  <c r="D38" i="9"/>
  <c r="J38" s="1"/>
  <c r="J77"/>
  <c r="K77" s="1"/>
  <c r="E77"/>
  <c r="F77" s="1"/>
  <c r="J50"/>
  <c r="K50" s="1"/>
  <c r="E50"/>
  <c r="F50" s="1"/>
  <c r="J76"/>
  <c r="K76" s="1"/>
  <c r="E76"/>
  <c r="F76" s="1"/>
  <c r="J51"/>
  <c r="K51" s="1"/>
  <c r="E51"/>
  <c r="F51" s="1"/>
  <c r="J48"/>
  <c r="K48" s="1"/>
  <c r="E48"/>
  <c r="F48" s="1"/>
  <c r="J74"/>
  <c r="K74" s="1"/>
  <c r="E74"/>
  <c r="F74" s="1"/>
  <c r="J49"/>
  <c r="K49" s="1"/>
  <c r="E49"/>
  <c r="F49" s="1"/>
  <c r="J75"/>
  <c r="K75" s="1"/>
  <c r="E75"/>
  <c r="F75" s="1"/>
  <c r="J44"/>
  <c r="K44" s="1"/>
  <c r="E44"/>
  <c r="F44" s="1"/>
  <c r="E70"/>
  <c r="F70" s="1"/>
  <c r="J70"/>
  <c r="K70" s="1"/>
  <c r="J68"/>
  <c r="K68" s="1"/>
  <c r="E68"/>
  <c r="F68" s="1"/>
  <c r="J42"/>
  <c r="K42" s="1"/>
  <c r="E64"/>
  <c r="F64" s="1"/>
  <c r="J64"/>
  <c r="E18"/>
  <c r="F18" s="1"/>
  <c r="J18"/>
  <c r="K18" s="1"/>
  <c r="J19"/>
  <c r="K19" s="1"/>
  <c r="E19"/>
  <c r="F19" s="1"/>
  <c r="E16"/>
  <c r="F16" s="1"/>
  <c r="J16"/>
  <c r="K16" s="1"/>
  <c r="J17"/>
  <c r="K17" s="1"/>
  <c r="E17"/>
  <c r="F17" s="1"/>
  <c r="J33" l="1"/>
  <c r="K5"/>
  <c r="K33" s="1"/>
  <c r="E9"/>
  <c r="F9" s="1"/>
  <c r="E38"/>
  <c r="F38" s="1"/>
  <c r="E5"/>
  <c r="F5" s="1"/>
  <c r="K38"/>
  <c r="K59" s="1"/>
  <c r="J59"/>
  <c r="E4" i="12" s="1"/>
  <c r="E6" s="1"/>
  <c r="K64" i="9"/>
  <c r="K85" s="1"/>
  <c r="J85"/>
  <c r="F4" i="12" s="1"/>
  <c r="F6" s="1"/>
  <c r="C4"/>
  <c r="C6" s="1"/>
  <c r="F12" l="1"/>
  <c r="F13" s="1"/>
  <c r="F8"/>
  <c r="F9" s="1"/>
  <c r="F10" s="1"/>
  <c r="F11" s="1"/>
  <c r="E12"/>
  <c r="E13" s="1"/>
  <c r="E8"/>
  <c r="E9" s="1"/>
  <c r="E10" s="1"/>
  <c r="E11" s="1"/>
  <c r="D4"/>
  <c r="D6" s="1"/>
  <c r="C12"/>
  <c r="C13" s="1"/>
  <c r="C8"/>
  <c r="C9" s="1"/>
  <c r="E15" l="1"/>
  <c r="E16"/>
  <c r="F16"/>
  <c r="F15"/>
  <c r="C10"/>
  <c r="C11" s="1"/>
  <c r="D8"/>
  <c r="D9" s="1"/>
  <c r="D10" s="1"/>
  <c r="D11" s="1"/>
  <c r="D12"/>
  <c r="D13" s="1"/>
  <c r="C16" l="1"/>
  <c r="C15"/>
  <c r="D16"/>
  <c r="D15"/>
</calcChain>
</file>

<file path=xl/sharedStrings.xml><?xml version="1.0" encoding="utf-8"?>
<sst xmlns="http://schemas.openxmlformats.org/spreadsheetml/2006/main" count="1158" uniqueCount="354">
  <si>
    <t>Descripción de Materia Prima</t>
  </si>
  <si>
    <t>Costo Unitario</t>
  </si>
  <si>
    <t>Costo Total</t>
  </si>
  <si>
    <t>Mano de obra</t>
  </si>
  <si>
    <t>Soda Caustica</t>
  </si>
  <si>
    <t>Tensan EPNF</t>
  </si>
  <si>
    <t>Cloruro de Sodio</t>
  </si>
  <si>
    <t xml:space="preserve">Formol </t>
  </si>
  <si>
    <t>Acido Sulfonico</t>
  </si>
  <si>
    <t>Agua</t>
  </si>
  <si>
    <t>Formula</t>
  </si>
  <si>
    <t>Cant. Total</t>
  </si>
  <si>
    <t>Cantidad a Producir</t>
  </si>
  <si>
    <t>Costo de Detergente Verde</t>
  </si>
  <si>
    <t xml:space="preserve">Color. Verde P. </t>
  </si>
  <si>
    <t>Trietanolamina</t>
  </si>
  <si>
    <t>Lauril E. Sulfato de Na.</t>
  </si>
  <si>
    <t>Blanqueador BP3B</t>
  </si>
  <si>
    <t>Color. Azul P.</t>
  </si>
  <si>
    <t>Ac. Sulfonico (LAVREX 100)</t>
  </si>
  <si>
    <t>Mano de Obra</t>
  </si>
  <si>
    <t>Jabon Liquido para Ropa</t>
  </si>
  <si>
    <t>Suavizante de Ropa Confort</t>
  </si>
  <si>
    <t>Genamin</t>
  </si>
  <si>
    <t>Fraga. Confort Color Plus</t>
  </si>
  <si>
    <t>Colorante Azul Colanil</t>
  </si>
  <si>
    <t>Desodorante Lavanda</t>
  </si>
  <si>
    <t xml:space="preserve">DESOD. CONCENTRADO </t>
  </si>
  <si>
    <t>AGUA</t>
  </si>
  <si>
    <t xml:space="preserve">PLAN DE MARKETING - PROYECCION DE VENTAS </t>
  </si>
  <si>
    <t xml:space="preserve">ANO </t>
  </si>
  <si>
    <t xml:space="preserve">Principales Productos </t>
  </si>
  <si>
    <t>TOTAL</t>
  </si>
  <si>
    <t>ANUAL</t>
  </si>
  <si>
    <t>Unidades Vendidas</t>
  </si>
  <si>
    <t>Precio por Unidad</t>
  </si>
  <si>
    <t>Sub Total de Ventas</t>
  </si>
  <si>
    <t>Total de Ventas</t>
  </si>
  <si>
    <t>Detergente Verde</t>
  </si>
  <si>
    <t>Jabón Liquido</t>
  </si>
  <si>
    <t>Suavisante de Ropa Comfort</t>
  </si>
  <si>
    <t>Impuesto</t>
  </si>
  <si>
    <t>Descuento</t>
  </si>
  <si>
    <t>Comisión</t>
  </si>
  <si>
    <t>Margen</t>
  </si>
  <si>
    <t>Total</t>
  </si>
  <si>
    <t>PV=</t>
  </si>
  <si>
    <t>1-(    %    )</t>
  </si>
  <si>
    <t>1-</t>
  </si>
  <si>
    <t xml:space="preserve">Cuadro: Analisis de Costo Vrs Margen </t>
  </si>
  <si>
    <t>Nº</t>
  </si>
  <si>
    <t xml:space="preserve">PRODUCTOS </t>
  </si>
  <si>
    <t xml:space="preserve">PRECIO DE VENTA </t>
  </si>
  <si>
    <t xml:space="preserve">COSTO </t>
  </si>
  <si>
    <t xml:space="preserve">MARGEN  de CONTRIBUCION </t>
  </si>
  <si>
    <t>%</t>
  </si>
  <si>
    <t xml:space="preserve">Cantidad </t>
  </si>
  <si>
    <t xml:space="preserve">Facturacion </t>
  </si>
  <si>
    <t xml:space="preserve">Costo Total </t>
  </si>
  <si>
    <t xml:space="preserve">Margen Acumulado </t>
  </si>
  <si>
    <t xml:space="preserve">SERVICIOS </t>
  </si>
  <si>
    <t>s/ Vtas</t>
  </si>
  <si>
    <t xml:space="preserve">Total Gs. </t>
  </si>
  <si>
    <t>Suavisante Confort</t>
  </si>
  <si>
    <t>Cuadro: Gastos Fijos Mensuales</t>
  </si>
  <si>
    <t>DESCRIPCION</t>
  </si>
  <si>
    <t>VALOR (GS)</t>
  </si>
  <si>
    <t xml:space="preserve">Salario del Administrador / Propietario </t>
  </si>
  <si>
    <t xml:space="preserve">Personal administrativo </t>
  </si>
  <si>
    <t>Honorario del contador</t>
  </si>
  <si>
    <t>Salario de Vendedores</t>
  </si>
  <si>
    <t>Alquiler</t>
  </si>
  <si>
    <t>Depreciación maquinarias y equipos</t>
  </si>
  <si>
    <t>Teléfono</t>
  </si>
  <si>
    <t>Energía eléctrica ( Administrativo)</t>
  </si>
  <si>
    <t>Mantenimiento / Limpieza</t>
  </si>
  <si>
    <t>Transporte (Activ Administrativas)</t>
  </si>
  <si>
    <t>Gastos varios (intereses de préstamos)/otros</t>
  </si>
  <si>
    <t>Publicidad programada</t>
  </si>
  <si>
    <t>Cuadro de inversión inicial</t>
  </si>
  <si>
    <t>Descripción</t>
  </si>
  <si>
    <t>Cantidad</t>
  </si>
  <si>
    <t>Valor unit</t>
  </si>
  <si>
    <t>Valor total</t>
  </si>
  <si>
    <t>Construcción de Galpon</t>
  </si>
  <si>
    <t>Maquina para elaboración</t>
  </si>
  <si>
    <t>Tambores de 60 Litros</t>
  </si>
  <si>
    <t>Tambores de 100 litros</t>
  </si>
  <si>
    <t>Tambores de 200 litros</t>
  </si>
  <si>
    <t>Estante</t>
  </si>
  <si>
    <t>Total de Inversión Inicial</t>
  </si>
  <si>
    <t xml:space="preserve">Ingresos por Meta de Venta </t>
  </si>
  <si>
    <t>Costos de produccion</t>
  </si>
  <si>
    <t>Total Costos Directos</t>
  </si>
  <si>
    <t>Gastos fijos</t>
  </si>
  <si>
    <t>Costo total ( 3 + 4 )</t>
  </si>
  <si>
    <t>Utilidad bruta ( 1 - 5 )</t>
  </si>
  <si>
    <t>Impuesto ( 10% sobre ítem 6 )</t>
  </si>
  <si>
    <t>Utilidad neta  ( 6 - 7 )</t>
  </si>
  <si>
    <t>Margen de contribución - MC ( 1 - 3 )</t>
  </si>
  <si>
    <t>Punto de equilibrio -  PE - ( 4/(9/1))</t>
  </si>
  <si>
    <r>
      <t xml:space="preserve">Tasa de retorno </t>
    </r>
    <r>
      <rPr>
        <sz val="11"/>
        <rFont val="Arial"/>
        <family val="2"/>
      </rPr>
      <t>(utilidad neta / inversión inicial )*100</t>
    </r>
  </si>
  <si>
    <r>
      <t xml:space="preserve">Plazo de retorno </t>
    </r>
    <r>
      <rPr>
        <sz val="11"/>
        <rFont val="Arial"/>
        <family val="2"/>
      </rPr>
      <t xml:space="preserve"> (inversión inicial/utilidad neta) meses</t>
    </r>
  </si>
  <si>
    <t>MESES</t>
  </si>
  <si>
    <t>Cuadro de Resultados</t>
  </si>
  <si>
    <t>Meta Prime</t>
  </si>
  <si>
    <t>Inversiones Inicial</t>
  </si>
  <si>
    <t>Cloro 12%</t>
  </si>
  <si>
    <t>Cloro</t>
  </si>
  <si>
    <t>Costo de comercializacion</t>
  </si>
  <si>
    <t>Costo de Detergente Neutro al 30%</t>
  </si>
  <si>
    <t>Costo de Detergente Verde al 30%</t>
  </si>
  <si>
    <t xml:space="preserve">Costo de Detergente Neutro </t>
  </si>
  <si>
    <t>Inversión Real</t>
  </si>
  <si>
    <t>Detergente Neutro</t>
  </si>
  <si>
    <t>Concetrado suav. Confort</t>
  </si>
  <si>
    <t>A disposic.</t>
  </si>
  <si>
    <t>En Caja</t>
  </si>
  <si>
    <t>Lauril E.(Genapol)</t>
  </si>
  <si>
    <t>Lavandina</t>
  </si>
  <si>
    <t>Lauril E. Sulfato de Na.(Gen)</t>
  </si>
  <si>
    <t>Cloruro de Sodio (sal)</t>
  </si>
  <si>
    <t>Transporte</t>
  </si>
  <si>
    <t>Lauril E. (Genapol)</t>
  </si>
  <si>
    <t>REXAMIDA 60</t>
  </si>
  <si>
    <t>COL. Naranja</t>
  </si>
  <si>
    <t>Fragancia Citronella</t>
  </si>
  <si>
    <t>Color. Verde Esp.</t>
  </si>
  <si>
    <t>Fraga. Naturaleza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</si>
  <si>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</si>
  <si>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</si>
  <si>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</si>
  <si>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</si>
  <si>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</si>
  <si>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</si>
  <si>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</si>
  <si>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</si>
  <si>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</si>
  <si>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</si>
  <si>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</si>
  <si>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</si>
  <si>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Detergente Económico</t>
  </si>
  <si>
    <t>Detergente Especial</t>
  </si>
  <si>
    <t>Suavisante de Ropa Naturaleza</t>
  </si>
  <si>
    <t>Desodorante Frutiza</t>
  </si>
  <si>
    <t>Desodorante Citronela</t>
  </si>
  <si>
    <t>Desodorante Pino</t>
  </si>
  <si>
    <t>Desodorante Primavera</t>
  </si>
  <si>
    <t>Desodorante Arpess</t>
  </si>
  <si>
    <t>Desodorante Vainilla</t>
  </si>
  <si>
    <t>Perfume para Ropa</t>
  </si>
  <si>
    <t>Multiuso</t>
  </si>
  <si>
    <t>Costo de Detergente Económico</t>
  </si>
  <si>
    <t>Costo de Detergente Especial</t>
  </si>
  <si>
    <t>Suavisante Naturaleza</t>
  </si>
  <si>
    <t>Perfume de Ropa conford</t>
  </si>
  <si>
    <t xml:space="preserve">Cantidad de Materia Prima </t>
  </si>
  <si>
    <t>Deter. Verd</t>
  </si>
  <si>
    <t>Deter. Econ</t>
  </si>
  <si>
    <t>Deter. Espe</t>
  </si>
  <si>
    <t>Jabon Liq</t>
  </si>
  <si>
    <t>Suav. Confo</t>
  </si>
  <si>
    <t>Suav. Natur</t>
  </si>
  <si>
    <t>Monto</t>
  </si>
  <si>
    <t>Marketing</t>
  </si>
  <si>
    <t>tercer mes</t>
  </si>
  <si>
    <t>cuarto mes</t>
  </si>
  <si>
    <t>Primer mes</t>
  </si>
  <si>
    <t>Pasaje a Encarnación</t>
  </si>
  <si>
    <t>En efectivo</t>
  </si>
  <si>
    <t>Suavisante de Ropa Viveré</t>
  </si>
  <si>
    <t>Limpia Vidrio</t>
  </si>
  <si>
    <t>Suavisante Viveré</t>
  </si>
  <si>
    <t>Combustible</t>
  </si>
  <si>
    <t>Pago de Alquiler</t>
  </si>
  <si>
    <t>Tambor de 200 litros</t>
  </si>
  <si>
    <t>PROVEEDOR</t>
  </si>
  <si>
    <t>Ing. Doutrelo - INCA</t>
  </si>
  <si>
    <t>El Puente</t>
  </si>
  <si>
    <t>Proquitec</t>
  </si>
  <si>
    <t>Amigo y Arditi - Traflagar</t>
  </si>
  <si>
    <t>Eva Echauri</t>
  </si>
  <si>
    <t>Trafalgar</t>
  </si>
  <si>
    <t>J.C.M.</t>
  </si>
  <si>
    <t>Costo de Detergente Alcalino</t>
  </si>
  <si>
    <t>Metacilicato de Sodio</t>
  </si>
  <si>
    <t>Colorante Azul P.</t>
  </si>
  <si>
    <t>Ac. Sulfonico</t>
  </si>
  <si>
    <t>Soda caustica</t>
  </si>
  <si>
    <t>Sal</t>
  </si>
  <si>
    <t>Suavizante de Ropa Naturaleza</t>
  </si>
  <si>
    <t>COL. COLANYL VERDE HGG LTS.</t>
  </si>
  <si>
    <t>Legalización</t>
  </si>
  <si>
    <t>Balanza</t>
  </si>
  <si>
    <t>Prestamo a Marlene</t>
  </si>
  <si>
    <t>Lauril E. Sulfato de Na</t>
  </si>
  <si>
    <t>Suavizante de Ropa Viveré</t>
  </si>
  <si>
    <t>GENAMIN</t>
  </si>
  <si>
    <t>Frag.  VIVERE</t>
  </si>
  <si>
    <t>COL. COLANYL ROJO COL.</t>
  </si>
  <si>
    <t>Color. Violeta</t>
  </si>
  <si>
    <t>Fragancia Manzana V.</t>
  </si>
  <si>
    <t>Costo de Jabón liquido para Mano</t>
  </si>
  <si>
    <t>Compra de Ac, Lauril y sod</t>
  </si>
  <si>
    <t>Transporte Ac,Lauril y soc</t>
  </si>
  <si>
    <t>compra de repasador</t>
  </si>
  <si>
    <t>Depos.a El puente</t>
  </si>
  <si>
    <t>Depos. A Trafalgar</t>
  </si>
  <si>
    <t>Depos. A Proquitec</t>
  </si>
  <si>
    <t>Deposito a Eva Echauri</t>
  </si>
  <si>
    <t>PROVEEDORES DE LIMPIA MAS</t>
  </si>
  <si>
    <t>NOMBRE</t>
  </si>
  <si>
    <t>BANCO</t>
  </si>
  <si>
    <t>CUENTA</t>
  </si>
  <si>
    <t>TELEFONO</t>
  </si>
  <si>
    <t>José Raul Dautreleau</t>
  </si>
  <si>
    <t>ITAU</t>
  </si>
  <si>
    <t>30003937/1</t>
  </si>
  <si>
    <t>0984 555-608</t>
  </si>
  <si>
    <t>0981 255-954</t>
  </si>
  <si>
    <t>C.I.</t>
  </si>
  <si>
    <t>588-692</t>
  </si>
  <si>
    <t>COOP. UNI</t>
  </si>
  <si>
    <t>REGIONAL</t>
  </si>
  <si>
    <t>021 753-786/7</t>
  </si>
  <si>
    <t>El Puente S.A. (Ing. Silvero)</t>
  </si>
  <si>
    <t>Trafalgar S.R.L. (Cinthya)</t>
  </si>
  <si>
    <t>0984 807-013</t>
  </si>
  <si>
    <t>Proquitec S.A. (Mauricio)</t>
  </si>
  <si>
    <t>30009429/1</t>
  </si>
  <si>
    <t>021 523979</t>
  </si>
  <si>
    <t>Amigo &amp; Arditi S.R.L.</t>
  </si>
  <si>
    <t>30000351/2</t>
  </si>
  <si>
    <t>FORMOL</t>
  </si>
  <si>
    <t>Fragancia ACE TEQUILA</t>
  </si>
  <si>
    <t>Carpincenter</t>
  </si>
  <si>
    <t>Transporte El puente</t>
  </si>
  <si>
    <t>Transporte Trafalgar</t>
  </si>
  <si>
    <t>Limpar S.R.L.</t>
  </si>
  <si>
    <t>Trasporte Limpar</t>
  </si>
  <si>
    <t>Amigo y Arditi</t>
  </si>
  <si>
    <t>JCM Import - Export</t>
  </si>
  <si>
    <t>Ferreteria, manguera</t>
  </si>
  <si>
    <t>Librería</t>
  </si>
  <si>
    <t>Carlos David</t>
  </si>
  <si>
    <t>Pasaje a Asuncion - Rysa</t>
  </si>
  <si>
    <t>Viaje en auto a encarnac</t>
  </si>
  <si>
    <t>Paolo Lucena</t>
  </si>
  <si>
    <t>viatico en auto</t>
  </si>
  <si>
    <t>Compra de Sal</t>
  </si>
  <si>
    <t>Jarra y embudos</t>
  </si>
  <si>
    <t>Compra de cubierta</t>
  </si>
  <si>
    <t>Almuerzo y estadía encar</t>
  </si>
  <si>
    <t>Costo de Multiuso</t>
  </si>
  <si>
    <t>Butil Glicol (Proquitec)</t>
  </si>
  <si>
    <t>ALCOHOL RECTIFICADO</t>
  </si>
  <si>
    <t>ALCOHOL ISOPROPILICO</t>
  </si>
  <si>
    <t>CORANTE NARANJA</t>
  </si>
  <si>
    <t>FRAGANCIA LUXURIA</t>
  </si>
  <si>
    <t>GENAPOL (Lauril)</t>
  </si>
  <si>
    <t>Costo de Limpia Vidrio</t>
  </si>
  <si>
    <t>Fragancia Manzana Verde</t>
  </si>
  <si>
    <t>NOLIL FENOL</t>
  </si>
  <si>
    <t>Lauril E. S. Na</t>
  </si>
  <si>
    <t>Alcohol</t>
  </si>
  <si>
    <t>NOLIL FENOL o Genapol c9</t>
  </si>
  <si>
    <t>Costo de Perfuma para Ropa Confort</t>
  </si>
  <si>
    <t>Fragancia Confort C. Plus</t>
  </si>
  <si>
    <t>Costo de Perfuma para Ropa Naturaleza</t>
  </si>
  <si>
    <t>Fragancia Naturaleza</t>
  </si>
  <si>
    <t>Desodorante Fantasia</t>
  </si>
  <si>
    <t>Desodorante Banbú</t>
  </si>
  <si>
    <t>Jabón Liquido para Mano</t>
  </si>
  <si>
    <t>Jabón Liquido para Ropa</t>
  </si>
  <si>
    <t>Perfume para Ropa Naturaleza</t>
  </si>
  <si>
    <t>Detergente Alcalino</t>
  </si>
  <si>
    <t>Jabón Líquido para Mano</t>
  </si>
  <si>
    <t>Desodorante Fantasía</t>
  </si>
  <si>
    <t>Desodorante Bambú</t>
  </si>
  <si>
    <t>Perfume para Ropa Naturalez</t>
  </si>
  <si>
    <t>COSTOS MPI</t>
  </si>
  <si>
    <t>COSTO $</t>
  </si>
  <si>
    <t>COSTO Gs.</t>
  </si>
  <si>
    <t>ACIDO SULFONICO</t>
  </si>
  <si>
    <t>SODA CAUSTICA</t>
  </si>
  <si>
    <t>TRIETANOLAMINA</t>
  </si>
  <si>
    <t>LAURIL ETER SULFATO DE SODIO</t>
  </si>
  <si>
    <t>SAL INDUSTRIAL</t>
  </si>
  <si>
    <t>REXAMIDA</t>
  </si>
  <si>
    <t>METASILICATO DE SODIO</t>
  </si>
  <si>
    <t>FRAGANCIA CITRONELLA</t>
  </si>
  <si>
    <t>COLORANTE RODAMINA</t>
  </si>
  <si>
    <t>ACOHOL RECTIFICADO</t>
  </si>
  <si>
    <t>CLORO 12%</t>
  </si>
  <si>
    <t>BASE SUAVIZANTE</t>
  </si>
  <si>
    <t>FRAGANCIA CONFORT COLOR PLUS</t>
  </si>
  <si>
    <t>NONIL FENOL</t>
  </si>
  <si>
    <t>FRAGANCIA NATURALEZA</t>
  </si>
  <si>
    <t>FRAGANCIA MANZANA VERDE</t>
  </si>
  <si>
    <t>COLORANTE AZUL COLANYL B2G</t>
  </si>
  <si>
    <t>COLORANTE VERDE COLANYL</t>
  </si>
  <si>
    <t>COLORANTE NARANJA</t>
  </si>
  <si>
    <t>COLORANTE VERDE P</t>
  </si>
  <si>
    <t>COLORANTE AZUL P</t>
  </si>
  <si>
    <t>BLANQUEADOR OPTICO LIQUIDO</t>
  </si>
  <si>
    <t>TENSAN EPNF</t>
  </si>
  <si>
    <t>BUTIL GLICOL</t>
  </si>
  <si>
    <t>GENAPOL C90</t>
  </si>
  <si>
    <t>FRAGANCIA VIVERE</t>
  </si>
  <si>
    <t>FRAGANCIA Ace Tequila</t>
  </si>
  <si>
    <t>COLORANTE ROJO COLANYL</t>
  </si>
  <si>
    <t>COLORANTE VERDE ESPECIAL</t>
  </si>
  <si>
    <t>COLORANTE VIOLETA</t>
  </si>
  <si>
    <t>Sillas para la oficina</t>
  </si>
  <si>
    <t>Luxuria de Eva</t>
  </si>
  <si>
    <t>Vivere de Trafalgar</t>
  </si>
  <si>
    <t xml:space="preserve">Mantenimiento </t>
  </si>
  <si>
    <t>Combustible en Noha</t>
  </si>
  <si>
    <t>Habilitación de Noha</t>
  </si>
  <si>
    <t>Retiro de Encomienda</t>
  </si>
  <si>
    <t>Agua y Luz</t>
  </si>
  <si>
    <t>Bidones de 5 y 10 litros</t>
  </si>
  <si>
    <t>Factura</t>
  </si>
  <si>
    <t>Hojas y utiles</t>
  </si>
  <si>
    <t>Stock Inicial</t>
  </si>
  <si>
    <t>Deter. Econ.</t>
  </si>
  <si>
    <t>Deterg. Ver</t>
  </si>
  <si>
    <t>Deterg. Alca</t>
  </si>
  <si>
    <t>Deterg. Esp</t>
  </si>
  <si>
    <t>Suav. Viver</t>
  </si>
  <si>
    <t>Jabón p/Ro</t>
  </si>
  <si>
    <t>Limpia Vid</t>
  </si>
  <si>
    <t>Stock final</t>
  </si>
  <si>
    <t>STOCK DE MATERIA PRIMA</t>
  </si>
  <si>
    <t>Alcohol Rectificado</t>
  </si>
  <si>
    <t>CERA LIQUIDA ROJO</t>
  </si>
  <si>
    <t>CERA LIQUIDA NEUTRO</t>
  </si>
  <si>
    <t>Perfume Co</t>
  </si>
  <si>
    <t>Perfuma Na</t>
  </si>
  <si>
    <t>NOLIL FENOL o Lauril</t>
  </si>
  <si>
    <t>Fragancia Happy</t>
  </si>
  <si>
    <t xml:space="preserve">NOLIL FENOL </t>
  </si>
  <si>
    <t xml:space="preserve">Costo de Apresto para Ropa </t>
  </si>
  <si>
    <t>Limpar S.A. (Raúl)</t>
  </si>
  <si>
    <t>Continental</t>
  </si>
  <si>
    <t>Nonil Fenol</t>
  </si>
  <si>
    <t>Enturbiante Mowilit</t>
  </si>
  <si>
    <t>Cloro al 12%</t>
  </si>
  <si>
    <t>Cloro al 3%</t>
  </si>
  <si>
    <t>Cera Liq. p/ Piso Rojo</t>
  </si>
  <si>
    <t>Cera Liq. p/ Piso Neutro</t>
  </si>
  <si>
    <t>Silicona para Auto</t>
  </si>
  <si>
    <t>Detergente para Auto</t>
  </si>
  <si>
    <t>Abrillantador para Neumáticos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</si>
</sst>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000"/>
    <numFmt numFmtId="167" formatCode="_(* #,##0.0_);_(* \(#,##0.0\);_(* &quot;-&quot;??_);_(@_)"/>
    <numFmt numFmtId="168" formatCode="0.000"/>
    <numFmt numFmtId="169" formatCode="_(* #,##0.000_);_(* \(#,##0.0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b/>
      <sz val="18"/>
      <color theme="1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9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4" fillId="0" borderId="2" xfId="0" applyFont="1" applyBorder="1"/>
    <xf numFmtId="0" fontId="4" fillId="0" borderId="1" xfId="0" applyFont="1" applyBorder="1"/>
    <xf numFmtId="4" fontId="4" fillId="0" borderId="1" xfId="0" applyNumberFormat="1" applyFont="1" applyBorder="1"/>
    <xf numFmtId="0" fontId="3" fillId="0" borderId="1" xfId="0" applyFont="1" applyBorder="1" applyAlignment="1">
      <alignment horizontal="center"/>
    </xf>
    <xf numFmtId="165" fontId="4" fillId="0" borderId="1" xfId="0" applyNumberFormat="1" applyFont="1" applyBorder="1"/>
    <xf numFmtId="2" fontId="4" fillId="0" borderId="1" xfId="0" applyNumberFormat="1" applyFont="1" applyBorder="1"/>
    <xf numFmtId="0" fontId="0" fillId="0" borderId="3" xfId="0" applyFill="1" applyBorder="1"/>
    <xf numFmtId="1" fontId="5" fillId="0" borderId="1" xfId="0" applyNumberFormat="1" applyFont="1" applyBorder="1"/>
    <xf numFmtId="0" fontId="4" fillId="0" borderId="4" xfId="0" applyFont="1" applyBorder="1"/>
    <xf numFmtId="0" fontId="4" fillId="0" borderId="5" xfId="0" applyFont="1" applyBorder="1"/>
    <xf numFmtId="166" fontId="4" fillId="0" borderId="1" xfId="0" applyNumberFormat="1" applyFont="1" applyBorder="1"/>
    <xf numFmtId="167" fontId="0" fillId="0" borderId="1" xfId="1" applyNumberFormat="1" applyFont="1" applyBorder="1"/>
    <xf numFmtId="43" fontId="0" fillId="0" borderId="1" xfId="1" applyNumberFormat="1" applyFont="1" applyBorder="1"/>
    <xf numFmtId="165" fontId="0" fillId="0" borderId="1" xfId="0" applyNumberFormat="1" applyBorder="1"/>
    <xf numFmtId="168" fontId="4" fillId="0" borderId="1" xfId="0" applyNumberFormat="1" applyFont="1" applyBorder="1"/>
    <xf numFmtId="1" fontId="4" fillId="0" borderId="1" xfId="0" applyNumberFormat="1" applyFont="1" applyBorder="1"/>
    <xf numFmtId="0" fontId="7" fillId="0" borderId="1" xfId="0" applyFont="1" applyBorder="1"/>
    <xf numFmtId="0" fontId="5" fillId="0" borderId="3" xfId="0" applyFont="1" applyFill="1" applyBorder="1"/>
    <xf numFmtId="164" fontId="5" fillId="0" borderId="6" xfId="1" applyNumberFormat="1" applyFont="1" applyBorder="1"/>
    <xf numFmtId="0" fontId="8" fillId="0" borderId="1" xfId="0" applyFont="1" applyBorder="1"/>
    <xf numFmtId="0" fontId="6" fillId="0" borderId="0" xfId="0" applyFont="1"/>
    <xf numFmtId="0" fontId="9" fillId="0" borderId="0" xfId="0" applyFont="1"/>
    <xf numFmtId="0" fontId="6" fillId="2" borderId="7" xfId="0" applyFont="1" applyFill="1" applyBorder="1" applyAlignment="1">
      <alignment vertical="top" wrapText="1"/>
    </xf>
    <xf numFmtId="0" fontId="6" fillId="2" borderId="7" xfId="0" applyFont="1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vertical="top" wrapText="1"/>
    </xf>
    <xf numFmtId="0" fontId="6" fillId="2" borderId="10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 vertical="top" wrapText="1"/>
    </xf>
    <xf numFmtId="0" fontId="6" fillId="2" borderId="11" xfId="0" applyFont="1" applyFill="1" applyBorder="1" applyAlignment="1">
      <alignment horizontal="center" vertical="top" wrapText="1"/>
    </xf>
    <xf numFmtId="0" fontId="10" fillId="2" borderId="12" xfId="0" applyFont="1" applyFill="1" applyBorder="1" applyAlignment="1">
      <alignment vertical="top" wrapText="1"/>
    </xf>
    <xf numFmtId="164" fontId="9" fillId="0" borderId="13" xfId="1" applyNumberFormat="1" applyFont="1" applyBorder="1" applyAlignment="1">
      <alignment vertical="top" wrapText="1"/>
    </xf>
    <xf numFmtId="0" fontId="11" fillId="0" borderId="13" xfId="0" applyFont="1" applyBorder="1" applyAlignment="1">
      <alignment vertical="top" wrapText="1"/>
    </xf>
    <xf numFmtId="0" fontId="12" fillId="0" borderId="13" xfId="0" applyFont="1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164" fontId="9" fillId="0" borderId="1" xfId="1" applyNumberFormat="1" applyFont="1" applyBorder="1" applyAlignment="1">
      <alignment vertical="top" wrapText="1"/>
    </xf>
    <xf numFmtId="164" fontId="6" fillId="0" borderId="15" xfId="0" applyNumberFormat="1" applyFont="1" applyBorder="1" applyAlignment="1">
      <alignment vertical="top" wrapText="1"/>
    </xf>
    <xf numFmtId="0" fontId="8" fillId="2" borderId="16" xfId="0" applyFont="1" applyFill="1" applyBorder="1" applyAlignment="1">
      <alignment vertical="top" wrapText="1"/>
    </xf>
    <xf numFmtId="164" fontId="9" fillId="0" borderId="17" xfId="1" applyNumberFormat="1" applyFont="1" applyBorder="1" applyAlignment="1">
      <alignment vertical="top" wrapText="1"/>
    </xf>
    <xf numFmtId="0" fontId="6" fillId="0" borderId="18" xfId="0" applyFont="1" applyBorder="1" applyAlignment="1">
      <alignment vertical="top" wrapText="1"/>
    </xf>
    <xf numFmtId="0" fontId="10" fillId="2" borderId="19" xfId="0" applyFont="1" applyFill="1" applyBorder="1" applyAlignment="1">
      <alignment vertical="top" wrapText="1"/>
    </xf>
    <xf numFmtId="164" fontId="9" fillId="0" borderId="20" xfId="1" applyNumberFormat="1" applyFont="1" applyBorder="1" applyAlignment="1">
      <alignment vertical="top" wrapText="1"/>
    </xf>
    <xf numFmtId="0" fontId="8" fillId="2" borderId="19" xfId="0" applyFont="1" applyFill="1" applyBorder="1" applyAlignment="1">
      <alignment vertical="top" wrapText="1"/>
    </xf>
    <xf numFmtId="164" fontId="11" fillId="0" borderId="13" xfId="1" applyNumberFormat="1" applyFont="1" applyBorder="1" applyAlignment="1">
      <alignment vertical="top" wrapText="1"/>
    </xf>
    <xf numFmtId="0" fontId="6" fillId="0" borderId="21" xfId="0" applyFont="1" applyBorder="1" applyAlignment="1">
      <alignment vertical="top" wrapText="1"/>
    </xf>
    <xf numFmtId="0" fontId="10" fillId="2" borderId="22" xfId="0" applyFont="1" applyFill="1" applyBorder="1" applyAlignment="1">
      <alignment vertical="top" wrapText="1"/>
    </xf>
    <xf numFmtId="164" fontId="11" fillId="0" borderId="23" xfId="0" applyNumberFormat="1" applyFont="1" applyBorder="1" applyAlignment="1">
      <alignment vertical="top" wrapText="1"/>
    </xf>
    <xf numFmtId="164" fontId="6" fillId="0" borderId="24" xfId="0" applyNumberFormat="1" applyFont="1" applyBorder="1" applyAlignment="1">
      <alignment vertical="top" wrapText="1"/>
    </xf>
    <xf numFmtId="164" fontId="9" fillId="0" borderId="6" xfId="1" applyNumberFormat="1" applyFont="1" applyBorder="1" applyAlignment="1">
      <alignment vertical="top" wrapText="1"/>
    </xf>
    <xf numFmtId="164" fontId="9" fillId="0" borderId="25" xfId="1" applyNumberFormat="1" applyFont="1" applyBorder="1" applyAlignment="1">
      <alignment vertical="top" wrapText="1"/>
    </xf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27" xfId="0" applyFont="1" applyBorder="1" applyAlignment="1">
      <alignment horizontal="right"/>
    </xf>
    <xf numFmtId="3" fontId="3" fillId="0" borderId="28" xfId="0" applyNumberFormat="1" applyFont="1" applyBorder="1" applyAlignment="1">
      <alignment horizontal="left"/>
    </xf>
    <xf numFmtId="0" fontId="0" fillId="0" borderId="27" xfId="0" applyBorder="1"/>
    <xf numFmtId="9" fontId="0" fillId="0" borderId="28" xfId="0" applyNumberFormat="1" applyBorder="1"/>
    <xf numFmtId="0" fontId="4" fillId="0" borderId="0" xfId="0" applyFont="1" applyAlignment="1">
      <alignment horizontal="left" indent="2"/>
    </xf>
    <xf numFmtId="0" fontId="6" fillId="3" borderId="7" xfId="0" applyFont="1" applyFill="1" applyBorder="1" applyAlignment="1">
      <alignment vertical="top" wrapText="1"/>
    </xf>
    <xf numFmtId="0" fontId="6" fillId="2" borderId="21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 wrapText="1"/>
    </xf>
    <xf numFmtId="0" fontId="6" fillId="3" borderId="10" xfId="0" applyFont="1" applyFill="1" applyBorder="1" applyAlignment="1">
      <alignment vertical="top" wrapText="1"/>
    </xf>
    <xf numFmtId="0" fontId="6" fillId="2" borderId="18" xfId="0" applyFont="1" applyFill="1" applyBorder="1" applyAlignment="1">
      <alignment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6" xfId="0" applyFont="1" applyBorder="1" applyAlignment="1">
      <alignment vertical="top" wrapText="1"/>
    </xf>
    <xf numFmtId="164" fontId="4" fillId="0" borderId="13" xfId="1" applyNumberFormat="1" applyFont="1" applyBorder="1" applyAlignment="1">
      <alignment vertical="top" wrapText="1"/>
    </xf>
    <xf numFmtId="164" fontId="4" fillId="0" borderId="6" xfId="1" applyNumberFormat="1" applyFont="1" applyBorder="1" applyAlignment="1">
      <alignment vertical="top" wrapText="1"/>
    </xf>
    <xf numFmtId="164" fontId="4" fillId="0" borderId="30" xfId="0" applyNumberFormat="1" applyFont="1" applyBorder="1" applyAlignment="1">
      <alignment vertical="top" wrapText="1"/>
    </xf>
    <xf numFmtId="0" fontId="4" fillId="3" borderId="10" xfId="0" applyFont="1" applyFill="1" applyBorder="1" applyAlignment="1">
      <alignment vertical="top" wrapText="1"/>
    </xf>
    <xf numFmtId="164" fontId="4" fillId="0" borderId="29" xfId="1" applyNumberFormat="1" applyFont="1" applyBorder="1" applyAlignment="1">
      <alignment vertical="top" wrapText="1"/>
    </xf>
    <xf numFmtId="164" fontId="4" fillId="0" borderId="1" xfId="1" applyNumberFormat="1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164" fontId="4" fillId="0" borderId="28" xfId="1" applyNumberFormat="1" applyFont="1" applyBorder="1" applyAlignment="1">
      <alignment vertical="top" wrapText="1"/>
    </xf>
    <xf numFmtId="0" fontId="6" fillId="0" borderId="9" xfId="0" applyFont="1" applyBorder="1" applyAlignment="1">
      <alignment horizontal="center" vertical="top" wrapText="1"/>
    </xf>
    <xf numFmtId="0" fontId="4" fillId="0" borderId="18" xfId="0" applyFont="1" applyBorder="1" applyAlignment="1">
      <alignment vertical="top" wrapText="1"/>
    </xf>
    <xf numFmtId="0" fontId="4" fillId="0" borderId="31" xfId="0" applyFont="1" applyBorder="1" applyAlignment="1">
      <alignment vertical="top" wrapText="1"/>
    </xf>
    <xf numFmtId="0" fontId="4" fillId="3" borderId="9" xfId="0" applyFont="1" applyFill="1" applyBorder="1" applyAlignment="1">
      <alignment vertical="top" wrapText="1"/>
    </xf>
    <xf numFmtId="164" fontId="6" fillId="0" borderId="32" xfId="0" applyNumberFormat="1" applyFont="1" applyBorder="1" applyAlignment="1">
      <alignment vertical="top" wrapText="1"/>
    </xf>
    <xf numFmtId="0" fontId="6" fillId="0" borderId="0" xfId="0" applyFont="1" applyAlignment="1">
      <alignment horizontal="left" indent="2"/>
    </xf>
    <xf numFmtId="0" fontId="4" fillId="0" borderId="0" xfId="0" applyFont="1"/>
    <xf numFmtId="0" fontId="6" fillId="4" borderId="32" xfId="0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4" fillId="0" borderId="8" xfId="0" applyFont="1" applyBorder="1"/>
    <xf numFmtId="164" fontId="4" fillId="0" borderId="7" xfId="1" applyNumberFormat="1" applyFont="1" applyBorder="1" applyAlignment="1">
      <alignment horizontal="right" wrapText="1"/>
    </xf>
    <xf numFmtId="0" fontId="4" fillId="0" borderId="33" xfId="0" applyFont="1" applyBorder="1"/>
    <xf numFmtId="164" fontId="4" fillId="0" borderId="34" xfId="1" applyNumberFormat="1" applyFont="1" applyBorder="1" applyAlignment="1">
      <alignment horizontal="right" wrapText="1"/>
    </xf>
    <xf numFmtId="0" fontId="4" fillId="0" borderId="35" xfId="0" applyFont="1" applyBorder="1"/>
    <xf numFmtId="0" fontId="4" fillId="0" borderId="27" xfId="0" applyFont="1" applyBorder="1"/>
    <xf numFmtId="0" fontId="4" fillId="0" borderId="36" xfId="0" applyFont="1" applyBorder="1"/>
    <xf numFmtId="164" fontId="4" fillId="0" borderId="37" xfId="1" applyNumberFormat="1" applyFont="1" applyBorder="1" applyAlignment="1">
      <alignment horizontal="right" wrapText="1"/>
    </xf>
    <xf numFmtId="0" fontId="6" fillId="0" borderId="9" xfId="0" applyFont="1" applyBorder="1" applyAlignment="1">
      <alignment horizontal="right"/>
    </xf>
    <xf numFmtId="164" fontId="6" fillId="0" borderId="18" xfId="1" applyNumberFormat="1" applyFont="1" applyBorder="1" applyAlignment="1">
      <alignment horizontal="right"/>
    </xf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13" fillId="5" borderId="1" xfId="0" applyFont="1" applyFill="1" applyBorder="1" applyAlignment="1">
      <alignment horizontal="center"/>
    </xf>
    <xf numFmtId="0" fontId="15" fillId="0" borderId="1" xfId="0" applyFont="1" applyBorder="1"/>
    <xf numFmtId="164" fontId="15" fillId="0" borderId="1" xfId="1" applyNumberFormat="1" applyFont="1" applyBorder="1"/>
    <xf numFmtId="164" fontId="15" fillId="0" borderId="1" xfId="0" applyNumberFormat="1" applyFont="1" applyBorder="1"/>
    <xf numFmtId="0" fontId="16" fillId="0" borderId="1" xfId="0" applyFont="1" applyBorder="1"/>
    <xf numFmtId="164" fontId="16" fillId="0" borderId="1" xfId="0" applyNumberFormat="1" applyFont="1" applyBorder="1"/>
    <xf numFmtId="0" fontId="4" fillId="0" borderId="12" xfId="0" applyFont="1" applyBorder="1" applyAlignment="1">
      <alignment horizontal="right"/>
    </xf>
    <xf numFmtId="0" fontId="4" fillId="0" borderId="13" xfId="0" applyFont="1" applyBorder="1" applyAlignment="1">
      <alignment wrapText="1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wrapText="1"/>
    </xf>
    <xf numFmtId="0" fontId="4" fillId="0" borderId="16" xfId="0" applyFont="1" applyBorder="1" applyAlignment="1">
      <alignment horizontal="right"/>
    </xf>
    <xf numFmtId="0" fontId="4" fillId="0" borderId="17" xfId="0" applyFont="1" applyBorder="1" applyAlignment="1">
      <alignment wrapText="1"/>
    </xf>
    <xf numFmtId="0" fontId="6" fillId="6" borderId="32" xfId="0" applyFont="1" applyFill="1" applyBorder="1" applyAlignment="1">
      <alignment horizontal="center"/>
    </xf>
    <xf numFmtId="0" fontId="6" fillId="6" borderId="24" xfId="0" applyFont="1" applyFill="1" applyBorder="1" applyAlignment="1">
      <alignment horizontal="center"/>
    </xf>
    <xf numFmtId="43" fontId="0" fillId="0" borderId="0" xfId="1" applyNumberFormat="1" applyFont="1"/>
    <xf numFmtId="0" fontId="3" fillId="0" borderId="1" xfId="0" applyFont="1" applyBorder="1" applyAlignment="1">
      <alignment horizontal="center"/>
    </xf>
    <xf numFmtId="0" fontId="10" fillId="2" borderId="38" xfId="0" applyFont="1" applyFill="1" applyBorder="1" applyAlignment="1">
      <alignment vertical="top" wrapText="1"/>
    </xf>
    <xf numFmtId="0" fontId="8" fillId="2" borderId="39" xfId="0" applyFont="1" applyFill="1" applyBorder="1" applyAlignment="1">
      <alignment vertical="top" wrapText="1"/>
    </xf>
    <xf numFmtId="0" fontId="6" fillId="0" borderId="40" xfId="0" applyFont="1" applyBorder="1" applyAlignment="1">
      <alignment vertical="top" wrapText="1"/>
    </xf>
    <xf numFmtId="1" fontId="0" fillId="0" borderId="26" xfId="0" applyNumberForma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4" fillId="0" borderId="5" xfId="0" applyNumberFormat="1" applyFont="1" applyBorder="1"/>
    <xf numFmtId="0" fontId="3" fillId="0" borderId="1" xfId="0" applyFont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1" fontId="0" fillId="0" borderId="29" xfId="0" applyNumberFormat="1" applyBorder="1"/>
    <xf numFmtId="0" fontId="17" fillId="0" borderId="1" xfId="0" applyFont="1" applyBorder="1"/>
    <xf numFmtId="2" fontId="17" fillId="0" borderId="1" xfId="0" applyNumberFormat="1" applyFont="1" applyBorder="1"/>
    <xf numFmtId="165" fontId="17" fillId="0" borderId="1" xfId="0" applyNumberFormat="1" applyFont="1" applyBorder="1"/>
    <xf numFmtId="165" fontId="18" fillId="0" borderId="1" xfId="0" applyNumberFormat="1" applyFont="1" applyBorder="1"/>
    <xf numFmtId="164" fontId="0" fillId="0" borderId="29" xfId="0" applyNumberFormat="1" applyBorder="1"/>
    <xf numFmtId="0" fontId="3" fillId="0" borderId="1" xfId="0" applyFont="1" applyBorder="1" applyAlignment="1">
      <alignment horizontal="center"/>
    </xf>
    <xf numFmtId="0" fontId="6" fillId="2" borderId="7" xfId="0" applyFont="1" applyFill="1" applyBorder="1" applyAlignment="1">
      <alignment horizontal="center" vertical="top" wrapText="1"/>
    </xf>
    <xf numFmtId="164" fontId="9" fillId="0" borderId="41" xfId="1" applyNumberFormat="1" applyFont="1" applyBorder="1" applyAlignment="1">
      <alignment vertical="top" wrapText="1"/>
    </xf>
    <xf numFmtId="0" fontId="6" fillId="0" borderId="42" xfId="0" applyFont="1" applyBorder="1" applyAlignment="1">
      <alignment vertical="top" wrapText="1"/>
    </xf>
    <xf numFmtId="0" fontId="6" fillId="0" borderId="43" xfId="0" applyFont="1" applyBorder="1" applyAlignment="1">
      <alignment vertical="top" wrapText="1"/>
    </xf>
    <xf numFmtId="0" fontId="6" fillId="0" borderId="44" xfId="0" applyFont="1" applyBorder="1" applyAlignment="1">
      <alignment vertical="top" wrapText="1"/>
    </xf>
    <xf numFmtId="0" fontId="10" fillId="2" borderId="45" xfId="0" applyFont="1" applyFill="1" applyBorder="1" applyAlignment="1">
      <alignment vertical="top" wrapText="1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27" xfId="0" applyBorder="1" applyAlignment="1">
      <alignment horizontal="center"/>
    </xf>
    <xf numFmtId="2" fontId="0" fillId="0" borderId="27" xfId="0" applyNumberFormat="1" applyBorder="1"/>
    <xf numFmtId="0" fontId="0" fillId="0" borderId="1" xfId="0" applyFill="1" applyBorder="1" applyAlignment="1">
      <alignment horizontal="center"/>
    </xf>
    <xf numFmtId="43" fontId="2" fillId="0" borderId="1" xfId="0" applyNumberFormat="1" applyFont="1" applyBorder="1"/>
    <xf numFmtId="0" fontId="0" fillId="7" borderId="1" xfId="0" applyFill="1" applyBorder="1"/>
    <xf numFmtId="2" fontId="0" fillId="7" borderId="27" xfId="0" applyNumberFormat="1" applyFill="1" applyBorder="1"/>
    <xf numFmtId="43" fontId="0" fillId="7" borderId="1" xfId="1" applyNumberFormat="1" applyFont="1" applyFill="1" applyBorder="1"/>
    <xf numFmtId="0" fontId="6" fillId="2" borderId="7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15" fillId="7" borderId="1" xfId="0" applyFont="1" applyFill="1" applyBorder="1"/>
    <xf numFmtId="164" fontId="15" fillId="7" borderId="1" xfId="1" applyNumberFormat="1" applyFont="1" applyFill="1" applyBorder="1"/>
    <xf numFmtId="164" fontId="15" fillId="7" borderId="1" xfId="0" applyNumberFormat="1" applyFont="1" applyFill="1" applyBorder="1"/>
    <xf numFmtId="0" fontId="3" fillId="0" borderId="1" xfId="0" applyFont="1" applyBorder="1" applyAlignment="1">
      <alignment horizontal="center"/>
    </xf>
    <xf numFmtId="168" fontId="4" fillId="0" borderId="5" xfId="0" applyNumberFormat="1" applyFont="1" applyBorder="1"/>
    <xf numFmtId="0" fontId="3" fillId="0" borderId="1" xfId="0" applyFont="1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0" fontId="11" fillId="8" borderId="1" xfId="0" applyFont="1" applyFill="1" applyBorder="1" applyAlignment="1">
      <alignment horizontal="center"/>
    </xf>
    <xf numFmtId="3" fontId="11" fillId="8" borderId="1" xfId="0" applyNumberFormat="1" applyFont="1" applyFill="1" applyBorder="1" applyAlignment="1">
      <alignment horizontal="center"/>
    </xf>
    <xf numFmtId="3" fontId="0" fillId="7" borderId="1" xfId="0" applyNumberFormat="1" applyFill="1" applyBorder="1"/>
    <xf numFmtId="3" fontId="0" fillId="0" borderId="1" xfId="0" applyNumberFormat="1" applyBorder="1"/>
    <xf numFmtId="0" fontId="11" fillId="9" borderId="1" xfId="0" applyFont="1" applyFill="1" applyBorder="1" applyAlignment="1">
      <alignment horizontal="center"/>
    </xf>
    <xf numFmtId="169" fontId="0" fillId="0" borderId="1" xfId="1" applyNumberFormat="1" applyFont="1" applyBorder="1"/>
    <xf numFmtId="169" fontId="0" fillId="0" borderId="1" xfId="1" applyNumberFormat="1" applyFont="1" applyFill="1" applyBorder="1"/>
    <xf numFmtId="169" fontId="0" fillId="10" borderId="1" xfId="1" applyNumberFormat="1" applyFont="1" applyFill="1" applyBorder="1"/>
    <xf numFmtId="0" fontId="0" fillId="0" borderId="1" xfId="0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0" xfId="0" applyAlignment="1"/>
    <xf numFmtId="3" fontId="11" fillId="9" borderId="1" xfId="0" applyNumberFormat="1" applyFont="1" applyFill="1" applyBorder="1" applyAlignment="1">
      <alignment horizontal="center" wrapText="1"/>
    </xf>
    <xf numFmtId="0" fontId="0" fillId="9" borderId="1" xfId="0" applyFill="1" applyBorder="1" applyAlignment="1">
      <alignment wrapText="1"/>
    </xf>
    <xf numFmtId="0" fontId="3" fillId="0" borderId="1" xfId="0" applyFont="1" applyBorder="1" applyAlignment="1">
      <alignment horizontal="center"/>
    </xf>
    <xf numFmtId="168" fontId="15" fillId="0" borderId="1" xfId="0" applyNumberFormat="1" applyFont="1" applyBorder="1"/>
    <xf numFmtId="169" fontId="0" fillId="11" borderId="1" xfId="1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47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164" fontId="4" fillId="0" borderId="17" xfId="1" applyNumberFormat="1" applyFont="1" applyBorder="1" applyAlignment="1">
      <alignment vertical="top" wrapText="1"/>
    </xf>
    <xf numFmtId="0" fontId="4" fillId="3" borderId="46" xfId="0" applyFont="1" applyFill="1" applyBorder="1" applyAlignment="1">
      <alignment vertical="top" wrapText="1"/>
    </xf>
    <xf numFmtId="0" fontId="4" fillId="3" borderId="0" xfId="0" applyFont="1" applyFill="1" applyBorder="1" applyAlignment="1">
      <alignment vertical="top" wrapText="1"/>
    </xf>
    <xf numFmtId="164" fontId="6" fillId="0" borderId="18" xfId="0" applyNumberFormat="1" applyFont="1" applyBorder="1" applyAlignment="1">
      <alignment vertical="top" wrapText="1"/>
    </xf>
    <xf numFmtId="164" fontId="4" fillId="0" borderId="48" xfId="1" applyNumberFormat="1" applyFont="1" applyBorder="1" applyAlignment="1">
      <alignment vertical="top" wrapText="1"/>
    </xf>
    <xf numFmtId="164" fontId="4" fillId="0" borderId="5" xfId="1" applyNumberFormat="1" applyFont="1" applyBorder="1" applyAlignment="1">
      <alignment vertical="top" wrapText="1"/>
    </xf>
    <xf numFmtId="164" fontId="4" fillId="0" borderId="2" xfId="1" applyNumberFormat="1" applyFont="1" applyBorder="1" applyAlignment="1">
      <alignment vertical="top" wrapText="1"/>
    </xf>
    <xf numFmtId="164" fontId="4" fillId="0" borderId="16" xfId="1" applyNumberFormat="1" applyFont="1" applyBorder="1" applyAlignment="1">
      <alignment vertical="top" wrapText="1"/>
    </xf>
    <xf numFmtId="167" fontId="4" fillId="0" borderId="29" xfId="1" applyNumberFormat="1" applyFont="1" applyBorder="1" applyAlignment="1">
      <alignment vertical="top" wrapText="1"/>
    </xf>
    <xf numFmtId="167" fontId="4" fillId="0" borderId="28" xfId="1" applyNumberFormat="1" applyFont="1" applyBorder="1" applyAlignment="1">
      <alignment vertical="top" wrapText="1"/>
    </xf>
    <xf numFmtId="167" fontId="4" fillId="0" borderId="2" xfId="1" applyNumberFormat="1" applyFont="1" applyBorder="1" applyAlignment="1">
      <alignment vertical="top" wrapText="1"/>
    </xf>
    <xf numFmtId="43" fontId="4" fillId="0" borderId="2" xfId="1" applyNumberFormat="1" applyFont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26" xfId="0" applyNumberFormat="1" applyBorder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4" fontId="0" fillId="0" borderId="5" xfId="1" applyNumberFormat="1" applyFont="1" applyBorder="1" applyAlignment="1">
      <alignment vertical="center"/>
    </xf>
    <xf numFmtId="164" fontId="0" fillId="0" borderId="6" xfId="1" applyNumberFormat="1" applyFont="1" applyBorder="1" applyAlignment="1">
      <alignment vertical="center"/>
    </xf>
    <xf numFmtId="1" fontId="0" fillId="0" borderId="26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top" wrapText="1"/>
    </xf>
    <xf numFmtId="0" fontId="6" fillId="2" borderId="10" xfId="0" applyFont="1" applyFill="1" applyBorder="1" applyAlignment="1">
      <alignment horizontal="center" vertical="top" wrapText="1"/>
    </xf>
    <xf numFmtId="0" fontId="14" fillId="0" borderId="1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11" fillId="8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colors>
    <mruColors>
      <color rgb="FFFF0000"/>
      <color rgb="FFFF3300"/>
      <color rgb="FFFF66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\Documents\INCUNA\Taller_Plan_Financiero_de_Plan_de_Negocios_2010_Ejercici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ntas Produc "/>
      <sheetName val="Ventas  Serv"/>
      <sheetName val="MKT Esteg 4"/>
      <sheetName val="Costo Produc"/>
      <sheetName val="Costo Servicio "/>
      <sheetName val="Inv Inic"/>
      <sheetName val="Activos Fijos"/>
      <sheetName val="Deprec"/>
      <sheetName val="RRHH 1"/>
      <sheetName val="Gastos Fijos "/>
      <sheetName val="Ingresos "/>
      <sheetName val="Costo Margen"/>
      <sheetName val="Resultado"/>
      <sheetName val="Nueva Meta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8"/>
  <sheetViews>
    <sheetView workbookViewId="0">
      <selection activeCell="B5" sqref="B5"/>
    </sheetView>
  </sheetViews>
  <sheetFormatPr baseColWidth="10" defaultRowHeight="15"/>
  <cols>
    <col min="1" max="1" width="29.28515625" customWidth="1"/>
    <col min="3" max="3" width="11.42578125" customWidth="1"/>
    <col min="4" max="4" width="13.5703125" customWidth="1"/>
  </cols>
  <sheetData>
    <row r="1" spans="1:15" ht="18.75">
      <c r="A1" s="193" t="s">
        <v>110</v>
      </c>
      <c r="B1" s="193"/>
      <c r="C1" s="193"/>
      <c r="D1" s="193"/>
      <c r="E1" s="193"/>
    </row>
    <row r="2" spans="1:15" ht="18.75">
      <c r="A2" s="7" t="s">
        <v>12</v>
      </c>
      <c r="B2" s="7">
        <v>100</v>
      </c>
      <c r="C2" s="7"/>
      <c r="D2" s="7"/>
      <c r="E2" s="7"/>
    </row>
    <row r="3" spans="1:15">
      <c r="A3" s="1" t="s">
        <v>0</v>
      </c>
      <c r="B3" s="1" t="s">
        <v>10</v>
      </c>
      <c r="C3" s="1" t="s">
        <v>11</v>
      </c>
      <c r="D3" s="1" t="s">
        <v>1</v>
      </c>
      <c r="E3" s="1" t="s">
        <v>2</v>
      </c>
    </row>
    <row r="4" spans="1:15" ht="15.75">
      <c r="A4" s="4" t="s">
        <v>4</v>
      </c>
      <c r="B4" s="5">
        <v>1.2699999999999999E-2</v>
      </c>
      <c r="C4" s="5">
        <f>B4*B2</f>
        <v>1.27</v>
      </c>
      <c r="D4" s="3">
        <f>COSTO!E4</f>
        <v>6500</v>
      </c>
      <c r="E4" s="3">
        <f t="shared" ref="E4:E10" si="0">D4*C4</f>
        <v>8255</v>
      </c>
      <c r="G4" s="194" t="s">
        <v>46</v>
      </c>
      <c r="H4" s="195" t="s">
        <v>2</v>
      </c>
      <c r="I4" s="195"/>
      <c r="J4" s="198">
        <f>E15</f>
        <v>3223.7358545454545</v>
      </c>
      <c r="K4" s="198"/>
      <c r="L4" s="198">
        <f>J4</f>
        <v>3223.7358545454545</v>
      </c>
      <c r="M4" s="195"/>
      <c r="N4" s="121">
        <f>L4</f>
        <v>3223.7358545454545</v>
      </c>
      <c r="O4" s="199">
        <f>N4/N5</f>
        <v>6447.4717090909089</v>
      </c>
    </row>
    <row r="5" spans="1:15" ht="15.75">
      <c r="A5" s="4" t="s">
        <v>15</v>
      </c>
      <c r="B5" s="5">
        <v>7.0000000000000007E-2</v>
      </c>
      <c r="C5" s="5">
        <f>B5*B2</f>
        <v>7.0000000000000009</v>
      </c>
      <c r="D5" s="3">
        <f>COSTO!E5</f>
        <v>14434.919999999998</v>
      </c>
      <c r="E5" s="3">
        <f t="shared" si="0"/>
        <v>101044.44</v>
      </c>
      <c r="G5" s="194"/>
      <c r="H5" s="197" t="s">
        <v>47</v>
      </c>
      <c r="I5" s="197"/>
      <c r="J5" s="57" t="s">
        <v>48</v>
      </c>
      <c r="K5" s="58">
        <v>50</v>
      </c>
      <c r="L5" s="57" t="s">
        <v>48</v>
      </c>
      <c r="M5" s="58">
        <f>K5/K6</f>
        <v>0.5</v>
      </c>
      <c r="N5">
        <f>1-0.5</f>
        <v>0.5</v>
      </c>
      <c r="O5" s="199"/>
    </row>
    <row r="6" spans="1:15" ht="15.75">
      <c r="A6" s="4" t="s">
        <v>16</v>
      </c>
      <c r="B6" s="5">
        <v>0.06</v>
      </c>
      <c r="C6" s="5">
        <f>B6*B2</f>
        <v>6</v>
      </c>
      <c r="D6" s="3">
        <f>COSTO!E6</f>
        <v>11780</v>
      </c>
      <c r="E6" s="3">
        <f t="shared" si="0"/>
        <v>70680</v>
      </c>
      <c r="H6" s="196">
        <v>1</v>
      </c>
      <c r="I6" s="197"/>
      <c r="K6" s="58">
        <v>100</v>
      </c>
    </row>
    <row r="7" spans="1:15" ht="15.75">
      <c r="A7" s="4" t="s">
        <v>6</v>
      </c>
      <c r="B7" s="5">
        <v>2E-3</v>
      </c>
      <c r="C7" s="5">
        <f>B7*B2</f>
        <v>0.2</v>
      </c>
      <c r="D7" s="3">
        <f>COSTO!E7</f>
        <v>840</v>
      </c>
      <c r="E7" s="3">
        <f t="shared" si="0"/>
        <v>168</v>
      </c>
    </row>
    <row r="8" spans="1:15" ht="18.75">
      <c r="A8" s="4" t="s">
        <v>7</v>
      </c>
      <c r="B8" s="13">
        <v>0.06</v>
      </c>
      <c r="C8" s="5">
        <f>B8*B2</f>
        <v>6</v>
      </c>
      <c r="D8" s="3">
        <f>COSTO!E13</f>
        <v>7077.6909090909085</v>
      </c>
      <c r="E8" s="3">
        <f t="shared" si="0"/>
        <v>42466.145454545447</v>
      </c>
      <c r="G8" s="59" t="s">
        <v>46</v>
      </c>
      <c r="H8" s="60">
        <f>O4</f>
        <v>6447.4717090909089</v>
      </c>
    </row>
    <row r="9" spans="1:15" ht="15.75">
      <c r="A9" s="12" t="s">
        <v>8</v>
      </c>
      <c r="B9" s="13">
        <v>0.08</v>
      </c>
      <c r="C9" s="13">
        <f>B9*B2</f>
        <v>8</v>
      </c>
      <c r="D9" s="3">
        <f>COSTO!E3</f>
        <v>12470</v>
      </c>
      <c r="E9" s="3">
        <f t="shared" si="0"/>
        <v>99760</v>
      </c>
    </row>
    <row r="10" spans="1:15" ht="15.75">
      <c r="A10" s="12" t="s">
        <v>9</v>
      </c>
      <c r="B10" s="13">
        <v>0.70099999999999996</v>
      </c>
      <c r="C10" s="13">
        <f>B10*B2</f>
        <v>70.099999999999994</v>
      </c>
      <c r="D10" s="16">
        <v>0</v>
      </c>
      <c r="E10" s="3">
        <f t="shared" si="0"/>
        <v>0</v>
      </c>
    </row>
    <row r="11" spans="1:15">
      <c r="A11" s="2"/>
      <c r="B11" s="2">
        <f>SUM(B4:B10)</f>
        <v>0.98570000000000002</v>
      </c>
      <c r="C11" s="2"/>
      <c r="D11" s="3"/>
      <c r="E11" s="3"/>
    </row>
    <row r="12" spans="1:15">
      <c r="A12" s="2"/>
      <c r="B12" s="2"/>
      <c r="C12" s="2"/>
      <c r="D12" s="3"/>
      <c r="E12" s="3">
        <f>D12*B12</f>
        <v>0</v>
      </c>
    </row>
    <row r="13" spans="1:15">
      <c r="A13" s="2" t="s">
        <v>3</v>
      </c>
      <c r="B13" s="2">
        <v>1</v>
      </c>
      <c r="C13" s="2"/>
      <c r="D13" s="3">
        <v>30000</v>
      </c>
      <c r="E13" s="3">
        <v>0</v>
      </c>
    </row>
    <row r="14" spans="1:15">
      <c r="A14" s="2" t="s">
        <v>2</v>
      </c>
      <c r="B14" s="2"/>
      <c r="C14" s="2"/>
      <c r="D14" s="3"/>
      <c r="E14" s="3">
        <f>SUM(E4:E13)</f>
        <v>322373.58545454545</v>
      </c>
    </row>
    <row r="15" spans="1:15" ht="23.25">
      <c r="A15" s="10" t="s">
        <v>1</v>
      </c>
      <c r="E15" s="11">
        <f>E14/B2</f>
        <v>3223.7358545454545</v>
      </c>
    </row>
    <row r="17" spans="1:5">
      <c r="D17" t="s">
        <v>41</v>
      </c>
      <c r="E17" s="56">
        <v>0.1</v>
      </c>
    </row>
    <row r="18" spans="1:5">
      <c r="D18" t="s">
        <v>42</v>
      </c>
      <c r="E18" s="56">
        <v>0.05</v>
      </c>
    </row>
    <row r="19" spans="1:5">
      <c r="D19" t="s">
        <v>43</v>
      </c>
      <c r="E19" s="56">
        <v>0</v>
      </c>
    </row>
    <row r="20" spans="1:5">
      <c r="D20" t="s">
        <v>44</v>
      </c>
      <c r="E20" s="56">
        <v>0.35</v>
      </c>
    </row>
    <row r="21" spans="1:5">
      <c r="D21" t="s">
        <v>45</v>
      </c>
      <c r="E21" s="56">
        <f>SUM(E17:E20)</f>
        <v>0.5</v>
      </c>
    </row>
    <row r="24" spans="1:5" ht="18.75">
      <c r="A24" s="193" t="s">
        <v>112</v>
      </c>
      <c r="B24" s="193"/>
      <c r="C24" s="193"/>
      <c r="D24" s="193"/>
      <c r="E24" s="193"/>
    </row>
    <row r="25" spans="1:5" ht="18.75">
      <c r="A25" s="123" t="s">
        <v>12</v>
      </c>
      <c r="B25" s="123">
        <v>300</v>
      </c>
      <c r="C25" s="123"/>
      <c r="D25" s="123"/>
      <c r="E25" s="123"/>
    </row>
    <row r="26" spans="1:5">
      <c r="A26" s="1" t="s">
        <v>0</v>
      </c>
      <c r="B26" s="1" t="s">
        <v>10</v>
      </c>
      <c r="C26" s="1" t="s">
        <v>11</v>
      </c>
      <c r="D26" s="1" t="s">
        <v>1</v>
      </c>
      <c r="E26" s="1" t="s">
        <v>2</v>
      </c>
    </row>
    <row r="27" spans="1:5" ht="15.75">
      <c r="A27" s="4" t="s">
        <v>4</v>
      </c>
      <c r="B27" s="5">
        <v>3.15E-3</v>
      </c>
      <c r="C27" s="5">
        <f>B27*B25</f>
        <v>0.94500000000000006</v>
      </c>
      <c r="D27" s="3">
        <v>2420</v>
      </c>
      <c r="E27" s="3">
        <f t="shared" ref="E27:E36" si="1">D27*C27</f>
        <v>2286.9</v>
      </c>
    </row>
    <row r="28" spans="1:5" ht="15.75">
      <c r="A28" s="4" t="s">
        <v>118</v>
      </c>
      <c r="B28" s="5">
        <v>1.7999999999999999E-2</v>
      </c>
      <c r="C28" s="5">
        <f>B28*B25</f>
        <v>5.3999999999999995</v>
      </c>
      <c r="D28" s="3">
        <v>14218</v>
      </c>
      <c r="E28" s="3">
        <f t="shared" si="1"/>
        <v>76777.2</v>
      </c>
    </row>
    <row r="29" spans="1:5" ht="15.75">
      <c r="A29" s="4" t="s">
        <v>5</v>
      </c>
      <c r="B29" s="5">
        <v>2.5000000000000001E-2</v>
      </c>
      <c r="C29" s="5">
        <f>B29*B25</f>
        <v>7.5</v>
      </c>
      <c r="D29" s="3">
        <v>9317</v>
      </c>
      <c r="E29" s="3">
        <f t="shared" si="1"/>
        <v>69877.5</v>
      </c>
    </row>
    <row r="30" spans="1:5" ht="15.75">
      <c r="A30" s="4" t="s">
        <v>6</v>
      </c>
      <c r="B30" s="5">
        <v>2.1999999999999999E-2</v>
      </c>
      <c r="C30" s="5">
        <f>B30*B25</f>
        <v>6.6</v>
      </c>
      <c r="D30" s="3">
        <v>840</v>
      </c>
      <c r="E30" s="3">
        <f t="shared" si="1"/>
        <v>5544</v>
      </c>
    </row>
    <row r="31" spans="1:5" ht="15.75">
      <c r="A31" s="4" t="s">
        <v>7</v>
      </c>
      <c r="B31" s="5">
        <v>2E-3</v>
      </c>
      <c r="C31" s="5">
        <f>B31*B25</f>
        <v>0.6</v>
      </c>
      <c r="D31" s="3">
        <v>5775</v>
      </c>
      <c r="E31" s="3">
        <f t="shared" si="1"/>
        <v>3465</v>
      </c>
    </row>
    <row r="32" spans="1:5" ht="15.75">
      <c r="A32" s="4" t="s">
        <v>8</v>
      </c>
      <c r="B32" s="5">
        <v>0.02</v>
      </c>
      <c r="C32" s="13">
        <f>B32*B25</f>
        <v>6</v>
      </c>
      <c r="D32" s="3">
        <v>11880</v>
      </c>
      <c r="E32" s="3">
        <f t="shared" si="1"/>
        <v>71280</v>
      </c>
    </row>
    <row r="33" spans="1:10" ht="15.75">
      <c r="A33" s="4" t="s">
        <v>9</v>
      </c>
      <c r="B33" s="6">
        <v>0.90985000000000005</v>
      </c>
      <c r="C33" s="124">
        <f>B33*B25</f>
        <v>272.95500000000004</v>
      </c>
      <c r="D33" s="16">
        <v>0</v>
      </c>
      <c r="E33" s="3">
        <f>D33*C33</f>
        <v>0</v>
      </c>
    </row>
    <row r="34" spans="1:10">
      <c r="A34" s="2"/>
      <c r="B34" s="2">
        <f>SUM(B27:B33)</f>
        <v>1</v>
      </c>
      <c r="C34" s="2">
        <f>SUM(C27:C33)</f>
        <v>300.00000000000006</v>
      </c>
      <c r="D34" s="3"/>
      <c r="E34" s="3">
        <f t="shared" si="1"/>
        <v>0</v>
      </c>
    </row>
    <row r="35" spans="1:10">
      <c r="A35" s="2"/>
      <c r="B35" s="2"/>
      <c r="C35" s="2"/>
      <c r="D35" s="3"/>
      <c r="E35" s="3">
        <f t="shared" si="1"/>
        <v>0</v>
      </c>
    </row>
    <row r="36" spans="1:10">
      <c r="A36" s="2" t="s">
        <v>3</v>
      </c>
      <c r="B36" s="2">
        <v>1</v>
      </c>
      <c r="C36" s="2">
        <v>1</v>
      </c>
      <c r="D36" s="3">
        <v>30000</v>
      </c>
      <c r="E36" s="3">
        <f t="shared" si="1"/>
        <v>30000</v>
      </c>
    </row>
    <row r="37" spans="1:10">
      <c r="A37" s="2" t="s">
        <v>2</v>
      </c>
      <c r="B37" s="2"/>
      <c r="C37" s="2"/>
      <c r="D37" s="3"/>
      <c r="E37" s="3">
        <f>SUM(E27:E36)</f>
        <v>259230.59999999998</v>
      </c>
    </row>
    <row r="38" spans="1:10" ht="23.25">
      <c r="A38" s="10" t="s">
        <v>1</v>
      </c>
      <c r="E38" s="11">
        <f>E37/B25</f>
        <v>864.10199999999998</v>
      </c>
    </row>
    <row r="40" spans="1:10">
      <c r="D40" t="s">
        <v>41</v>
      </c>
      <c r="E40" s="56">
        <v>0.1</v>
      </c>
    </row>
    <row r="41" spans="1:10">
      <c r="D41" t="s">
        <v>42</v>
      </c>
      <c r="E41" s="56">
        <v>0.05</v>
      </c>
    </row>
    <row r="42" spans="1:10">
      <c r="D42" t="s">
        <v>43</v>
      </c>
      <c r="E42" s="56">
        <v>0.1</v>
      </c>
    </row>
    <row r="43" spans="1:10">
      <c r="D43" t="s">
        <v>44</v>
      </c>
      <c r="E43" s="56">
        <v>0.35</v>
      </c>
    </row>
    <row r="44" spans="1:10">
      <c r="D44" t="s">
        <v>45</v>
      </c>
      <c r="E44" s="56">
        <f>SUM(E40:E43)</f>
        <v>0.6</v>
      </c>
    </row>
    <row r="46" spans="1:10">
      <c r="B46" s="194" t="s">
        <v>46</v>
      </c>
      <c r="C46" s="195" t="s">
        <v>2</v>
      </c>
      <c r="D46" s="195"/>
      <c r="E46" s="198">
        <f>E38</f>
        <v>864.10199999999998</v>
      </c>
      <c r="F46" s="198"/>
      <c r="G46" s="198">
        <f>E46</f>
        <v>864.10199999999998</v>
      </c>
      <c r="H46" s="195"/>
      <c r="I46" s="121">
        <f>G46</f>
        <v>864.10199999999998</v>
      </c>
      <c r="J46" s="199">
        <f>I46/I47</f>
        <v>2160.2549999999997</v>
      </c>
    </row>
    <row r="47" spans="1:10">
      <c r="B47" s="194"/>
      <c r="C47" s="197" t="s">
        <v>47</v>
      </c>
      <c r="D47" s="197"/>
      <c r="E47" s="57" t="s">
        <v>48</v>
      </c>
      <c r="F47" s="58">
        <v>60</v>
      </c>
      <c r="G47" s="57" t="s">
        <v>48</v>
      </c>
      <c r="H47" s="58">
        <f>F47/F48</f>
        <v>0.6</v>
      </c>
      <c r="I47">
        <f>1-0.6</f>
        <v>0.4</v>
      </c>
      <c r="J47" s="199"/>
    </row>
    <row r="48" spans="1:10">
      <c r="C48" s="196">
        <v>1</v>
      </c>
      <c r="D48" s="197"/>
      <c r="F48" s="58">
        <v>100</v>
      </c>
    </row>
  </sheetData>
  <mergeCells count="16">
    <mergeCell ref="C48:D48"/>
    <mergeCell ref="J4:K4"/>
    <mergeCell ref="L4:M4"/>
    <mergeCell ref="O4:O5"/>
    <mergeCell ref="A24:E24"/>
    <mergeCell ref="B46:B47"/>
    <mergeCell ref="C46:D46"/>
    <mergeCell ref="E46:F46"/>
    <mergeCell ref="G46:H46"/>
    <mergeCell ref="J46:J47"/>
    <mergeCell ref="C47:D47"/>
    <mergeCell ref="A1:E1"/>
    <mergeCell ref="G4:G5"/>
    <mergeCell ref="H4:I4"/>
    <mergeCell ref="H6:I6"/>
    <mergeCell ref="H5:I5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D5" sqref="D5"/>
    </sheetView>
  </sheetViews>
  <sheetFormatPr baseColWidth="10" defaultRowHeight="15"/>
  <cols>
    <col min="1" max="1" width="29.28515625" customWidth="1"/>
    <col min="3" max="3" width="11.42578125" customWidth="1"/>
    <col min="4" max="4" width="13.5703125" customWidth="1"/>
  </cols>
  <sheetData>
    <row r="1" spans="1:8" ht="18.75">
      <c r="A1" s="193" t="s">
        <v>202</v>
      </c>
      <c r="B1" s="193"/>
      <c r="C1" s="193"/>
      <c r="D1" s="193"/>
      <c r="E1" s="193"/>
    </row>
    <row r="2" spans="1:8" ht="18.75">
      <c r="A2" s="155" t="s">
        <v>12</v>
      </c>
      <c r="B2" s="155">
        <v>50</v>
      </c>
      <c r="C2" s="155"/>
      <c r="D2" s="155"/>
      <c r="E2" s="155"/>
    </row>
    <row r="3" spans="1:8">
      <c r="A3" s="1" t="s">
        <v>0</v>
      </c>
      <c r="B3" s="1" t="s">
        <v>10</v>
      </c>
      <c r="C3" s="1" t="s">
        <v>11</v>
      </c>
      <c r="D3" s="1" t="s">
        <v>1</v>
      </c>
      <c r="E3" s="1" t="s">
        <v>2</v>
      </c>
    </row>
    <row r="4" spans="1:8" ht="15.75">
      <c r="A4" s="4" t="s">
        <v>200</v>
      </c>
      <c r="B4" s="5">
        <v>3.0000000000000001E-3</v>
      </c>
      <c r="C4" s="18">
        <f>B2*B4</f>
        <v>0.15</v>
      </c>
      <c r="D4" s="3">
        <f>COSTO!E34</f>
        <v>3953.4028800000001</v>
      </c>
      <c r="E4" s="3">
        <f>D4*C4</f>
        <v>593.01043200000004</v>
      </c>
      <c r="G4" t="s">
        <v>41</v>
      </c>
      <c r="H4" s="56">
        <v>0.1</v>
      </c>
    </row>
    <row r="5" spans="1:8" ht="15.75">
      <c r="A5" s="4" t="s">
        <v>201</v>
      </c>
      <c r="B5" s="14">
        <v>4.0000000000000002E-4</v>
      </c>
      <c r="C5" s="18">
        <f>B2*B5</f>
        <v>0.02</v>
      </c>
      <c r="D5" s="3">
        <f>COSTO!E19</f>
        <v>98560</v>
      </c>
      <c r="E5" s="3">
        <f t="shared" ref="E5:E6" si="0">D5*C5</f>
        <v>1971.2</v>
      </c>
      <c r="G5" t="s">
        <v>42</v>
      </c>
      <c r="H5" s="56">
        <v>0.05</v>
      </c>
    </row>
    <row r="6" spans="1:8" ht="15.75">
      <c r="A6" s="4" t="s">
        <v>114</v>
      </c>
      <c r="B6" s="5">
        <v>0.99780000000000002</v>
      </c>
      <c r="C6" s="9">
        <f>B6*B2</f>
        <v>49.89</v>
      </c>
      <c r="D6" s="3">
        <f>'Det.Verde sin tensan'!E15</f>
        <v>727.03538181818192</v>
      </c>
      <c r="E6" s="3">
        <f t="shared" si="0"/>
        <v>36271.795198909094</v>
      </c>
      <c r="G6" t="s">
        <v>43</v>
      </c>
      <c r="H6" s="56">
        <v>0</v>
      </c>
    </row>
    <row r="7" spans="1:8" ht="15.75">
      <c r="A7" s="4"/>
      <c r="B7" s="5"/>
      <c r="C7" s="8"/>
      <c r="D7" s="3"/>
      <c r="E7" s="3"/>
      <c r="G7" t="s">
        <v>44</v>
      </c>
      <c r="H7" s="56">
        <v>0.35</v>
      </c>
    </row>
    <row r="8" spans="1:8" ht="15.75">
      <c r="A8" s="4"/>
      <c r="B8" s="5"/>
      <c r="C8" s="5"/>
      <c r="D8" s="3"/>
      <c r="E8" s="3"/>
      <c r="G8" s="61" t="s">
        <v>45</v>
      </c>
      <c r="H8" s="62">
        <f>SUM(H4:H7)</f>
        <v>0.5</v>
      </c>
    </row>
    <row r="9" spans="1:8" ht="15.75">
      <c r="A9" s="4"/>
      <c r="B9" s="5"/>
      <c r="C9" s="5"/>
      <c r="D9" s="3"/>
      <c r="E9" s="3"/>
    </row>
    <row r="10" spans="1:8" ht="15.75">
      <c r="A10" s="4"/>
      <c r="B10" s="6"/>
      <c r="C10" s="8"/>
      <c r="D10" s="3"/>
      <c r="E10" s="3"/>
    </row>
    <row r="11" spans="1:8">
      <c r="A11" s="2"/>
      <c r="B11" s="2"/>
      <c r="C11" s="2"/>
      <c r="D11" s="3"/>
      <c r="E11" s="3"/>
    </row>
    <row r="12" spans="1:8" ht="15.75">
      <c r="A12" s="4"/>
      <c r="B12" s="5"/>
      <c r="C12" s="2"/>
      <c r="D12" s="3"/>
      <c r="E12" s="3"/>
    </row>
    <row r="13" spans="1:8">
      <c r="A13" s="2" t="s">
        <v>3</v>
      </c>
      <c r="B13" s="2">
        <v>1</v>
      </c>
      <c r="C13" s="2"/>
      <c r="D13" s="3">
        <v>30000</v>
      </c>
      <c r="E13" s="3">
        <v>0</v>
      </c>
    </row>
    <row r="14" spans="1:8">
      <c r="A14" s="2" t="s">
        <v>2</v>
      </c>
      <c r="B14" s="2"/>
      <c r="C14" s="2"/>
      <c r="D14" s="3"/>
      <c r="E14" s="3">
        <f>SUM(E4:E13)</f>
        <v>38836.005630909094</v>
      </c>
    </row>
    <row r="15" spans="1:8" ht="23.25">
      <c r="A15" s="10" t="s">
        <v>1</v>
      </c>
      <c r="E15" s="11">
        <f>E14/B2</f>
        <v>776.72011261818193</v>
      </c>
    </row>
    <row r="19" spans="2:10">
      <c r="B19" s="194" t="s">
        <v>46</v>
      </c>
      <c r="C19" s="195" t="s">
        <v>2</v>
      </c>
      <c r="D19" s="195"/>
      <c r="E19" s="198">
        <f>E15</f>
        <v>776.72011261818193</v>
      </c>
      <c r="F19" s="198"/>
      <c r="G19" s="198">
        <f>E19</f>
        <v>776.72011261818193</v>
      </c>
      <c r="H19" s="195"/>
      <c r="I19" s="127">
        <f>G19</f>
        <v>776.72011261818193</v>
      </c>
      <c r="J19" s="200">
        <f>I19/I20</f>
        <v>1553.4402252363639</v>
      </c>
    </row>
    <row r="20" spans="2:10">
      <c r="B20" s="194"/>
      <c r="C20" s="197" t="s">
        <v>47</v>
      </c>
      <c r="D20" s="197"/>
      <c r="E20" s="57" t="s">
        <v>48</v>
      </c>
      <c r="F20" s="58">
        <v>50</v>
      </c>
      <c r="G20" s="57" t="s">
        <v>48</v>
      </c>
      <c r="H20" s="58">
        <f>F20/F21</f>
        <v>0.5</v>
      </c>
      <c r="I20">
        <f>1-H20</f>
        <v>0.5</v>
      </c>
      <c r="J20" s="201"/>
    </row>
    <row r="21" spans="2:10">
      <c r="C21" s="196">
        <v>1</v>
      </c>
      <c r="D21" s="197"/>
      <c r="F21" s="58">
        <v>100</v>
      </c>
    </row>
    <row r="23" spans="2:10" ht="18.75">
      <c r="B23" s="59" t="s">
        <v>46</v>
      </c>
      <c r="C23" s="60">
        <f>J19</f>
        <v>1553.4402252363639</v>
      </c>
    </row>
  </sheetData>
  <mergeCells count="8">
    <mergeCell ref="G19:H19"/>
    <mergeCell ref="J19:J20"/>
    <mergeCell ref="C20:D20"/>
    <mergeCell ref="C21:D21"/>
    <mergeCell ref="A1:E1"/>
    <mergeCell ref="B19:B20"/>
    <mergeCell ref="C19:D19"/>
    <mergeCell ref="E19:F19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9"/>
  <sheetViews>
    <sheetView workbookViewId="0">
      <selection activeCell="D5" sqref="D5"/>
    </sheetView>
  </sheetViews>
  <sheetFormatPr baseColWidth="10" defaultRowHeight="15"/>
  <cols>
    <col min="1" max="1" width="29.28515625" customWidth="1"/>
    <col min="3" max="3" width="11.42578125" customWidth="1"/>
    <col min="4" max="4" width="13.5703125" customWidth="1"/>
    <col min="5" max="5" width="15.28515625" bestFit="1" customWidth="1"/>
  </cols>
  <sheetData>
    <row r="1" spans="1:10" ht="18.75">
      <c r="A1" s="193" t="s">
        <v>22</v>
      </c>
      <c r="B1" s="193"/>
      <c r="C1" s="193"/>
      <c r="D1" s="193"/>
      <c r="E1" s="193"/>
    </row>
    <row r="2" spans="1:10" ht="18.75">
      <c r="A2" s="7" t="s">
        <v>12</v>
      </c>
      <c r="B2" s="7">
        <v>200</v>
      </c>
      <c r="C2" s="7"/>
      <c r="D2" s="7"/>
      <c r="E2" s="7"/>
    </row>
    <row r="3" spans="1:10">
      <c r="A3" s="1" t="s">
        <v>0</v>
      </c>
      <c r="B3" s="1" t="s">
        <v>10</v>
      </c>
      <c r="C3" s="1" t="s">
        <v>11</v>
      </c>
      <c r="D3" s="1" t="s">
        <v>1</v>
      </c>
      <c r="E3" s="1" t="s">
        <v>2</v>
      </c>
    </row>
    <row r="4" spans="1:10" ht="15.75">
      <c r="A4" s="4" t="s">
        <v>23</v>
      </c>
      <c r="B4" s="5">
        <v>2.5999999999999999E-2</v>
      </c>
      <c r="C4" s="5">
        <f>B2*B4</f>
        <v>5.2</v>
      </c>
      <c r="D4" s="3">
        <f>COSTO!E15</f>
        <v>25563.636363636364</v>
      </c>
      <c r="E4" s="3">
        <f>D4*C4</f>
        <v>132930.90909090909</v>
      </c>
    </row>
    <row r="5" spans="1:10" ht="15.75">
      <c r="A5" s="4" t="s">
        <v>24</v>
      </c>
      <c r="B5" s="5">
        <v>2.5000000000000001E-3</v>
      </c>
      <c r="C5" s="18">
        <f>B2*B5</f>
        <v>0.5</v>
      </c>
      <c r="D5" s="3">
        <f>COSTO!E16</f>
        <v>153564</v>
      </c>
      <c r="E5" s="3">
        <f>D5*C5</f>
        <v>76782</v>
      </c>
      <c r="G5" t="s">
        <v>41</v>
      </c>
      <c r="H5" s="56">
        <v>0.1</v>
      </c>
    </row>
    <row r="6" spans="1:10" ht="15.75">
      <c r="A6" s="4" t="s">
        <v>25</v>
      </c>
      <c r="B6" s="5">
        <v>1E-3</v>
      </c>
      <c r="C6" s="18">
        <f>B2*B6</f>
        <v>0.2</v>
      </c>
      <c r="D6" s="3">
        <f>COSTO!E20</f>
        <v>707.22</v>
      </c>
      <c r="E6" s="3">
        <f>D6*C6</f>
        <v>141.44400000000002</v>
      </c>
      <c r="G6" t="s">
        <v>42</v>
      </c>
      <c r="H6" s="56">
        <v>0.05</v>
      </c>
    </row>
    <row r="7" spans="1:10" ht="15.75">
      <c r="A7" s="4" t="s">
        <v>9</v>
      </c>
      <c r="B7" s="5">
        <v>0.96879999999999999</v>
      </c>
      <c r="C7" s="9">
        <f>B2*B7</f>
        <v>193.76</v>
      </c>
      <c r="D7" s="16">
        <v>0</v>
      </c>
      <c r="E7" s="15">
        <f t="shared" ref="E7:E9" si="0">D7*C7</f>
        <v>0</v>
      </c>
      <c r="G7" t="s">
        <v>43</v>
      </c>
      <c r="H7" s="56">
        <v>0</v>
      </c>
    </row>
    <row r="8" spans="1:10" ht="15.75">
      <c r="A8" s="5"/>
      <c r="B8" s="18">
        <f>SUM(B4:B7)</f>
        <v>0.99829999999999997</v>
      </c>
      <c r="C8" s="17">
        <f>SUM(C4:C7)</f>
        <v>199.66</v>
      </c>
      <c r="D8" s="16"/>
      <c r="E8" s="15">
        <f t="shared" si="0"/>
        <v>0</v>
      </c>
      <c r="G8" t="s">
        <v>44</v>
      </c>
      <c r="H8" s="56">
        <v>0.35</v>
      </c>
    </row>
    <row r="9" spans="1:10" ht="15.75">
      <c r="A9" s="5" t="s">
        <v>20</v>
      </c>
      <c r="B9" s="19">
        <v>1</v>
      </c>
      <c r="C9" s="17">
        <v>1</v>
      </c>
      <c r="D9" s="3">
        <v>0</v>
      </c>
      <c r="E9" s="15">
        <f t="shared" si="0"/>
        <v>0</v>
      </c>
      <c r="G9" s="61" t="s">
        <v>45</v>
      </c>
      <c r="H9" s="62">
        <f>SUM(H5:H8)</f>
        <v>0.5</v>
      </c>
    </row>
    <row r="10" spans="1:10" ht="23.25">
      <c r="A10" s="20" t="s">
        <v>2</v>
      </c>
      <c r="B10" s="14"/>
      <c r="C10" s="2"/>
      <c r="D10" s="3"/>
      <c r="E10" s="3">
        <f>SUM(E4:E9)</f>
        <v>209854.35309090908</v>
      </c>
    </row>
    <row r="11" spans="1:10" ht="23.25">
      <c r="A11" s="21" t="s">
        <v>1</v>
      </c>
      <c r="E11" s="22">
        <f>E10/B2</f>
        <v>1049.2717654545454</v>
      </c>
    </row>
    <row r="12" spans="1:10">
      <c r="C12">
        <v>1154</v>
      </c>
    </row>
    <row r="15" spans="1:10">
      <c r="B15" s="194" t="s">
        <v>46</v>
      </c>
      <c r="C15" s="195" t="s">
        <v>2</v>
      </c>
      <c r="D15" s="195"/>
      <c r="E15" s="198">
        <f>E11</f>
        <v>1049.2717654545454</v>
      </c>
      <c r="F15" s="198"/>
      <c r="G15" s="198">
        <f>E15</f>
        <v>1049.2717654545454</v>
      </c>
      <c r="H15" s="195"/>
      <c r="I15" s="121">
        <f>G15</f>
        <v>1049.2717654545454</v>
      </c>
      <c r="J15" s="205">
        <f>I15/I16</f>
        <v>2098.5435309090908</v>
      </c>
    </row>
    <row r="16" spans="1:10">
      <c r="B16" s="194"/>
      <c r="C16" s="197" t="s">
        <v>47</v>
      </c>
      <c r="D16" s="197"/>
      <c r="E16" s="57" t="s">
        <v>48</v>
      </c>
      <c r="F16" s="58">
        <v>50</v>
      </c>
      <c r="G16" s="57" t="s">
        <v>48</v>
      </c>
      <c r="H16" s="58">
        <f>F16/F17</f>
        <v>0.5</v>
      </c>
      <c r="I16">
        <f>1-H16</f>
        <v>0.5</v>
      </c>
      <c r="J16" s="206"/>
    </row>
    <row r="17" spans="1:6">
      <c r="C17" s="196">
        <v>1</v>
      </c>
      <c r="D17" s="197"/>
      <c r="F17" s="58">
        <v>100</v>
      </c>
    </row>
    <row r="19" spans="1:6" ht="18.75">
      <c r="B19" s="59" t="s">
        <v>46</v>
      </c>
      <c r="C19" s="60">
        <f>J15</f>
        <v>2098.5435309090908</v>
      </c>
    </row>
    <row r="22" spans="1:6" ht="18.75">
      <c r="A22" s="193" t="s">
        <v>22</v>
      </c>
      <c r="B22" s="193"/>
      <c r="C22" s="193"/>
      <c r="D22" s="193"/>
      <c r="E22" s="193"/>
    </row>
    <row r="23" spans="1:6" ht="18.75">
      <c r="A23" s="125" t="s">
        <v>12</v>
      </c>
      <c r="B23" s="125">
        <v>20</v>
      </c>
      <c r="C23" s="125"/>
      <c r="D23" s="125"/>
      <c r="E23" s="125"/>
    </row>
    <row r="24" spans="1:6">
      <c r="A24" s="1" t="s">
        <v>0</v>
      </c>
      <c r="B24" s="1" t="s">
        <v>10</v>
      </c>
      <c r="C24" s="1" t="s">
        <v>11</v>
      </c>
      <c r="D24" s="1" t="s">
        <v>1</v>
      </c>
      <c r="E24" s="1" t="s">
        <v>2</v>
      </c>
    </row>
    <row r="25" spans="1:6" ht="15.75">
      <c r="A25" s="4" t="s">
        <v>115</v>
      </c>
      <c r="B25" s="5">
        <v>1</v>
      </c>
      <c r="C25" s="18">
        <f>B23*B25</f>
        <v>20</v>
      </c>
      <c r="D25" s="3">
        <v>1500</v>
      </c>
      <c r="E25" s="3">
        <f>D25*C25</f>
        <v>30000</v>
      </c>
    </row>
    <row r="26" spans="1:6" ht="15.75">
      <c r="A26" s="4" t="s">
        <v>9</v>
      </c>
      <c r="B26" s="5">
        <v>0</v>
      </c>
      <c r="C26" s="9">
        <f>B23*B26</f>
        <v>0</v>
      </c>
      <c r="D26" s="16">
        <v>2.21</v>
      </c>
      <c r="E26" s="15">
        <f t="shared" ref="E26" si="1">D26*C26</f>
        <v>0</v>
      </c>
    </row>
    <row r="27" spans="1:6" ht="15.75">
      <c r="A27" s="5"/>
      <c r="B27" s="18">
        <f>SUM(B25:B26)</f>
        <v>1</v>
      </c>
      <c r="C27" s="17">
        <f>SUM(C25:C26)</f>
        <v>20</v>
      </c>
      <c r="D27" s="16"/>
      <c r="E27" s="16"/>
    </row>
    <row r="28" spans="1:6" ht="15.75">
      <c r="A28" s="5" t="s">
        <v>20</v>
      </c>
      <c r="B28" s="19">
        <v>1</v>
      </c>
      <c r="C28" s="17">
        <v>1</v>
      </c>
      <c r="D28" s="3">
        <v>0</v>
      </c>
      <c r="E28" s="3">
        <f>D28*C28</f>
        <v>0</v>
      </c>
    </row>
    <row r="29" spans="1:6" ht="23.25">
      <c r="A29" s="20" t="s">
        <v>2</v>
      </c>
      <c r="B29" s="14"/>
      <c r="C29" s="2"/>
      <c r="D29" s="3"/>
      <c r="E29" s="3">
        <f>SUM(E25:E28)</f>
        <v>30000</v>
      </c>
    </row>
    <row r="30" spans="1:6" ht="23.25">
      <c r="A30" s="21" t="s">
        <v>1</v>
      </c>
      <c r="E30" s="22">
        <f>E29/B23</f>
        <v>1500</v>
      </c>
    </row>
    <row r="34" spans="2:10">
      <c r="B34" s="194" t="s">
        <v>46</v>
      </c>
      <c r="C34" s="195" t="s">
        <v>2</v>
      </c>
      <c r="D34" s="195"/>
      <c r="E34" s="198">
        <f>E30</f>
        <v>1500</v>
      </c>
      <c r="F34" s="198"/>
      <c r="G34" s="198">
        <f>E34</f>
        <v>1500</v>
      </c>
      <c r="H34" s="195"/>
      <c r="I34" s="121">
        <f>G34</f>
        <v>1500</v>
      </c>
      <c r="J34" s="205">
        <f>I34/I35</f>
        <v>3750</v>
      </c>
    </row>
    <row r="35" spans="2:10">
      <c r="B35" s="194"/>
      <c r="C35" s="197" t="s">
        <v>47</v>
      </c>
      <c r="D35" s="197"/>
      <c r="E35" s="57" t="s">
        <v>48</v>
      </c>
      <c r="F35" s="58">
        <v>60</v>
      </c>
      <c r="G35" s="57" t="s">
        <v>48</v>
      </c>
      <c r="H35" s="58">
        <f>F35/F36</f>
        <v>0.6</v>
      </c>
      <c r="I35">
        <v>0.4</v>
      </c>
      <c r="J35" s="206"/>
    </row>
    <row r="36" spans="2:10">
      <c r="C36" s="196">
        <v>1</v>
      </c>
      <c r="D36" s="197"/>
      <c r="F36" s="58">
        <v>100</v>
      </c>
    </row>
    <row r="39" spans="2:10" ht="18.75">
      <c r="B39" s="59" t="s">
        <v>46</v>
      </c>
      <c r="C39" s="60">
        <f>J34</f>
        <v>3750</v>
      </c>
    </row>
  </sheetData>
  <mergeCells count="16">
    <mergeCell ref="C36:D36"/>
    <mergeCell ref="E34:F34"/>
    <mergeCell ref="C17:D17"/>
    <mergeCell ref="J15:J16"/>
    <mergeCell ref="A1:E1"/>
    <mergeCell ref="B15:B16"/>
    <mergeCell ref="C15:D15"/>
    <mergeCell ref="E15:F15"/>
    <mergeCell ref="G15:H15"/>
    <mergeCell ref="C16:D16"/>
    <mergeCell ref="G34:H34"/>
    <mergeCell ref="J34:J35"/>
    <mergeCell ref="A22:E22"/>
    <mergeCell ref="B34:B35"/>
    <mergeCell ref="C34:D34"/>
    <mergeCell ref="C35:D35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9"/>
  <sheetViews>
    <sheetView workbookViewId="0">
      <selection activeCell="D5" sqref="D5"/>
    </sheetView>
  </sheetViews>
  <sheetFormatPr baseColWidth="10" defaultRowHeight="15"/>
  <cols>
    <col min="1" max="1" width="29.28515625" customWidth="1"/>
    <col min="3" max="3" width="11.42578125" customWidth="1"/>
    <col min="4" max="4" width="13.5703125" customWidth="1"/>
    <col min="5" max="5" width="15.28515625" bestFit="1" customWidth="1"/>
  </cols>
  <sheetData>
    <row r="1" spans="1:10" ht="18.75">
      <c r="A1" s="193" t="s">
        <v>190</v>
      </c>
      <c r="B1" s="193"/>
      <c r="C1" s="193"/>
      <c r="D1" s="193"/>
      <c r="E1" s="193"/>
    </row>
    <row r="2" spans="1:10" ht="18.75">
      <c r="A2" s="134" t="s">
        <v>12</v>
      </c>
      <c r="B2" s="134">
        <v>200</v>
      </c>
      <c r="C2" s="134"/>
      <c r="D2" s="134"/>
      <c r="E2" s="134"/>
    </row>
    <row r="3" spans="1:10">
      <c r="A3" s="1" t="s">
        <v>0</v>
      </c>
      <c r="B3" s="1" t="s">
        <v>10</v>
      </c>
      <c r="C3" s="1" t="s">
        <v>11</v>
      </c>
      <c r="D3" s="1" t="s">
        <v>1</v>
      </c>
      <c r="E3" s="1" t="s">
        <v>2</v>
      </c>
    </row>
    <row r="4" spans="1:10" ht="15.75">
      <c r="A4" s="4" t="s">
        <v>23</v>
      </c>
      <c r="B4" s="5">
        <v>2.5999999999999999E-2</v>
      </c>
      <c r="C4" s="5">
        <f>B2*B4</f>
        <v>5.2</v>
      </c>
      <c r="D4" s="3">
        <f>COSTO!E15</f>
        <v>25563.636363636364</v>
      </c>
      <c r="E4" s="3">
        <f>D4*C4</f>
        <v>132930.90909090909</v>
      </c>
    </row>
    <row r="5" spans="1:10" ht="15.75">
      <c r="A5" s="4" t="s">
        <v>128</v>
      </c>
      <c r="B5" s="5">
        <v>3.5000000000000001E-3</v>
      </c>
      <c r="C5" s="18">
        <f>B2*B5</f>
        <v>0.70000000000000007</v>
      </c>
      <c r="D5" s="3">
        <f>COSTO!E18</f>
        <v>112815</v>
      </c>
      <c r="E5" s="3">
        <f>D5*C5</f>
        <v>78970.500000000015</v>
      </c>
      <c r="G5" t="s">
        <v>41</v>
      </c>
      <c r="H5" s="56">
        <v>0.1</v>
      </c>
    </row>
    <row r="6" spans="1:10" ht="15.75">
      <c r="A6" s="2" t="s">
        <v>191</v>
      </c>
      <c r="B6" s="5">
        <v>3.7000000000000002E-3</v>
      </c>
      <c r="C6" s="18">
        <f>B2*B6</f>
        <v>0.74</v>
      </c>
      <c r="D6" s="3">
        <f>COSTO!E21</f>
        <v>995.47</v>
      </c>
      <c r="E6" s="3">
        <f>D6*C6</f>
        <v>736.64779999999996</v>
      </c>
      <c r="G6" t="s">
        <v>42</v>
      </c>
      <c r="H6" s="56">
        <v>0.05</v>
      </c>
    </row>
    <row r="7" spans="1:10" ht="15.75">
      <c r="A7" s="5"/>
      <c r="B7" s="5">
        <v>0.96879999999999999</v>
      </c>
      <c r="C7" s="9">
        <f>B2*B7</f>
        <v>193.76</v>
      </c>
      <c r="D7" s="16">
        <v>0</v>
      </c>
      <c r="E7" s="15">
        <f t="shared" ref="E7:E9" si="0">D7*C7</f>
        <v>0</v>
      </c>
      <c r="G7" t="s">
        <v>43</v>
      </c>
      <c r="H7" s="56">
        <v>0</v>
      </c>
    </row>
    <row r="8" spans="1:10" ht="15.75">
      <c r="A8" s="5"/>
      <c r="B8" s="18">
        <f>SUM(B4:B7)</f>
        <v>1.002</v>
      </c>
      <c r="C8" s="17">
        <f>SUM(C4:C7)</f>
        <v>200.39999999999998</v>
      </c>
      <c r="D8" s="16"/>
      <c r="E8" s="15">
        <f t="shared" si="0"/>
        <v>0</v>
      </c>
      <c r="G8" t="s">
        <v>44</v>
      </c>
      <c r="H8" s="56">
        <v>0.35</v>
      </c>
    </row>
    <row r="9" spans="1:10" ht="15.75">
      <c r="A9" s="5" t="s">
        <v>20</v>
      </c>
      <c r="B9" s="19">
        <v>1</v>
      </c>
      <c r="C9" s="17">
        <v>1</v>
      </c>
      <c r="D9" s="3">
        <v>0</v>
      </c>
      <c r="E9" s="15">
        <f t="shared" si="0"/>
        <v>0</v>
      </c>
      <c r="G9" s="61" t="s">
        <v>45</v>
      </c>
      <c r="H9" s="62">
        <f>SUM(H5:H8)</f>
        <v>0.5</v>
      </c>
    </row>
    <row r="10" spans="1:10" ht="23.25">
      <c r="A10" s="20" t="s">
        <v>2</v>
      </c>
      <c r="B10" s="14"/>
      <c r="C10" s="2"/>
      <c r="D10" s="3"/>
      <c r="E10" s="3">
        <f>SUM(E4:E9)</f>
        <v>212638.05689090912</v>
      </c>
    </row>
    <row r="11" spans="1:10" ht="23.25">
      <c r="A11" s="21" t="s">
        <v>1</v>
      </c>
      <c r="E11" s="22">
        <f>E10/B2</f>
        <v>1063.1902844545457</v>
      </c>
    </row>
    <row r="12" spans="1:10">
      <c r="C12">
        <v>814</v>
      </c>
    </row>
    <row r="15" spans="1:10">
      <c r="B15" s="194" t="s">
        <v>46</v>
      </c>
      <c r="C15" s="195" t="s">
        <v>2</v>
      </c>
      <c r="D15" s="195"/>
      <c r="E15" s="198">
        <f>E11</f>
        <v>1063.1902844545457</v>
      </c>
      <c r="F15" s="198"/>
      <c r="G15" s="198">
        <f>E15</f>
        <v>1063.1902844545457</v>
      </c>
      <c r="H15" s="195"/>
      <c r="I15" s="121">
        <f>G15</f>
        <v>1063.1902844545457</v>
      </c>
      <c r="J15" s="205">
        <f>I15/I16</f>
        <v>2126.3805689090914</v>
      </c>
    </row>
    <row r="16" spans="1:10">
      <c r="B16" s="194"/>
      <c r="C16" s="197" t="s">
        <v>47</v>
      </c>
      <c r="D16" s="197"/>
      <c r="E16" s="57" t="s">
        <v>48</v>
      </c>
      <c r="F16" s="58">
        <v>50</v>
      </c>
      <c r="G16" s="57" t="s">
        <v>48</v>
      </c>
      <c r="H16" s="58">
        <f>F16/F17</f>
        <v>0.5</v>
      </c>
      <c r="I16">
        <f>1-H16</f>
        <v>0.5</v>
      </c>
      <c r="J16" s="206"/>
    </row>
    <row r="17" spans="1:6">
      <c r="C17" s="196">
        <v>1</v>
      </c>
      <c r="D17" s="197"/>
      <c r="F17" s="58">
        <v>100</v>
      </c>
    </row>
    <row r="19" spans="1:6" ht="18.75">
      <c r="B19" s="59" t="s">
        <v>46</v>
      </c>
      <c r="C19" s="60">
        <f>J15</f>
        <v>2126.3805689090914</v>
      </c>
    </row>
    <row r="22" spans="1:6" ht="18.75">
      <c r="A22" s="193" t="s">
        <v>22</v>
      </c>
      <c r="B22" s="193"/>
      <c r="C22" s="193"/>
      <c r="D22" s="193"/>
      <c r="E22" s="193"/>
    </row>
    <row r="23" spans="1:6" ht="18.75">
      <c r="A23" s="134" t="s">
        <v>12</v>
      </c>
      <c r="B23" s="134">
        <v>20</v>
      </c>
      <c r="C23" s="134"/>
      <c r="D23" s="134"/>
      <c r="E23" s="134"/>
    </row>
    <row r="24" spans="1:6">
      <c r="A24" s="1" t="s">
        <v>0</v>
      </c>
      <c r="B24" s="1" t="s">
        <v>10</v>
      </c>
      <c r="C24" s="1" t="s">
        <v>11</v>
      </c>
      <c r="D24" s="1" t="s">
        <v>1</v>
      </c>
      <c r="E24" s="1" t="s">
        <v>2</v>
      </c>
    </row>
    <row r="25" spans="1:6" ht="15.75">
      <c r="A25" s="4" t="s">
        <v>115</v>
      </c>
      <c r="B25" s="5">
        <v>1</v>
      </c>
      <c r="C25" s="18">
        <f>B23*B25</f>
        <v>20</v>
      </c>
      <c r="D25" s="3">
        <v>1500</v>
      </c>
      <c r="E25" s="3">
        <f>D25*C25</f>
        <v>30000</v>
      </c>
    </row>
    <row r="26" spans="1:6" ht="15.75">
      <c r="A26" s="4" t="s">
        <v>9</v>
      </c>
      <c r="B26" s="5">
        <v>0</v>
      </c>
      <c r="C26" s="9">
        <f>B23*B26</f>
        <v>0</v>
      </c>
      <c r="D26" s="16">
        <v>2.21</v>
      </c>
      <c r="E26" s="15">
        <f t="shared" ref="E26" si="1">D26*C26</f>
        <v>0</v>
      </c>
    </row>
    <row r="27" spans="1:6" ht="15.75">
      <c r="A27" s="5"/>
      <c r="B27" s="18">
        <f>SUM(B25:B26)</f>
        <v>1</v>
      </c>
      <c r="C27" s="17">
        <f>SUM(C25:C26)</f>
        <v>20</v>
      </c>
      <c r="D27" s="16"/>
      <c r="E27" s="16"/>
    </row>
    <row r="28" spans="1:6" ht="15.75">
      <c r="A28" s="5" t="s">
        <v>20</v>
      </c>
      <c r="B28" s="19">
        <v>1</v>
      </c>
      <c r="C28" s="17">
        <v>1</v>
      </c>
      <c r="D28" s="3">
        <v>0</v>
      </c>
      <c r="E28" s="3">
        <f>D28*C28</f>
        <v>0</v>
      </c>
    </row>
    <row r="29" spans="1:6" ht="23.25">
      <c r="A29" s="20" t="s">
        <v>2</v>
      </c>
      <c r="B29" s="14"/>
      <c r="C29" s="2"/>
      <c r="D29" s="3"/>
      <c r="E29" s="3">
        <f>SUM(E25:E28)</f>
        <v>30000</v>
      </c>
    </row>
    <row r="30" spans="1:6" ht="23.25">
      <c r="A30" s="21" t="s">
        <v>1</v>
      </c>
      <c r="E30" s="22">
        <f>E29/B23</f>
        <v>1500</v>
      </c>
    </row>
    <row r="34" spans="2:10">
      <c r="B34" s="194" t="s">
        <v>46</v>
      </c>
      <c r="C34" s="195" t="s">
        <v>2</v>
      </c>
      <c r="D34" s="195"/>
      <c r="E34" s="198">
        <f>E30</f>
        <v>1500</v>
      </c>
      <c r="F34" s="198"/>
      <c r="G34" s="198">
        <f>E34</f>
        <v>1500</v>
      </c>
      <c r="H34" s="195"/>
      <c r="I34" s="121">
        <f>G34</f>
        <v>1500</v>
      </c>
      <c r="J34" s="205">
        <f>I34/I35</f>
        <v>3750</v>
      </c>
    </row>
    <row r="35" spans="2:10">
      <c r="B35" s="194"/>
      <c r="C35" s="197" t="s">
        <v>47</v>
      </c>
      <c r="D35" s="197"/>
      <c r="E35" s="57" t="s">
        <v>48</v>
      </c>
      <c r="F35" s="58">
        <v>60</v>
      </c>
      <c r="G35" s="57" t="s">
        <v>48</v>
      </c>
      <c r="H35" s="58">
        <f>F35/F36</f>
        <v>0.6</v>
      </c>
      <c r="I35">
        <v>0.4</v>
      </c>
      <c r="J35" s="206"/>
    </row>
    <row r="36" spans="2:10">
      <c r="C36" s="196">
        <v>1</v>
      </c>
      <c r="D36" s="197"/>
      <c r="F36" s="58">
        <v>100</v>
      </c>
    </row>
    <row r="39" spans="2:10" ht="18.75">
      <c r="B39" s="59" t="s">
        <v>46</v>
      </c>
      <c r="C39" s="60">
        <f>J34</f>
        <v>3750</v>
      </c>
    </row>
  </sheetData>
  <mergeCells count="16">
    <mergeCell ref="J34:J35"/>
    <mergeCell ref="C35:D35"/>
    <mergeCell ref="C36:D36"/>
    <mergeCell ref="C17:D17"/>
    <mergeCell ref="A22:E22"/>
    <mergeCell ref="B34:B35"/>
    <mergeCell ref="C34:D34"/>
    <mergeCell ref="E34:F34"/>
    <mergeCell ref="G34:H34"/>
    <mergeCell ref="J15:J16"/>
    <mergeCell ref="C16:D16"/>
    <mergeCell ref="A1:E1"/>
    <mergeCell ref="B15:B16"/>
    <mergeCell ref="C15:D15"/>
    <mergeCell ref="E15:F15"/>
    <mergeCell ref="G15:H15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39"/>
  <sheetViews>
    <sheetView workbookViewId="0">
      <selection activeCell="B5" sqref="B5"/>
    </sheetView>
  </sheetViews>
  <sheetFormatPr baseColWidth="10" defaultRowHeight="15"/>
  <cols>
    <col min="1" max="1" width="29.28515625" customWidth="1"/>
    <col min="3" max="3" width="11.42578125" customWidth="1"/>
    <col min="4" max="4" width="13.5703125" customWidth="1"/>
    <col min="5" max="5" width="15.28515625" bestFit="1" customWidth="1"/>
  </cols>
  <sheetData>
    <row r="1" spans="1:10" ht="18.75">
      <c r="A1" s="193" t="s">
        <v>196</v>
      </c>
      <c r="B1" s="193"/>
      <c r="C1" s="193"/>
      <c r="D1" s="193"/>
      <c r="E1" s="193"/>
    </row>
    <row r="2" spans="1:10" ht="18.75">
      <c r="A2" s="155" t="s">
        <v>12</v>
      </c>
      <c r="B2" s="155">
        <v>200</v>
      </c>
      <c r="C2" s="155"/>
      <c r="D2" s="155"/>
      <c r="E2" s="155"/>
    </row>
    <row r="3" spans="1:10">
      <c r="A3" s="1" t="s">
        <v>0</v>
      </c>
      <c r="B3" s="1" t="s">
        <v>10</v>
      </c>
      <c r="C3" s="1" t="s">
        <v>11</v>
      </c>
      <c r="D3" s="1" t="s">
        <v>1</v>
      </c>
      <c r="E3" s="1" t="s">
        <v>2</v>
      </c>
    </row>
    <row r="4" spans="1:10" ht="15.75">
      <c r="A4" s="5" t="s">
        <v>197</v>
      </c>
      <c r="B4" s="5">
        <v>2.5999999999999999E-2</v>
      </c>
      <c r="C4" s="5">
        <f>B2*B4</f>
        <v>5.2</v>
      </c>
      <c r="D4" s="3">
        <f>COSTO!E15</f>
        <v>25563.636363636364</v>
      </c>
      <c r="E4" s="3">
        <f>D4*C4</f>
        <v>132930.90909090909</v>
      </c>
    </row>
    <row r="5" spans="1:10" ht="15.75">
      <c r="A5" s="5" t="s">
        <v>198</v>
      </c>
      <c r="B5" s="5">
        <v>3.5000000000000001E-3</v>
      </c>
      <c r="C5" s="18">
        <f>B2*B5</f>
        <v>0.70000000000000007</v>
      </c>
      <c r="D5" s="3">
        <f>COSTO!E32</f>
        <v>124607</v>
      </c>
      <c r="E5" s="3">
        <f>D5*C5</f>
        <v>87224.900000000009</v>
      </c>
      <c r="G5" t="s">
        <v>41</v>
      </c>
      <c r="H5" s="56">
        <v>0.1</v>
      </c>
    </row>
    <row r="6" spans="1:10" ht="15.75">
      <c r="A6" s="2" t="s">
        <v>199</v>
      </c>
      <c r="B6" s="5">
        <v>1E-3</v>
      </c>
      <c r="C6" s="18">
        <f>B2*B6</f>
        <v>0.2</v>
      </c>
      <c r="D6" s="3">
        <f>COSTO!E23</f>
        <v>1024.1600000000001</v>
      </c>
      <c r="E6" s="3">
        <f>D6*C6</f>
        <v>204.83200000000002</v>
      </c>
      <c r="G6" t="s">
        <v>42</v>
      </c>
      <c r="H6" s="56">
        <v>0.05</v>
      </c>
    </row>
    <row r="7" spans="1:10" ht="15.75">
      <c r="A7" s="5" t="s">
        <v>9</v>
      </c>
      <c r="B7" s="14">
        <v>0.97050000000000003</v>
      </c>
      <c r="C7" s="9">
        <f>B2*B7</f>
        <v>194.1</v>
      </c>
      <c r="D7" s="16">
        <v>0</v>
      </c>
      <c r="E7" s="15">
        <f t="shared" ref="E7:E9" si="0">D7*C7</f>
        <v>0</v>
      </c>
      <c r="G7" t="s">
        <v>43</v>
      </c>
      <c r="H7" s="56">
        <v>0</v>
      </c>
    </row>
    <row r="8" spans="1:10" ht="15.75">
      <c r="A8" s="5"/>
      <c r="B8" s="18">
        <f>SUM(B4:B7)</f>
        <v>1.0010000000000001</v>
      </c>
      <c r="C8" s="17">
        <f>SUM(C4:C7)</f>
        <v>200.2</v>
      </c>
      <c r="D8" s="16"/>
      <c r="E8" s="15">
        <f t="shared" si="0"/>
        <v>0</v>
      </c>
      <c r="G8" t="s">
        <v>44</v>
      </c>
      <c r="H8" s="56">
        <v>0.35</v>
      </c>
    </row>
    <row r="9" spans="1:10" ht="15.75">
      <c r="A9" s="5" t="s">
        <v>20</v>
      </c>
      <c r="B9" s="19">
        <v>1</v>
      </c>
      <c r="C9" s="17">
        <v>1</v>
      </c>
      <c r="D9" s="3">
        <v>0</v>
      </c>
      <c r="E9" s="15">
        <f t="shared" si="0"/>
        <v>0</v>
      </c>
      <c r="G9" s="61" t="s">
        <v>45</v>
      </c>
      <c r="H9" s="62">
        <f>SUM(H5:H8)</f>
        <v>0.5</v>
      </c>
    </row>
    <row r="10" spans="1:10" ht="23.25">
      <c r="A10" s="20" t="s">
        <v>2</v>
      </c>
      <c r="B10" s="14"/>
      <c r="C10" s="2"/>
      <c r="D10" s="3"/>
      <c r="E10" s="3">
        <f>SUM(E4:E9)</f>
        <v>220360.64109090908</v>
      </c>
    </row>
    <row r="11" spans="1:10" ht="23.25">
      <c r="A11" s="21" t="s">
        <v>1</v>
      </c>
      <c r="E11" s="22">
        <f>E10/B2</f>
        <v>1101.8032054545454</v>
      </c>
    </row>
    <row r="12" spans="1:10">
      <c r="C12">
        <v>814</v>
      </c>
    </row>
    <row r="15" spans="1:10">
      <c r="B15" s="194" t="s">
        <v>46</v>
      </c>
      <c r="C15" s="195" t="s">
        <v>2</v>
      </c>
      <c r="D15" s="195"/>
      <c r="E15" s="198">
        <f>E11</f>
        <v>1101.8032054545454</v>
      </c>
      <c r="F15" s="198"/>
      <c r="G15" s="198">
        <f>E15</f>
        <v>1101.8032054545454</v>
      </c>
      <c r="H15" s="195"/>
      <c r="I15" s="121">
        <f>G15</f>
        <v>1101.8032054545454</v>
      </c>
      <c r="J15" s="205">
        <f>I15/I16</f>
        <v>2203.6064109090908</v>
      </c>
    </row>
    <row r="16" spans="1:10">
      <c r="B16" s="194"/>
      <c r="C16" s="197" t="s">
        <v>47</v>
      </c>
      <c r="D16" s="197"/>
      <c r="E16" s="57" t="s">
        <v>48</v>
      </c>
      <c r="F16" s="58">
        <v>50</v>
      </c>
      <c r="G16" s="57" t="s">
        <v>48</v>
      </c>
      <c r="H16" s="58">
        <f>F16/F17</f>
        <v>0.5</v>
      </c>
      <c r="I16">
        <f>1-H16</f>
        <v>0.5</v>
      </c>
      <c r="J16" s="206"/>
    </row>
    <row r="17" spans="1:6">
      <c r="C17" s="196">
        <v>1</v>
      </c>
      <c r="D17" s="197"/>
      <c r="F17" s="58">
        <v>100</v>
      </c>
    </row>
    <row r="19" spans="1:6" ht="18.75">
      <c r="B19" s="59" t="s">
        <v>46</v>
      </c>
      <c r="C19" s="60">
        <f>J15</f>
        <v>2203.6064109090908</v>
      </c>
    </row>
    <row r="22" spans="1:6" ht="18.75">
      <c r="A22" s="193" t="s">
        <v>22</v>
      </c>
      <c r="B22" s="193"/>
      <c r="C22" s="193"/>
      <c r="D22" s="193"/>
      <c r="E22" s="193"/>
    </row>
    <row r="23" spans="1:6" ht="18.75">
      <c r="A23" s="155" t="s">
        <v>12</v>
      </c>
      <c r="B23" s="155">
        <v>20</v>
      </c>
      <c r="C23" s="155"/>
      <c r="D23" s="155"/>
      <c r="E23" s="155"/>
    </row>
    <row r="24" spans="1:6">
      <c r="A24" s="1" t="s">
        <v>0</v>
      </c>
      <c r="B24" s="1" t="s">
        <v>10</v>
      </c>
      <c r="C24" s="1" t="s">
        <v>11</v>
      </c>
      <c r="D24" s="1" t="s">
        <v>1</v>
      </c>
      <c r="E24" s="1" t="s">
        <v>2</v>
      </c>
    </row>
    <row r="25" spans="1:6" ht="15.75">
      <c r="A25" s="4" t="s">
        <v>115</v>
      </c>
      <c r="B25" s="5">
        <v>1</v>
      </c>
      <c r="C25" s="18">
        <f>B23*B25</f>
        <v>20</v>
      </c>
      <c r="D25" s="3">
        <v>1500</v>
      </c>
      <c r="E25" s="3">
        <f>D25*C25</f>
        <v>30000</v>
      </c>
    </row>
    <row r="26" spans="1:6" ht="15.75">
      <c r="A26" s="4" t="s">
        <v>9</v>
      </c>
      <c r="B26" s="5">
        <v>0</v>
      </c>
      <c r="C26" s="9">
        <f>B23*B26</f>
        <v>0</v>
      </c>
      <c r="D26" s="16">
        <v>2.21</v>
      </c>
      <c r="E26" s="15">
        <f t="shared" ref="E26" si="1">D26*C26</f>
        <v>0</v>
      </c>
    </row>
    <row r="27" spans="1:6" ht="15.75">
      <c r="A27" s="5"/>
      <c r="B27" s="18">
        <f>SUM(B25:B26)</f>
        <v>1</v>
      </c>
      <c r="C27" s="17">
        <f>SUM(C25:C26)</f>
        <v>20</v>
      </c>
      <c r="D27" s="16"/>
      <c r="E27" s="16"/>
    </row>
    <row r="28" spans="1:6" ht="15.75">
      <c r="A28" s="5" t="s">
        <v>20</v>
      </c>
      <c r="B28" s="19">
        <v>1</v>
      </c>
      <c r="C28" s="17">
        <v>1</v>
      </c>
      <c r="D28" s="3">
        <v>0</v>
      </c>
      <c r="E28" s="3">
        <f>D28*C28</f>
        <v>0</v>
      </c>
    </row>
    <row r="29" spans="1:6" ht="23.25">
      <c r="A29" s="20" t="s">
        <v>2</v>
      </c>
      <c r="B29" s="14"/>
      <c r="C29" s="2"/>
      <c r="D29" s="3"/>
      <c r="E29" s="3">
        <f>SUM(E25:E28)</f>
        <v>30000</v>
      </c>
    </row>
    <row r="30" spans="1:6" ht="23.25">
      <c r="A30" s="21" t="s">
        <v>1</v>
      </c>
      <c r="E30" s="22">
        <f>E29/B23</f>
        <v>1500</v>
      </c>
    </row>
    <row r="34" spans="2:10">
      <c r="B34" s="194" t="s">
        <v>46</v>
      </c>
      <c r="C34" s="195" t="s">
        <v>2</v>
      </c>
      <c r="D34" s="195"/>
      <c r="E34" s="198">
        <f>E30</f>
        <v>1500</v>
      </c>
      <c r="F34" s="198"/>
      <c r="G34" s="198">
        <f>E34</f>
        <v>1500</v>
      </c>
      <c r="H34" s="195"/>
      <c r="I34" s="121">
        <f>G34</f>
        <v>1500</v>
      </c>
      <c r="J34" s="205">
        <f>I34/I35</f>
        <v>3750</v>
      </c>
    </row>
    <row r="35" spans="2:10">
      <c r="B35" s="194"/>
      <c r="C35" s="197" t="s">
        <v>47</v>
      </c>
      <c r="D35" s="197"/>
      <c r="E35" s="57" t="s">
        <v>48</v>
      </c>
      <c r="F35" s="58">
        <v>60</v>
      </c>
      <c r="G35" s="57" t="s">
        <v>48</v>
      </c>
      <c r="H35" s="58">
        <f>F35/F36</f>
        <v>0.6</v>
      </c>
      <c r="I35">
        <v>0.4</v>
      </c>
      <c r="J35" s="206"/>
    </row>
    <row r="36" spans="2:10">
      <c r="C36" s="196">
        <v>1</v>
      </c>
      <c r="D36" s="197"/>
      <c r="F36" s="58">
        <v>100</v>
      </c>
    </row>
    <row r="39" spans="2:10" ht="18.75">
      <c r="B39" s="59" t="s">
        <v>46</v>
      </c>
      <c r="C39" s="60">
        <f>J34</f>
        <v>3750</v>
      </c>
    </row>
  </sheetData>
  <mergeCells count="16">
    <mergeCell ref="J15:J16"/>
    <mergeCell ref="C16:D16"/>
    <mergeCell ref="A1:E1"/>
    <mergeCell ref="B15:B16"/>
    <mergeCell ref="C15:D15"/>
    <mergeCell ref="E15:F15"/>
    <mergeCell ref="G15:H15"/>
    <mergeCell ref="J34:J35"/>
    <mergeCell ref="C35:D35"/>
    <mergeCell ref="C36:D36"/>
    <mergeCell ref="C17:D17"/>
    <mergeCell ref="A22:E22"/>
    <mergeCell ref="B34:B35"/>
    <mergeCell ref="C34:D34"/>
    <mergeCell ref="E34:F34"/>
    <mergeCell ref="G34:H34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B4" sqref="B4"/>
    </sheetView>
  </sheetViews>
  <sheetFormatPr baseColWidth="10" defaultRowHeight="15"/>
  <cols>
    <col min="1" max="1" width="29.28515625" customWidth="1"/>
    <col min="3" max="3" width="11.42578125" customWidth="1"/>
    <col min="4" max="4" width="13.5703125" customWidth="1"/>
  </cols>
  <sheetData>
    <row r="1" spans="1:8" ht="18.75">
      <c r="A1" s="193" t="s">
        <v>268</v>
      </c>
      <c r="B1" s="193"/>
      <c r="C1" s="193"/>
      <c r="D1" s="193"/>
      <c r="E1" s="193"/>
    </row>
    <row r="2" spans="1:8" ht="18.75">
      <c r="A2" s="157" t="s">
        <v>12</v>
      </c>
      <c r="B2" s="157">
        <v>10</v>
      </c>
      <c r="C2" s="157"/>
      <c r="D2" s="157"/>
      <c r="E2" s="157"/>
    </row>
    <row r="3" spans="1:8">
      <c r="A3" s="1" t="s">
        <v>0</v>
      </c>
      <c r="B3" s="1" t="s">
        <v>10</v>
      </c>
      <c r="C3" s="1" t="s">
        <v>11</v>
      </c>
      <c r="D3" s="1" t="s">
        <v>1</v>
      </c>
      <c r="E3" s="1" t="s">
        <v>2</v>
      </c>
    </row>
    <row r="4" spans="1:8" ht="15.75">
      <c r="A4" s="4" t="s">
        <v>269</v>
      </c>
      <c r="B4" s="5">
        <v>1.6E-2</v>
      </c>
      <c r="C4" s="5">
        <f>B2*B4</f>
        <v>0.16</v>
      </c>
      <c r="D4" s="3">
        <f>COSTO!E18</f>
        <v>112815</v>
      </c>
      <c r="E4" s="3">
        <f>D4*C4</f>
        <v>18050.400000000001</v>
      </c>
      <c r="G4" t="s">
        <v>41</v>
      </c>
      <c r="H4" s="56">
        <v>0.1</v>
      </c>
    </row>
    <row r="5" spans="1:8" ht="15.75">
      <c r="A5" s="4" t="s">
        <v>262</v>
      </c>
      <c r="B5" s="5">
        <v>1.6E-2</v>
      </c>
      <c r="C5" s="9">
        <f>B2*B5</f>
        <v>0.16</v>
      </c>
      <c r="D5" s="3">
        <f>COSTO!E17</f>
        <v>18816.14</v>
      </c>
      <c r="E5" s="3">
        <f t="shared" ref="E5:E7" si="0">D5*C5</f>
        <v>3010.5823999999998</v>
      </c>
      <c r="G5" t="s">
        <v>42</v>
      </c>
      <c r="H5" s="56">
        <v>0.05</v>
      </c>
    </row>
    <row r="6" spans="1:8" ht="15.75">
      <c r="A6" s="4" t="s">
        <v>264</v>
      </c>
      <c r="B6" s="5">
        <v>0.08</v>
      </c>
      <c r="C6" s="9">
        <f>B6*B2</f>
        <v>0.8</v>
      </c>
      <c r="D6" s="3">
        <f>COSTO!E12</f>
        <v>6000</v>
      </c>
      <c r="E6" s="3">
        <f t="shared" si="0"/>
        <v>4800</v>
      </c>
      <c r="G6" t="s">
        <v>43</v>
      </c>
      <c r="H6" s="56">
        <v>0</v>
      </c>
    </row>
    <row r="7" spans="1:8" ht="15.75">
      <c r="A7" s="4" t="s">
        <v>9</v>
      </c>
      <c r="B7" s="5">
        <v>0.89</v>
      </c>
      <c r="C7" s="8">
        <f>B7*B2</f>
        <v>8.9</v>
      </c>
      <c r="D7" s="3">
        <v>0</v>
      </c>
      <c r="E7" s="3">
        <f t="shared" si="0"/>
        <v>0</v>
      </c>
      <c r="G7" t="s">
        <v>44</v>
      </c>
      <c r="H7" s="56">
        <v>0.35</v>
      </c>
    </row>
    <row r="8" spans="1:8" ht="15.75">
      <c r="A8" s="4"/>
      <c r="B8" s="5"/>
      <c r="C8" s="5"/>
      <c r="D8" s="3"/>
      <c r="E8" s="3"/>
      <c r="G8" s="61" t="s">
        <v>45</v>
      </c>
      <c r="H8" s="62">
        <f>SUM(H4:H7)</f>
        <v>0.5</v>
      </c>
    </row>
    <row r="9" spans="1:8" ht="15.75">
      <c r="A9" s="4"/>
      <c r="B9" s="5"/>
      <c r="C9" s="5"/>
      <c r="D9" s="3"/>
      <c r="E9" s="3"/>
    </row>
    <row r="10" spans="1:8" ht="15.75">
      <c r="A10" s="159"/>
      <c r="B10" s="5"/>
      <c r="C10" s="8"/>
      <c r="D10" s="3"/>
      <c r="E10" s="3"/>
    </row>
    <row r="11" spans="1:8">
      <c r="A11" s="2"/>
      <c r="B11" s="2"/>
      <c r="C11" s="2"/>
      <c r="D11" s="3"/>
      <c r="E11" s="3"/>
    </row>
    <row r="12" spans="1:8" ht="15.75">
      <c r="A12" s="4"/>
      <c r="B12" s="5"/>
      <c r="C12" s="2"/>
      <c r="D12" s="3"/>
      <c r="E12" s="3"/>
    </row>
    <row r="13" spans="1:8">
      <c r="A13" s="2" t="s">
        <v>3</v>
      </c>
      <c r="B13" s="2">
        <v>1</v>
      </c>
      <c r="C13" s="2"/>
      <c r="D13" s="3">
        <v>30000</v>
      </c>
      <c r="E13" s="3">
        <v>0</v>
      </c>
    </row>
    <row r="14" spans="1:8">
      <c r="A14" s="2" t="s">
        <v>2</v>
      </c>
      <c r="B14" s="2"/>
      <c r="C14" s="2"/>
      <c r="D14" s="3"/>
      <c r="E14" s="3">
        <f>SUM(E4:E13)</f>
        <v>25860.982400000001</v>
      </c>
    </row>
    <row r="15" spans="1:8" ht="23.25">
      <c r="A15" s="10" t="s">
        <v>1</v>
      </c>
      <c r="E15" s="11">
        <f>E14/B2</f>
        <v>2586.0982400000003</v>
      </c>
    </row>
    <row r="19" spans="2:10">
      <c r="B19" s="194" t="s">
        <v>46</v>
      </c>
      <c r="C19" s="195" t="s">
        <v>2</v>
      </c>
      <c r="D19" s="195"/>
      <c r="E19" s="198">
        <f>E15</f>
        <v>2586.0982400000003</v>
      </c>
      <c r="F19" s="198"/>
      <c r="G19" s="198">
        <f>E19</f>
        <v>2586.0982400000003</v>
      </c>
      <c r="H19" s="195"/>
      <c r="I19" s="127">
        <f>G19</f>
        <v>2586.0982400000003</v>
      </c>
      <c r="J19" s="200">
        <f>I19/I20</f>
        <v>5172.1964800000005</v>
      </c>
    </row>
    <row r="20" spans="2:10">
      <c r="B20" s="194"/>
      <c r="C20" s="197" t="s">
        <v>47</v>
      </c>
      <c r="D20" s="197"/>
      <c r="E20" s="57" t="s">
        <v>48</v>
      </c>
      <c r="F20" s="58">
        <v>50</v>
      </c>
      <c r="G20" s="57" t="s">
        <v>48</v>
      </c>
      <c r="H20" s="58">
        <f>F20/F21</f>
        <v>0.5</v>
      </c>
      <c r="I20">
        <f>1-H20</f>
        <v>0.5</v>
      </c>
      <c r="J20" s="201"/>
    </row>
    <row r="21" spans="2:10">
      <c r="C21" s="196">
        <v>1</v>
      </c>
      <c r="D21" s="197"/>
      <c r="F21" s="58">
        <v>100</v>
      </c>
    </row>
    <row r="23" spans="2:10" ht="18.75">
      <c r="B23" s="59" t="s">
        <v>46</v>
      </c>
      <c r="C23" s="60">
        <f>J19</f>
        <v>5172.1964800000005</v>
      </c>
    </row>
  </sheetData>
  <mergeCells count="8">
    <mergeCell ref="G19:H19"/>
    <mergeCell ref="J19:J20"/>
    <mergeCell ref="C20:D20"/>
    <mergeCell ref="C21:D21"/>
    <mergeCell ref="A1:E1"/>
    <mergeCell ref="B19:B20"/>
    <mergeCell ref="C19:D19"/>
    <mergeCell ref="E19:F19"/>
  </mergeCell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B3" sqref="B3"/>
    </sheetView>
  </sheetViews>
  <sheetFormatPr baseColWidth="10" defaultRowHeight="15"/>
  <cols>
    <col min="1" max="1" width="29.28515625" customWidth="1"/>
    <col min="3" max="3" width="11.42578125" customWidth="1"/>
    <col min="4" max="4" width="13.5703125" customWidth="1"/>
  </cols>
  <sheetData>
    <row r="1" spans="1:8" ht="18.75">
      <c r="A1" s="193" t="s">
        <v>266</v>
      </c>
      <c r="B1" s="193"/>
      <c r="C1" s="193"/>
      <c r="D1" s="193"/>
      <c r="E1" s="193"/>
    </row>
    <row r="2" spans="1:8" ht="18.75">
      <c r="A2" s="157" t="s">
        <v>12</v>
      </c>
      <c r="B2" s="157">
        <v>10</v>
      </c>
      <c r="C2" s="157"/>
      <c r="D2" s="157"/>
      <c r="E2" s="157"/>
    </row>
    <row r="3" spans="1:8">
      <c r="A3" s="1" t="s">
        <v>0</v>
      </c>
      <c r="B3" s="1" t="s">
        <v>10</v>
      </c>
      <c r="C3" s="1" t="s">
        <v>11</v>
      </c>
      <c r="D3" s="1" t="s">
        <v>1</v>
      </c>
      <c r="E3" s="1" t="s">
        <v>2</v>
      </c>
    </row>
    <row r="4" spans="1:8" ht="15.75">
      <c r="A4" s="4" t="s">
        <v>267</v>
      </c>
      <c r="B4" s="5">
        <v>1.6E-2</v>
      </c>
      <c r="C4" s="18">
        <f>B2*B4</f>
        <v>0.16</v>
      </c>
      <c r="D4" s="3">
        <f>COSTO!E16</f>
        <v>153564</v>
      </c>
      <c r="E4" s="3">
        <f>D4*C4</f>
        <v>24570.240000000002</v>
      </c>
      <c r="G4" t="s">
        <v>41</v>
      </c>
      <c r="H4" s="56">
        <v>0.1</v>
      </c>
    </row>
    <row r="5" spans="1:8" ht="15.75">
      <c r="A5" s="4" t="s">
        <v>339</v>
      </c>
      <c r="B5" s="5">
        <v>1.6E-2</v>
      </c>
      <c r="C5" s="18">
        <f>B2*B5</f>
        <v>0.16</v>
      </c>
      <c r="D5" s="3">
        <f>COSTO!E17</f>
        <v>18816.14</v>
      </c>
      <c r="E5" s="3">
        <f t="shared" ref="E5:E7" si="0">D5*C5</f>
        <v>3010.5823999999998</v>
      </c>
      <c r="G5" t="s">
        <v>42</v>
      </c>
      <c r="H5" s="56">
        <v>0.05</v>
      </c>
    </row>
    <row r="6" spans="1:8" ht="15.75">
      <c r="A6" s="4" t="s">
        <v>264</v>
      </c>
      <c r="B6" s="5">
        <v>0.08</v>
      </c>
      <c r="C6" s="9">
        <f>B6*B2</f>
        <v>0.8</v>
      </c>
      <c r="D6" s="3">
        <f>COSTO!E12</f>
        <v>6000</v>
      </c>
      <c r="E6" s="3">
        <f t="shared" si="0"/>
        <v>4800</v>
      </c>
      <c r="G6" t="s">
        <v>43</v>
      </c>
      <c r="H6" s="56">
        <v>0</v>
      </c>
    </row>
    <row r="7" spans="1:8" ht="15.75">
      <c r="A7" s="4" t="s">
        <v>9</v>
      </c>
      <c r="B7" s="5">
        <v>0.89</v>
      </c>
      <c r="C7" s="8">
        <f>B7*B2</f>
        <v>8.9</v>
      </c>
      <c r="D7" s="3">
        <v>0</v>
      </c>
      <c r="E7" s="3">
        <f t="shared" si="0"/>
        <v>0</v>
      </c>
      <c r="G7" t="s">
        <v>44</v>
      </c>
      <c r="H7" s="56">
        <v>0.35</v>
      </c>
    </row>
    <row r="8" spans="1:8" ht="15.75">
      <c r="A8" s="4"/>
      <c r="B8" s="5"/>
      <c r="C8" s="5"/>
      <c r="D8" s="3"/>
      <c r="E8" s="3"/>
      <c r="G8" s="61" t="s">
        <v>45</v>
      </c>
      <c r="H8" s="62">
        <f>SUM(H4:H7)</f>
        <v>0.5</v>
      </c>
    </row>
    <row r="9" spans="1:8" ht="15.75">
      <c r="A9" s="4"/>
      <c r="B9" s="5"/>
      <c r="C9" s="5"/>
      <c r="D9" s="3"/>
      <c r="E9" s="3"/>
    </row>
    <row r="10" spans="1:8" ht="15.75">
      <c r="A10" s="159"/>
      <c r="B10" s="5"/>
      <c r="C10" s="8"/>
      <c r="D10" s="3"/>
      <c r="E10" s="3"/>
    </row>
    <row r="11" spans="1:8">
      <c r="A11" s="2"/>
      <c r="B11" s="2"/>
      <c r="C11" s="2"/>
      <c r="D11" s="3"/>
      <c r="E11" s="3"/>
    </row>
    <row r="12" spans="1:8" ht="15.75">
      <c r="A12" s="4"/>
      <c r="B12" s="5"/>
      <c r="C12" s="2"/>
      <c r="D12" s="3"/>
      <c r="E12" s="3"/>
    </row>
    <row r="13" spans="1:8">
      <c r="A13" s="2" t="s">
        <v>3</v>
      </c>
      <c r="B13" s="2">
        <v>1</v>
      </c>
      <c r="C13" s="2"/>
      <c r="D13" s="3">
        <v>30000</v>
      </c>
      <c r="E13" s="3">
        <v>0</v>
      </c>
    </row>
    <row r="14" spans="1:8">
      <c r="A14" s="2" t="s">
        <v>2</v>
      </c>
      <c r="B14" s="2"/>
      <c r="C14" s="2"/>
      <c r="D14" s="3"/>
      <c r="E14" s="3">
        <f>SUM(E4:E13)</f>
        <v>32380.822400000001</v>
      </c>
    </row>
    <row r="15" spans="1:8" ht="23.25">
      <c r="A15" s="10" t="s">
        <v>1</v>
      </c>
      <c r="E15" s="11">
        <f>E14/B2</f>
        <v>3238.0822400000002</v>
      </c>
    </row>
    <row r="19" spans="2:10">
      <c r="B19" s="194" t="s">
        <v>46</v>
      </c>
      <c r="C19" s="195" t="s">
        <v>2</v>
      </c>
      <c r="D19" s="195"/>
      <c r="E19" s="198">
        <f>E15</f>
        <v>3238.0822400000002</v>
      </c>
      <c r="F19" s="198"/>
      <c r="G19" s="198">
        <f>E19</f>
        <v>3238.0822400000002</v>
      </c>
      <c r="H19" s="195"/>
      <c r="I19" s="127">
        <f>G19</f>
        <v>3238.0822400000002</v>
      </c>
      <c r="J19" s="200">
        <f>I19/I20</f>
        <v>6476.1644800000004</v>
      </c>
    </row>
    <row r="20" spans="2:10">
      <c r="B20" s="194"/>
      <c r="C20" s="197" t="s">
        <v>47</v>
      </c>
      <c r="D20" s="197"/>
      <c r="E20" s="57" t="s">
        <v>48</v>
      </c>
      <c r="F20" s="58">
        <v>50</v>
      </c>
      <c r="G20" s="57" t="s">
        <v>48</v>
      </c>
      <c r="H20" s="58">
        <f>F20/F21</f>
        <v>0.5</v>
      </c>
      <c r="I20">
        <f>1-H20</f>
        <v>0.5</v>
      </c>
      <c r="J20" s="201"/>
    </row>
    <row r="21" spans="2:10">
      <c r="C21" s="196">
        <v>1</v>
      </c>
      <c r="D21" s="197"/>
      <c r="F21" s="58">
        <v>100</v>
      </c>
    </row>
    <row r="23" spans="2:10" ht="18.75">
      <c r="B23" s="59" t="s">
        <v>46</v>
      </c>
      <c r="C23" s="60">
        <f>J19</f>
        <v>6476.1644800000004</v>
      </c>
    </row>
  </sheetData>
  <mergeCells count="8">
    <mergeCell ref="G19:H19"/>
    <mergeCell ref="J19:J20"/>
    <mergeCell ref="C20:D20"/>
    <mergeCell ref="C21:D21"/>
    <mergeCell ref="A1:E1"/>
    <mergeCell ref="B19:B20"/>
    <mergeCell ref="C19:D19"/>
    <mergeCell ref="E19:F19"/>
  </mergeCell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B4" sqref="B4"/>
    </sheetView>
  </sheetViews>
  <sheetFormatPr baseColWidth="10" defaultRowHeight="15"/>
  <cols>
    <col min="1" max="1" width="29.28515625" customWidth="1"/>
    <col min="3" max="3" width="11.42578125" customWidth="1"/>
    <col min="4" max="4" width="13.5703125" customWidth="1"/>
  </cols>
  <sheetData>
    <row r="1" spans="1:8" ht="18.75">
      <c r="A1" s="193" t="s">
        <v>342</v>
      </c>
      <c r="B1" s="193"/>
      <c r="C1" s="193"/>
      <c r="D1" s="193"/>
      <c r="E1" s="193"/>
    </row>
    <row r="2" spans="1:8" ht="18.75">
      <c r="A2" s="177" t="s">
        <v>12</v>
      </c>
      <c r="B2" s="177">
        <v>1</v>
      </c>
      <c r="C2" s="177"/>
      <c r="D2" s="177"/>
      <c r="E2" s="177"/>
    </row>
    <row r="3" spans="1:8">
      <c r="A3" s="1" t="s">
        <v>0</v>
      </c>
      <c r="B3" s="1" t="s">
        <v>10</v>
      </c>
      <c r="C3" s="1" t="s">
        <v>11</v>
      </c>
      <c r="D3" s="1" t="s">
        <v>1</v>
      </c>
      <c r="E3" s="1" t="s">
        <v>2</v>
      </c>
    </row>
    <row r="4" spans="1:8" ht="15.75">
      <c r="A4" s="4" t="s">
        <v>340</v>
      </c>
      <c r="B4" s="5">
        <v>1.6E-2</v>
      </c>
      <c r="C4" s="18">
        <f>B2*B4</f>
        <v>1.6E-2</v>
      </c>
      <c r="D4" s="3">
        <v>109000</v>
      </c>
      <c r="E4" s="3">
        <f>D4*C4</f>
        <v>1744</v>
      </c>
      <c r="G4" t="s">
        <v>41</v>
      </c>
      <c r="H4" s="56">
        <v>0.1</v>
      </c>
    </row>
    <row r="5" spans="1:8" ht="15.75">
      <c r="A5" s="4" t="s">
        <v>341</v>
      </c>
      <c r="B5" s="5">
        <v>4.4999999999999998E-2</v>
      </c>
      <c r="C5" s="18">
        <f>B2*B5</f>
        <v>4.4999999999999998E-2</v>
      </c>
      <c r="D5" s="3">
        <f>COSTO!E17</f>
        <v>18816.14</v>
      </c>
      <c r="E5" s="3">
        <f t="shared" ref="E5:E7" si="0">D5*C5</f>
        <v>846.72629999999992</v>
      </c>
      <c r="G5" t="s">
        <v>42</v>
      </c>
      <c r="H5" s="56">
        <v>0.05</v>
      </c>
    </row>
    <row r="6" spans="1:8" ht="15.75">
      <c r="A6" s="4" t="s">
        <v>264</v>
      </c>
      <c r="B6" s="5">
        <v>8.5000000000000006E-2</v>
      </c>
      <c r="C6" s="9">
        <f>B6*B2</f>
        <v>8.5000000000000006E-2</v>
      </c>
      <c r="D6" s="3">
        <v>6000</v>
      </c>
      <c r="E6" s="3">
        <f t="shared" si="0"/>
        <v>510.00000000000006</v>
      </c>
      <c r="G6" t="s">
        <v>43</v>
      </c>
      <c r="H6" s="56">
        <v>0.1</v>
      </c>
    </row>
    <row r="7" spans="1:8" ht="15.75">
      <c r="A7" s="4" t="s">
        <v>9</v>
      </c>
      <c r="B7" s="5">
        <v>0.54</v>
      </c>
      <c r="C7" s="8">
        <f>B7*B2</f>
        <v>0.54</v>
      </c>
      <c r="D7" s="3">
        <v>0</v>
      </c>
      <c r="E7" s="3">
        <f t="shared" si="0"/>
        <v>0</v>
      </c>
      <c r="G7" t="s">
        <v>44</v>
      </c>
      <c r="H7" s="56">
        <v>0.35</v>
      </c>
    </row>
    <row r="8" spans="1:8" ht="15.75">
      <c r="A8" s="4"/>
      <c r="B8" s="5"/>
      <c r="C8" s="5"/>
      <c r="D8" s="3"/>
      <c r="E8" s="3"/>
      <c r="G8" s="61" t="s">
        <v>45</v>
      </c>
      <c r="H8" s="62">
        <f>SUM(H4:H7)</f>
        <v>0.6</v>
      </c>
    </row>
    <row r="9" spans="1:8" ht="15.75">
      <c r="A9" s="4"/>
      <c r="B9" s="5"/>
      <c r="C9" s="5"/>
      <c r="D9" s="3"/>
      <c r="E9" s="3"/>
    </row>
    <row r="10" spans="1:8" ht="15.75">
      <c r="A10" s="159"/>
      <c r="B10" s="5"/>
      <c r="C10" s="8"/>
      <c r="D10" s="3"/>
      <c r="E10" s="3"/>
    </row>
    <row r="11" spans="1:8">
      <c r="A11" s="2"/>
      <c r="B11" s="2"/>
      <c r="C11" s="2"/>
      <c r="D11" s="3"/>
      <c r="E11" s="3"/>
    </row>
    <row r="12" spans="1:8" ht="15.75">
      <c r="A12" s="4"/>
      <c r="B12" s="5"/>
      <c r="C12" s="2"/>
      <c r="D12" s="3"/>
      <c r="E12" s="3"/>
    </row>
    <row r="13" spans="1:8">
      <c r="A13" s="2" t="s">
        <v>3</v>
      </c>
      <c r="B13" s="2">
        <v>1</v>
      </c>
      <c r="C13" s="2"/>
      <c r="D13" s="3">
        <v>30000</v>
      </c>
      <c r="E13" s="3">
        <v>0</v>
      </c>
    </row>
    <row r="14" spans="1:8">
      <c r="A14" s="2" t="s">
        <v>2</v>
      </c>
      <c r="B14" s="2"/>
      <c r="C14" s="2"/>
      <c r="D14" s="3"/>
      <c r="E14" s="3">
        <f>SUM(E4:E13)</f>
        <v>3100.7262999999998</v>
      </c>
    </row>
    <row r="15" spans="1:8" ht="23.25">
      <c r="A15" s="10" t="s">
        <v>1</v>
      </c>
      <c r="E15" s="11">
        <f>E14/B2</f>
        <v>3100.7262999999998</v>
      </c>
    </row>
    <row r="19" spans="2:10">
      <c r="B19" s="194" t="s">
        <v>46</v>
      </c>
      <c r="C19" s="195" t="s">
        <v>2</v>
      </c>
      <c r="D19" s="195"/>
      <c r="E19" s="198">
        <f>E15</f>
        <v>3100.7262999999998</v>
      </c>
      <c r="F19" s="198"/>
      <c r="G19" s="198">
        <f>E19</f>
        <v>3100.7262999999998</v>
      </c>
      <c r="H19" s="195"/>
      <c r="I19" s="127">
        <f>G19</f>
        <v>3100.7262999999998</v>
      </c>
      <c r="J19" s="200">
        <f>I19/I20</f>
        <v>7751.8157499999988</v>
      </c>
    </row>
    <row r="20" spans="2:10">
      <c r="B20" s="194"/>
      <c r="C20" s="197" t="s">
        <v>47</v>
      </c>
      <c r="D20" s="197"/>
      <c r="E20" s="57" t="s">
        <v>48</v>
      </c>
      <c r="F20" s="58">
        <v>60</v>
      </c>
      <c r="G20" s="57" t="s">
        <v>48</v>
      </c>
      <c r="H20" s="58">
        <f>F20/F21</f>
        <v>0.6</v>
      </c>
      <c r="I20">
        <f>1-H20</f>
        <v>0.4</v>
      </c>
      <c r="J20" s="201"/>
    </row>
    <row r="21" spans="2:10">
      <c r="C21" s="196">
        <v>1</v>
      </c>
      <c r="D21" s="197"/>
      <c r="F21" s="58">
        <v>100</v>
      </c>
    </row>
    <row r="23" spans="2:10" ht="18.75">
      <c r="B23" s="59" t="s">
        <v>46</v>
      </c>
      <c r="C23" s="60">
        <f>J19</f>
        <v>7751.8157499999988</v>
      </c>
    </row>
  </sheetData>
  <mergeCells count="8">
    <mergeCell ref="G19:H19"/>
    <mergeCell ref="J19:J20"/>
    <mergeCell ref="C20:D20"/>
    <mergeCell ref="C21:D21"/>
    <mergeCell ref="A1:E1"/>
    <mergeCell ref="B19:B20"/>
    <mergeCell ref="C19:D19"/>
    <mergeCell ref="E19:F19"/>
  </mergeCell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D10" sqref="D10"/>
    </sheetView>
  </sheetViews>
  <sheetFormatPr baseColWidth="10" defaultRowHeight="15"/>
  <cols>
    <col min="1" max="1" width="29.28515625" customWidth="1"/>
    <col min="3" max="3" width="11.42578125" customWidth="1"/>
    <col min="4" max="4" width="13.5703125" customWidth="1"/>
  </cols>
  <sheetData>
    <row r="1" spans="1:8" ht="18.75">
      <c r="A1" s="193" t="s">
        <v>253</v>
      </c>
      <c r="B1" s="193"/>
      <c r="C1" s="193"/>
      <c r="D1" s="193"/>
      <c r="E1" s="193"/>
    </row>
    <row r="2" spans="1:8" ht="18.75">
      <c r="A2" s="157" t="s">
        <v>12</v>
      </c>
      <c r="B2" s="157">
        <v>20</v>
      </c>
      <c r="C2" s="157"/>
      <c r="D2" s="157"/>
      <c r="E2" s="157"/>
    </row>
    <row r="3" spans="1:8">
      <c r="A3" s="1" t="s">
        <v>0</v>
      </c>
      <c r="B3" s="1" t="s">
        <v>10</v>
      </c>
      <c r="C3" s="1" t="s">
        <v>11</v>
      </c>
      <c r="D3" s="1" t="s">
        <v>1</v>
      </c>
      <c r="E3" s="1" t="s">
        <v>2</v>
      </c>
    </row>
    <row r="4" spans="1:8" ht="15.75">
      <c r="A4" s="4" t="s">
        <v>254</v>
      </c>
      <c r="B4" s="5">
        <v>0.04</v>
      </c>
      <c r="C4" s="18">
        <f>B2*B4</f>
        <v>0.8</v>
      </c>
      <c r="D4" s="3">
        <f>COSTO!E30</f>
        <v>19223.550000000003</v>
      </c>
      <c r="E4" s="3">
        <f>D4*C4</f>
        <v>15378.840000000004</v>
      </c>
      <c r="G4" t="s">
        <v>41</v>
      </c>
      <c r="H4" s="56">
        <v>0.1</v>
      </c>
    </row>
    <row r="5" spans="1:8" ht="15.75">
      <c r="A5" s="158" t="s">
        <v>259</v>
      </c>
      <c r="B5" s="5">
        <v>0.01</v>
      </c>
      <c r="C5" s="18">
        <f>B2*B5</f>
        <v>0.2</v>
      </c>
      <c r="D5" s="3">
        <f>COSTO!E6</f>
        <v>11780</v>
      </c>
      <c r="E5" s="3">
        <f t="shared" ref="E5:E9" si="0">D5*C5</f>
        <v>2356</v>
      </c>
      <c r="G5" t="s">
        <v>42</v>
      </c>
      <c r="H5" s="56">
        <v>0</v>
      </c>
    </row>
    <row r="6" spans="1:8" ht="15.75">
      <c r="A6" s="158" t="s">
        <v>255</v>
      </c>
      <c r="B6" s="5">
        <v>0.05</v>
      </c>
      <c r="C6" s="18">
        <f>B6*B2</f>
        <v>1</v>
      </c>
      <c r="D6" s="3">
        <f>COSTO!E12</f>
        <v>6000</v>
      </c>
      <c r="E6" s="3">
        <f t="shared" si="0"/>
        <v>6000</v>
      </c>
      <c r="G6" t="s">
        <v>43</v>
      </c>
      <c r="H6" s="56">
        <v>0</v>
      </c>
    </row>
    <row r="7" spans="1:8" ht="15.75">
      <c r="A7" s="158" t="s">
        <v>256</v>
      </c>
      <c r="B7" s="5">
        <v>0.02</v>
      </c>
      <c r="C7" s="18">
        <f>B7*B2</f>
        <v>0.4</v>
      </c>
      <c r="D7" s="3">
        <f>COSTO!E35</f>
        <v>14574.75</v>
      </c>
      <c r="E7" s="3">
        <f t="shared" si="0"/>
        <v>5829.9000000000005</v>
      </c>
      <c r="G7" t="s">
        <v>44</v>
      </c>
      <c r="H7" s="56">
        <v>0.35</v>
      </c>
    </row>
    <row r="8" spans="1:8" ht="15.75">
      <c r="A8" s="158" t="s">
        <v>257</v>
      </c>
      <c r="B8" s="5">
        <v>2E-3</v>
      </c>
      <c r="C8" s="18">
        <f>B8*B2</f>
        <v>0.04</v>
      </c>
      <c r="D8" s="3">
        <f>COSTO!E22</f>
        <v>3326.4</v>
      </c>
      <c r="E8" s="3">
        <f t="shared" si="0"/>
        <v>133.05600000000001</v>
      </c>
      <c r="G8" s="61" t="s">
        <v>45</v>
      </c>
      <c r="H8" s="62">
        <f>SUM(H4:H7)</f>
        <v>0.44999999999999996</v>
      </c>
    </row>
    <row r="9" spans="1:8" ht="15.75">
      <c r="A9" s="158" t="s">
        <v>258</v>
      </c>
      <c r="B9" s="5">
        <v>4.0000000000000001E-3</v>
      </c>
      <c r="C9" s="18">
        <f>B9*B2</f>
        <v>0.08</v>
      </c>
      <c r="D9" s="3">
        <f>COSTO!E29</f>
        <v>80147.100000000006</v>
      </c>
      <c r="E9" s="3">
        <f t="shared" si="0"/>
        <v>6411.7680000000009</v>
      </c>
    </row>
    <row r="10" spans="1:8" ht="15.75">
      <c r="A10" s="159" t="s">
        <v>28</v>
      </c>
      <c r="B10" s="5">
        <v>0.876</v>
      </c>
      <c r="C10" s="8"/>
      <c r="D10" s="3"/>
      <c r="E10" s="3"/>
    </row>
    <row r="11" spans="1:8">
      <c r="A11" s="2"/>
      <c r="B11" s="2"/>
      <c r="C11" s="2"/>
      <c r="D11" s="3"/>
      <c r="E11" s="3"/>
    </row>
    <row r="12" spans="1:8" ht="15.75">
      <c r="A12" s="4"/>
      <c r="B12" s="5"/>
      <c r="C12" s="2"/>
      <c r="D12" s="3"/>
      <c r="E12" s="3"/>
    </row>
    <row r="13" spans="1:8">
      <c r="A13" s="2" t="s">
        <v>3</v>
      </c>
      <c r="B13" s="2">
        <v>1</v>
      </c>
      <c r="C13" s="2"/>
      <c r="D13" s="3">
        <v>30000</v>
      </c>
      <c r="E13" s="3">
        <v>0</v>
      </c>
    </row>
    <row r="14" spans="1:8">
      <c r="A14" s="2" t="s">
        <v>2</v>
      </c>
      <c r="B14" s="2"/>
      <c r="C14" s="2"/>
      <c r="D14" s="3"/>
      <c r="E14" s="3">
        <f>SUM(E4:E13)</f>
        <v>36109.564000000006</v>
      </c>
    </row>
    <row r="15" spans="1:8" ht="23.25">
      <c r="A15" s="10" t="s">
        <v>1</v>
      </c>
      <c r="E15" s="11">
        <f>E14/B2</f>
        <v>1805.4782000000002</v>
      </c>
    </row>
    <row r="19" spans="2:10">
      <c r="B19" s="194" t="s">
        <v>46</v>
      </c>
      <c r="C19" s="195" t="s">
        <v>2</v>
      </c>
      <c r="D19" s="195"/>
      <c r="E19" s="198">
        <f>E15</f>
        <v>1805.4782000000002</v>
      </c>
      <c r="F19" s="198"/>
      <c r="G19" s="198">
        <f>E19</f>
        <v>1805.4782000000002</v>
      </c>
      <c r="H19" s="195"/>
      <c r="I19" s="127">
        <f>G19</f>
        <v>1805.4782000000002</v>
      </c>
      <c r="J19" s="200">
        <f>I19/I20</f>
        <v>3282.6876363636366</v>
      </c>
    </row>
    <row r="20" spans="2:10">
      <c r="B20" s="194"/>
      <c r="C20" s="197" t="s">
        <v>47</v>
      </c>
      <c r="D20" s="197"/>
      <c r="E20" s="57" t="s">
        <v>48</v>
      </c>
      <c r="F20" s="58">
        <v>45</v>
      </c>
      <c r="G20" s="57" t="s">
        <v>48</v>
      </c>
      <c r="H20" s="58">
        <f>F20/F21</f>
        <v>0.45</v>
      </c>
      <c r="I20">
        <f>1-0.45</f>
        <v>0.55000000000000004</v>
      </c>
      <c r="J20" s="201"/>
    </row>
    <row r="21" spans="2:10">
      <c r="C21" s="196">
        <v>1</v>
      </c>
      <c r="D21" s="197"/>
      <c r="F21" s="58">
        <v>100</v>
      </c>
    </row>
    <row r="23" spans="2:10" ht="18.75">
      <c r="B23" s="59" t="s">
        <v>46</v>
      </c>
      <c r="C23" s="60">
        <f>J19</f>
        <v>3282.6876363636366</v>
      </c>
    </row>
  </sheetData>
  <mergeCells count="8">
    <mergeCell ref="G19:H19"/>
    <mergeCell ref="J19:J20"/>
    <mergeCell ref="C20:D20"/>
    <mergeCell ref="C21:D21"/>
    <mergeCell ref="A1:E1"/>
    <mergeCell ref="B19:B20"/>
    <mergeCell ref="C19:D19"/>
    <mergeCell ref="E19:F19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E15" sqref="E15"/>
    </sheetView>
  </sheetViews>
  <sheetFormatPr baseColWidth="10" defaultRowHeight="15"/>
  <cols>
    <col min="1" max="1" width="29.28515625" customWidth="1"/>
    <col min="3" max="3" width="11.42578125" customWidth="1"/>
    <col min="4" max="4" width="13.5703125" customWidth="1"/>
  </cols>
  <sheetData>
    <row r="1" spans="1:8" ht="18.75">
      <c r="A1" s="193" t="s">
        <v>260</v>
      </c>
      <c r="B1" s="193"/>
      <c r="C1" s="193"/>
      <c r="D1" s="193"/>
      <c r="E1" s="193"/>
    </row>
    <row r="2" spans="1:8" ht="18.75">
      <c r="A2" s="157" t="s">
        <v>12</v>
      </c>
      <c r="B2" s="157">
        <v>20</v>
      </c>
      <c r="C2" s="157"/>
      <c r="D2" s="157"/>
      <c r="E2" s="157"/>
    </row>
    <row r="3" spans="1:8">
      <c r="A3" s="1" t="s">
        <v>0</v>
      </c>
      <c r="B3" s="1" t="s">
        <v>10</v>
      </c>
      <c r="C3" s="1" t="s">
        <v>11</v>
      </c>
      <c r="D3" s="1" t="s">
        <v>1</v>
      </c>
      <c r="E3" s="1" t="s">
        <v>2</v>
      </c>
    </row>
    <row r="4" spans="1:8" ht="15.75">
      <c r="A4" s="4" t="s">
        <v>261</v>
      </c>
      <c r="B4" s="5">
        <v>1E-3</v>
      </c>
      <c r="C4" s="18">
        <f>B2*B4</f>
        <v>0.02</v>
      </c>
      <c r="D4" s="3">
        <f>COSTO!E19</f>
        <v>98560</v>
      </c>
      <c r="E4" s="3">
        <f>D4*C4</f>
        <v>1971.2</v>
      </c>
      <c r="G4" t="s">
        <v>41</v>
      </c>
      <c r="H4" s="56">
        <v>0.1</v>
      </c>
    </row>
    <row r="5" spans="1:8" ht="15.75">
      <c r="A5" s="4" t="s">
        <v>265</v>
      </c>
      <c r="B5" s="5">
        <v>2E-3</v>
      </c>
      <c r="C5" s="18">
        <f>B2*B5</f>
        <v>0.04</v>
      </c>
      <c r="D5" s="3">
        <f>COSTO!E31</f>
        <v>18680</v>
      </c>
      <c r="E5" s="3">
        <f t="shared" ref="E5:E9" si="0">D5*C5</f>
        <v>747.2</v>
      </c>
      <c r="G5" t="s">
        <v>42</v>
      </c>
      <c r="H5" s="56">
        <v>0.05</v>
      </c>
    </row>
    <row r="6" spans="1:8" ht="15.75">
      <c r="A6" s="4" t="s">
        <v>263</v>
      </c>
      <c r="B6" s="5">
        <v>0.01</v>
      </c>
      <c r="C6" s="18">
        <f>B6*B2</f>
        <v>0.2</v>
      </c>
      <c r="D6" s="3">
        <f>COSTO!E6</f>
        <v>11780</v>
      </c>
      <c r="E6" s="3">
        <f t="shared" si="0"/>
        <v>2356</v>
      </c>
      <c r="G6" t="s">
        <v>43</v>
      </c>
      <c r="H6" s="56">
        <v>0</v>
      </c>
    </row>
    <row r="7" spans="1:8" ht="15.75">
      <c r="A7" s="4" t="s">
        <v>334</v>
      </c>
      <c r="B7" s="5">
        <v>0.05</v>
      </c>
      <c r="C7" s="18">
        <f>B7*B2</f>
        <v>1</v>
      </c>
      <c r="D7" s="3">
        <f>COSTO!E12</f>
        <v>6000</v>
      </c>
      <c r="E7" s="3">
        <f t="shared" si="0"/>
        <v>6000</v>
      </c>
      <c r="G7" t="s">
        <v>44</v>
      </c>
      <c r="H7" s="56">
        <v>0.35</v>
      </c>
    </row>
    <row r="8" spans="1:8" ht="15.75">
      <c r="A8" s="4" t="s">
        <v>186</v>
      </c>
      <c r="B8" s="5">
        <v>1E-3</v>
      </c>
      <c r="C8" s="18">
        <f>B8*B2</f>
        <v>0.02</v>
      </c>
      <c r="D8" s="3">
        <f>COSTO!E25</f>
        <v>4919.7</v>
      </c>
      <c r="E8" s="3">
        <f t="shared" si="0"/>
        <v>98.394000000000005</v>
      </c>
      <c r="G8" s="61" t="s">
        <v>45</v>
      </c>
      <c r="H8" s="62">
        <f>SUM(H4:H7)</f>
        <v>0.5</v>
      </c>
    </row>
    <row r="9" spans="1:8" ht="15.75">
      <c r="A9" s="4" t="s">
        <v>9</v>
      </c>
      <c r="B9" s="5">
        <v>0.93600000000000005</v>
      </c>
      <c r="C9" s="5">
        <f>B9*B2</f>
        <v>18.720000000000002</v>
      </c>
      <c r="D9" s="3">
        <v>0</v>
      </c>
      <c r="E9" s="3">
        <f t="shared" si="0"/>
        <v>0</v>
      </c>
    </row>
    <row r="10" spans="1:8" ht="15.75">
      <c r="A10" s="159"/>
      <c r="B10" s="5"/>
      <c r="C10" s="8"/>
      <c r="D10" s="3"/>
      <c r="E10" s="3"/>
    </row>
    <row r="11" spans="1:8">
      <c r="A11" s="2"/>
      <c r="B11" s="2"/>
      <c r="C11" s="2"/>
      <c r="D11" s="3"/>
      <c r="E11" s="3"/>
    </row>
    <row r="12" spans="1:8" ht="15.75">
      <c r="A12" s="4"/>
      <c r="B12" s="5"/>
      <c r="C12" s="2"/>
      <c r="D12" s="3"/>
      <c r="E12" s="3"/>
    </row>
    <row r="13" spans="1:8">
      <c r="A13" s="2" t="s">
        <v>3</v>
      </c>
      <c r="B13" s="2">
        <v>1</v>
      </c>
      <c r="C13" s="2"/>
      <c r="D13" s="3">
        <v>30000</v>
      </c>
      <c r="E13" s="3">
        <v>0</v>
      </c>
    </row>
    <row r="14" spans="1:8">
      <c r="A14" s="2" t="s">
        <v>2</v>
      </c>
      <c r="B14" s="2"/>
      <c r="C14" s="2"/>
      <c r="D14" s="3"/>
      <c r="E14" s="3">
        <f>SUM(E4:E13)</f>
        <v>11172.794</v>
      </c>
    </row>
    <row r="15" spans="1:8" ht="23.25">
      <c r="A15" s="10" t="s">
        <v>1</v>
      </c>
      <c r="E15" s="11">
        <f>E14/B2</f>
        <v>558.63969999999995</v>
      </c>
    </row>
    <row r="19" spans="2:10">
      <c r="B19" s="194" t="s">
        <v>46</v>
      </c>
      <c r="C19" s="195" t="s">
        <v>2</v>
      </c>
      <c r="D19" s="195"/>
      <c r="E19" s="198">
        <f>E15</f>
        <v>558.63969999999995</v>
      </c>
      <c r="F19" s="198"/>
      <c r="G19" s="198">
        <f>E19</f>
        <v>558.63969999999995</v>
      </c>
      <c r="H19" s="195"/>
      <c r="I19" s="127">
        <f>G19</f>
        <v>558.63969999999995</v>
      </c>
      <c r="J19" s="200">
        <f>I19/I20</f>
        <v>1117.2793999999999</v>
      </c>
    </row>
    <row r="20" spans="2:10">
      <c r="B20" s="194"/>
      <c r="C20" s="197" t="s">
        <v>47</v>
      </c>
      <c r="D20" s="197"/>
      <c r="E20" s="57" t="s">
        <v>48</v>
      </c>
      <c r="F20" s="58">
        <v>50</v>
      </c>
      <c r="G20" s="57" t="s">
        <v>48</v>
      </c>
      <c r="H20" s="58">
        <f>F20/F21</f>
        <v>0.5</v>
      </c>
      <c r="I20">
        <f>H20</f>
        <v>0.5</v>
      </c>
      <c r="J20" s="201"/>
    </row>
    <row r="21" spans="2:10">
      <c r="C21" s="196">
        <v>1</v>
      </c>
      <c r="D21" s="197"/>
      <c r="F21" s="58">
        <v>100</v>
      </c>
    </row>
    <row r="23" spans="2:10" ht="18.75">
      <c r="B23" s="59" t="s">
        <v>46</v>
      </c>
      <c r="C23" s="60">
        <f>J19</f>
        <v>1117.2793999999999</v>
      </c>
    </row>
  </sheetData>
  <mergeCells count="8">
    <mergeCell ref="G19:H19"/>
    <mergeCell ref="J19:J20"/>
    <mergeCell ref="C20:D20"/>
    <mergeCell ref="C21:D21"/>
    <mergeCell ref="A1:E1"/>
    <mergeCell ref="B19:B20"/>
    <mergeCell ref="C19:D19"/>
    <mergeCell ref="E19:F19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D4" sqref="D4"/>
    </sheetView>
  </sheetViews>
  <sheetFormatPr baseColWidth="10" defaultRowHeight="15"/>
  <cols>
    <col min="1" max="1" width="29.28515625" customWidth="1"/>
    <col min="3" max="3" width="11.42578125" customWidth="1"/>
    <col min="4" max="4" width="13.5703125" customWidth="1"/>
    <col min="5" max="5" width="15.28515625" bestFit="1" customWidth="1"/>
  </cols>
  <sheetData>
    <row r="1" spans="1:10" ht="18.75">
      <c r="A1" s="193" t="s">
        <v>26</v>
      </c>
      <c r="B1" s="193"/>
      <c r="C1" s="193"/>
      <c r="D1" s="193"/>
      <c r="E1" s="193"/>
    </row>
    <row r="2" spans="1:10" ht="18.75">
      <c r="A2" s="7" t="s">
        <v>12</v>
      </c>
      <c r="B2" s="7">
        <v>160</v>
      </c>
      <c r="C2" s="7"/>
      <c r="D2" s="7"/>
      <c r="E2" s="7"/>
    </row>
    <row r="3" spans="1:10">
      <c r="A3" s="1" t="s">
        <v>0</v>
      </c>
      <c r="B3" s="1" t="s">
        <v>10</v>
      </c>
      <c r="C3" s="1" t="s">
        <v>11</v>
      </c>
      <c r="D3" s="1" t="s">
        <v>1</v>
      </c>
      <c r="E3" s="1" t="s">
        <v>2</v>
      </c>
    </row>
    <row r="4" spans="1:10" ht="15.75">
      <c r="A4" s="23" t="s">
        <v>27</v>
      </c>
      <c r="B4" s="18">
        <v>2.5000000000000001E-2</v>
      </c>
      <c r="C4" s="5">
        <f>B2*B4</f>
        <v>4</v>
      </c>
      <c r="D4" s="3">
        <v>20000</v>
      </c>
      <c r="E4" s="3">
        <f>D4*C4</f>
        <v>80000</v>
      </c>
    </row>
    <row r="5" spans="1:10" ht="15.75">
      <c r="A5" s="5" t="s">
        <v>28</v>
      </c>
      <c r="B5" s="18">
        <v>0.98699999999999999</v>
      </c>
      <c r="C5" s="8">
        <f>B2*B5</f>
        <v>157.91999999999999</v>
      </c>
      <c r="D5" s="16">
        <v>0</v>
      </c>
      <c r="E5" s="3">
        <f>D5*C5</f>
        <v>0</v>
      </c>
      <c r="G5" t="s">
        <v>41</v>
      </c>
      <c r="H5" s="56">
        <v>0.1</v>
      </c>
    </row>
    <row r="6" spans="1:10" ht="15.75">
      <c r="A6" s="5"/>
      <c r="B6" s="18">
        <f>SUM(B4:B5)</f>
        <v>1.012</v>
      </c>
      <c r="C6" s="17">
        <f>SUM(C4:C5)</f>
        <v>161.91999999999999</v>
      </c>
      <c r="D6" s="16"/>
      <c r="E6" s="16"/>
      <c r="G6" t="s">
        <v>42</v>
      </c>
      <c r="H6" s="56">
        <v>0.05</v>
      </c>
    </row>
    <row r="7" spans="1:10" ht="15.75">
      <c r="A7" s="5" t="s">
        <v>20</v>
      </c>
      <c r="B7" s="19">
        <v>1</v>
      </c>
      <c r="C7" s="17">
        <v>1</v>
      </c>
      <c r="D7" s="3">
        <v>0</v>
      </c>
      <c r="E7" s="3">
        <f>D7*C7</f>
        <v>0</v>
      </c>
      <c r="G7" t="s">
        <v>43</v>
      </c>
      <c r="H7" s="56">
        <v>0</v>
      </c>
    </row>
    <row r="8" spans="1:10" ht="23.25">
      <c r="A8" s="20" t="s">
        <v>2</v>
      </c>
      <c r="B8" s="14"/>
      <c r="C8" s="2"/>
      <c r="D8" s="3"/>
      <c r="E8" s="3">
        <f>SUM(E4:E7)</f>
        <v>80000</v>
      </c>
      <c r="G8" t="s">
        <v>44</v>
      </c>
      <c r="H8" s="56">
        <v>0.35</v>
      </c>
    </row>
    <row r="9" spans="1:10" ht="23.25">
      <c r="A9" s="21" t="s">
        <v>1</v>
      </c>
      <c r="E9" s="22">
        <f>E8/B2</f>
        <v>500</v>
      </c>
      <c r="G9" s="61" t="s">
        <v>45</v>
      </c>
      <c r="H9" s="62">
        <f>SUM(H5:H8)</f>
        <v>0.5</v>
      </c>
    </row>
    <row r="13" spans="1:10">
      <c r="B13" s="194" t="s">
        <v>46</v>
      </c>
      <c r="C13" s="195" t="s">
        <v>2</v>
      </c>
      <c r="D13" s="195"/>
      <c r="E13" s="198">
        <f>E9</f>
        <v>500</v>
      </c>
      <c r="F13" s="198"/>
      <c r="G13" s="198">
        <f>E13</f>
        <v>500</v>
      </c>
      <c r="H13" s="195"/>
      <c r="I13" s="133">
        <f>E9</f>
        <v>500</v>
      </c>
      <c r="J13" s="205">
        <f>I13/I14</f>
        <v>1000</v>
      </c>
    </row>
    <row r="14" spans="1:10">
      <c r="B14" s="194"/>
      <c r="C14" s="197" t="s">
        <v>47</v>
      </c>
      <c r="D14" s="197"/>
      <c r="E14" s="57" t="s">
        <v>48</v>
      </c>
      <c r="F14" s="58">
        <v>50</v>
      </c>
      <c r="G14" s="57" t="s">
        <v>48</v>
      </c>
      <c r="H14" s="58">
        <f>F14/F15</f>
        <v>0.5</v>
      </c>
      <c r="I14">
        <f>H14</f>
        <v>0.5</v>
      </c>
      <c r="J14" s="206"/>
    </row>
    <row r="15" spans="1:10">
      <c r="C15" s="196">
        <v>1</v>
      </c>
      <c r="D15" s="197"/>
      <c r="F15" s="58">
        <v>100</v>
      </c>
    </row>
    <row r="17" spans="2:3" ht="18.75">
      <c r="B17" s="59" t="s">
        <v>46</v>
      </c>
      <c r="C17" s="60">
        <f>J13</f>
        <v>1000</v>
      </c>
    </row>
  </sheetData>
  <mergeCells count="8">
    <mergeCell ref="C15:D15"/>
    <mergeCell ref="J13:J14"/>
    <mergeCell ref="A1:E1"/>
    <mergeCell ref="B13:B14"/>
    <mergeCell ref="C13:D13"/>
    <mergeCell ref="E13:F13"/>
    <mergeCell ref="G13:H13"/>
    <mergeCell ref="C14:D1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8"/>
  <sheetViews>
    <sheetView workbookViewId="0">
      <selection activeCell="B2" sqref="B2"/>
    </sheetView>
  </sheetViews>
  <sheetFormatPr baseColWidth="10" defaultRowHeight="15"/>
  <cols>
    <col min="1" max="1" width="29.28515625" customWidth="1"/>
    <col min="3" max="3" width="11.42578125" customWidth="1"/>
    <col min="4" max="4" width="13.5703125" customWidth="1"/>
  </cols>
  <sheetData>
    <row r="1" spans="1:15" ht="18.75">
      <c r="A1" s="193" t="s">
        <v>110</v>
      </c>
      <c r="B1" s="193"/>
      <c r="C1" s="193"/>
      <c r="D1" s="193"/>
      <c r="E1" s="193"/>
    </row>
    <row r="2" spans="1:15" ht="18.75">
      <c r="A2" s="174" t="s">
        <v>12</v>
      </c>
      <c r="B2" s="174">
        <v>100</v>
      </c>
      <c r="C2" s="174"/>
      <c r="D2" s="174"/>
      <c r="E2" s="174"/>
    </row>
    <row r="3" spans="1:15">
      <c r="A3" s="1" t="s">
        <v>0</v>
      </c>
      <c r="B3" s="1" t="s">
        <v>10</v>
      </c>
      <c r="C3" s="1" t="s">
        <v>11</v>
      </c>
      <c r="D3" s="1" t="s">
        <v>1</v>
      </c>
      <c r="E3" s="1" t="s">
        <v>2</v>
      </c>
    </row>
    <row r="4" spans="1:15" ht="15.75">
      <c r="A4" s="4" t="s">
        <v>4</v>
      </c>
      <c r="B4" s="5">
        <v>1.2999999999999999E-2</v>
      </c>
      <c r="C4" s="5">
        <f>B4*B2</f>
        <v>1.3</v>
      </c>
      <c r="D4" s="3">
        <f>COSTO!E4</f>
        <v>6500</v>
      </c>
      <c r="E4" s="3">
        <f t="shared" ref="E4:E10" si="0">D4*C4</f>
        <v>8450</v>
      </c>
      <c r="G4" s="194" t="s">
        <v>46</v>
      </c>
      <c r="H4" s="195" t="s">
        <v>2</v>
      </c>
      <c r="I4" s="195"/>
      <c r="J4" s="198">
        <f>E15</f>
        <v>2928.6614545454545</v>
      </c>
      <c r="K4" s="198"/>
      <c r="L4" s="198">
        <f>J4</f>
        <v>2928.6614545454545</v>
      </c>
      <c r="M4" s="195"/>
      <c r="N4" s="121">
        <f>L4</f>
        <v>2928.6614545454545</v>
      </c>
      <c r="O4" s="199">
        <f>N4/N5</f>
        <v>5857.322909090909</v>
      </c>
    </row>
    <row r="5" spans="1:15" ht="15.75">
      <c r="A5" s="4" t="s">
        <v>15</v>
      </c>
      <c r="B5" s="5">
        <v>0</v>
      </c>
      <c r="C5" s="5">
        <f>B5*B2</f>
        <v>0</v>
      </c>
      <c r="D5" s="3">
        <f>COSTO!E5</f>
        <v>14434.919999999998</v>
      </c>
      <c r="E5" s="3">
        <f t="shared" si="0"/>
        <v>0</v>
      </c>
      <c r="G5" s="194"/>
      <c r="H5" s="197" t="s">
        <v>47</v>
      </c>
      <c r="I5" s="197"/>
      <c r="J5" s="57" t="s">
        <v>48</v>
      </c>
      <c r="K5" s="58">
        <v>50</v>
      </c>
      <c r="L5" s="57" t="s">
        <v>48</v>
      </c>
      <c r="M5" s="58">
        <f>K5/K6</f>
        <v>0.5</v>
      </c>
      <c r="N5">
        <f>1-0.5</f>
        <v>0.5</v>
      </c>
      <c r="O5" s="199"/>
    </row>
    <row r="6" spans="1:15" ht="15.75">
      <c r="A6" s="4" t="s">
        <v>16</v>
      </c>
      <c r="B6" s="5">
        <v>0.115</v>
      </c>
      <c r="C6" s="5">
        <f>B6*B2</f>
        <v>11.5</v>
      </c>
      <c r="D6" s="3">
        <f>COSTO!E6</f>
        <v>11780</v>
      </c>
      <c r="E6" s="3">
        <f t="shared" si="0"/>
        <v>135470</v>
      </c>
      <c r="H6" s="196">
        <v>1</v>
      </c>
      <c r="I6" s="197"/>
      <c r="K6" s="58">
        <v>100</v>
      </c>
    </row>
    <row r="7" spans="1:15" ht="15.75">
      <c r="A7" s="4" t="s">
        <v>6</v>
      </c>
      <c r="B7" s="5">
        <v>0.08</v>
      </c>
      <c r="C7" s="5">
        <f>B7*B2</f>
        <v>8</v>
      </c>
      <c r="D7" s="3">
        <f>COSTO!E7</f>
        <v>840</v>
      </c>
      <c r="E7" s="3">
        <f t="shared" si="0"/>
        <v>6720</v>
      </c>
    </row>
    <row r="8" spans="1:15" ht="18.75">
      <c r="A8" s="4" t="s">
        <v>7</v>
      </c>
      <c r="B8" s="13">
        <v>0.06</v>
      </c>
      <c r="C8" s="5">
        <f>B8*B2</f>
        <v>6</v>
      </c>
      <c r="D8" s="3">
        <f>COSTO!E13</f>
        <v>7077.6909090909085</v>
      </c>
      <c r="E8" s="3">
        <f t="shared" si="0"/>
        <v>42466.145454545447</v>
      </c>
      <c r="G8" s="59" t="s">
        <v>46</v>
      </c>
      <c r="H8" s="60">
        <f>O4</f>
        <v>5857.322909090909</v>
      </c>
    </row>
    <row r="9" spans="1:15" ht="15.75">
      <c r="A9" s="12" t="s">
        <v>8</v>
      </c>
      <c r="B9" s="13">
        <v>0.08</v>
      </c>
      <c r="C9" s="13">
        <f>B9*B2</f>
        <v>8</v>
      </c>
      <c r="D9" s="3">
        <f>COSTO!E3</f>
        <v>12470</v>
      </c>
      <c r="E9" s="3">
        <f t="shared" si="0"/>
        <v>99760</v>
      </c>
    </row>
    <row r="10" spans="1:15" ht="15.75">
      <c r="A10" s="12" t="s">
        <v>9</v>
      </c>
      <c r="B10" s="13">
        <v>0.70099999999999996</v>
      </c>
      <c r="C10" s="13">
        <f>B10*B2</f>
        <v>70.099999999999994</v>
      </c>
      <c r="D10" s="16">
        <v>0</v>
      </c>
      <c r="E10" s="3">
        <f t="shared" si="0"/>
        <v>0</v>
      </c>
    </row>
    <row r="11" spans="1:15">
      <c r="A11" s="2"/>
      <c r="B11" s="2">
        <f>SUM(B4:B10)</f>
        <v>1.0489999999999999</v>
      </c>
      <c r="C11" s="2"/>
      <c r="D11" s="3"/>
      <c r="E11" s="3"/>
    </row>
    <row r="12" spans="1:15">
      <c r="A12" s="2"/>
      <c r="B12" s="2"/>
      <c r="C12" s="2"/>
      <c r="D12" s="3"/>
      <c r="E12" s="3">
        <f>D12*B12</f>
        <v>0</v>
      </c>
    </row>
    <row r="13" spans="1:15">
      <c r="A13" s="2" t="s">
        <v>3</v>
      </c>
      <c r="B13" s="2">
        <v>1</v>
      </c>
      <c r="C13" s="2"/>
      <c r="D13" s="3">
        <v>30000</v>
      </c>
      <c r="E13" s="3">
        <v>0</v>
      </c>
    </row>
    <row r="14" spans="1:15">
      <c r="A14" s="2" t="s">
        <v>2</v>
      </c>
      <c r="B14" s="2"/>
      <c r="C14" s="2"/>
      <c r="D14" s="3"/>
      <c r="E14" s="3">
        <f>SUM(E4:E13)</f>
        <v>292866.14545454545</v>
      </c>
    </row>
    <row r="15" spans="1:15" ht="23.25">
      <c r="A15" s="10" t="s">
        <v>1</v>
      </c>
      <c r="E15" s="11">
        <f>E14/B2</f>
        <v>2928.6614545454545</v>
      </c>
    </row>
    <row r="17" spans="1:5">
      <c r="D17" t="s">
        <v>41</v>
      </c>
      <c r="E17" s="56">
        <v>0.1</v>
      </c>
    </row>
    <row r="18" spans="1:5">
      <c r="D18" t="s">
        <v>42</v>
      </c>
      <c r="E18" s="56">
        <v>0.05</v>
      </c>
    </row>
    <row r="19" spans="1:5">
      <c r="D19" t="s">
        <v>43</v>
      </c>
      <c r="E19" s="56">
        <v>0</v>
      </c>
    </row>
    <row r="20" spans="1:5">
      <c r="D20" t="s">
        <v>44</v>
      </c>
      <c r="E20" s="56">
        <v>0.35</v>
      </c>
    </row>
    <row r="21" spans="1:5">
      <c r="D21" t="s">
        <v>45</v>
      </c>
      <c r="E21" s="56">
        <f>SUM(E17:E20)</f>
        <v>0.5</v>
      </c>
    </row>
    <row r="24" spans="1:5" ht="18.75">
      <c r="A24" s="193" t="s">
        <v>112</v>
      </c>
      <c r="B24" s="193"/>
      <c r="C24" s="193"/>
      <c r="D24" s="193"/>
      <c r="E24" s="193"/>
    </row>
    <row r="25" spans="1:5" ht="18.75">
      <c r="A25" s="174" t="s">
        <v>12</v>
      </c>
      <c r="B25" s="174">
        <v>300</v>
      </c>
      <c r="C25" s="174"/>
      <c r="D25" s="174"/>
      <c r="E25" s="174"/>
    </row>
    <row r="26" spans="1:5">
      <c r="A26" s="1" t="s">
        <v>0</v>
      </c>
      <c r="B26" s="1" t="s">
        <v>10</v>
      </c>
      <c r="C26" s="1" t="s">
        <v>11</v>
      </c>
      <c r="D26" s="1" t="s">
        <v>1</v>
      </c>
      <c r="E26" s="1" t="s">
        <v>2</v>
      </c>
    </row>
    <row r="27" spans="1:5" ht="15.75">
      <c r="A27" s="4" t="s">
        <v>4</v>
      </c>
      <c r="B27" s="5">
        <v>3.15E-3</v>
      </c>
      <c r="C27" s="5">
        <f>B27*B25</f>
        <v>0.94500000000000006</v>
      </c>
      <c r="D27" s="3">
        <v>2420</v>
      </c>
      <c r="E27" s="3">
        <f t="shared" ref="E27:E36" si="1">D27*C27</f>
        <v>2286.9</v>
      </c>
    </row>
    <row r="28" spans="1:5" ht="15.75">
      <c r="A28" s="4" t="s">
        <v>118</v>
      </c>
      <c r="B28" s="5">
        <v>1.7999999999999999E-2</v>
      </c>
      <c r="C28" s="5">
        <f>B28*B25</f>
        <v>5.3999999999999995</v>
      </c>
      <c r="D28" s="3">
        <v>14218</v>
      </c>
      <c r="E28" s="3">
        <f t="shared" si="1"/>
        <v>76777.2</v>
      </c>
    </row>
    <row r="29" spans="1:5" ht="15.75">
      <c r="A29" s="4" t="s">
        <v>5</v>
      </c>
      <c r="B29" s="5">
        <v>2.5000000000000001E-2</v>
      </c>
      <c r="C29" s="5">
        <f>B29*B25</f>
        <v>7.5</v>
      </c>
      <c r="D29" s="3">
        <v>9317</v>
      </c>
      <c r="E29" s="3">
        <f t="shared" si="1"/>
        <v>69877.5</v>
      </c>
    </row>
    <row r="30" spans="1:5" ht="15.75">
      <c r="A30" s="4" t="s">
        <v>6</v>
      </c>
      <c r="B30" s="5">
        <v>2.1999999999999999E-2</v>
      </c>
      <c r="C30" s="5">
        <f>B30*B25</f>
        <v>6.6</v>
      </c>
      <c r="D30" s="3">
        <v>840</v>
      </c>
      <c r="E30" s="3">
        <f t="shared" si="1"/>
        <v>5544</v>
      </c>
    </row>
    <row r="31" spans="1:5" ht="15.75">
      <c r="A31" s="4" t="s">
        <v>7</v>
      </c>
      <c r="B31" s="5">
        <v>2E-3</v>
      </c>
      <c r="C31" s="5">
        <f>B31*B25</f>
        <v>0.6</v>
      </c>
      <c r="D31" s="3">
        <v>5775</v>
      </c>
      <c r="E31" s="3">
        <f t="shared" si="1"/>
        <v>3465</v>
      </c>
    </row>
    <row r="32" spans="1:5" ht="15.75">
      <c r="A32" s="4" t="s">
        <v>8</v>
      </c>
      <c r="B32" s="5">
        <v>0.02</v>
      </c>
      <c r="C32" s="13">
        <f>B32*B25</f>
        <v>6</v>
      </c>
      <c r="D32" s="3">
        <v>11880</v>
      </c>
      <c r="E32" s="3">
        <f t="shared" si="1"/>
        <v>71280</v>
      </c>
    </row>
    <row r="33" spans="1:10" ht="15.75">
      <c r="A33" s="4" t="s">
        <v>9</v>
      </c>
      <c r="B33" s="6">
        <v>0.90985000000000005</v>
      </c>
      <c r="C33" s="124">
        <f>B33*B25</f>
        <v>272.95500000000004</v>
      </c>
      <c r="D33" s="16">
        <v>0</v>
      </c>
      <c r="E33" s="3">
        <f>D33*C33</f>
        <v>0</v>
      </c>
    </row>
    <row r="34" spans="1:10">
      <c r="A34" s="2"/>
      <c r="B34" s="2">
        <f>SUM(B27:B33)</f>
        <v>1</v>
      </c>
      <c r="C34" s="2">
        <f>SUM(C27:C33)</f>
        <v>300.00000000000006</v>
      </c>
      <c r="D34" s="3"/>
      <c r="E34" s="3">
        <f t="shared" si="1"/>
        <v>0</v>
      </c>
    </row>
    <row r="35" spans="1:10">
      <c r="A35" s="2"/>
      <c r="B35" s="2"/>
      <c r="C35" s="2"/>
      <c r="D35" s="3"/>
      <c r="E35" s="3">
        <f t="shared" si="1"/>
        <v>0</v>
      </c>
    </row>
    <row r="36" spans="1:10">
      <c r="A36" s="2" t="s">
        <v>3</v>
      </c>
      <c r="B36" s="2">
        <v>1</v>
      </c>
      <c r="C36" s="2">
        <v>1</v>
      </c>
      <c r="D36" s="3">
        <v>30000</v>
      </c>
      <c r="E36" s="3">
        <f t="shared" si="1"/>
        <v>30000</v>
      </c>
    </row>
    <row r="37" spans="1:10">
      <c r="A37" s="2" t="s">
        <v>2</v>
      </c>
      <c r="B37" s="2"/>
      <c r="C37" s="2"/>
      <c r="D37" s="3"/>
      <c r="E37" s="3">
        <f>SUM(E27:E36)</f>
        <v>259230.59999999998</v>
      </c>
    </row>
    <row r="38" spans="1:10" ht="23.25">
      <c r="A38" s="10" t="s">
        <v>1</v>
      </c>
      <c r="E38" s="11">
        <f>E37/B25</f>
        <v>864.10199999999998</v>
      </c>
    </row>
    <row r="40" spans="1:10">
      <c r="D40" t="s">
        <v>41</v>
      </c>
      <c r="E40" s="56">
        <v>0.1</v>
      </c>
    </row>
    <row r="41" spans="1:10">
      <c r="D41" t="s">
        <v>42</v>
      </c>
      <c r="E41" s="56">
        <v>0.05</v>
      </c>
    </row>
    <row r="42" spans="1:10">
      <c r="D42" t="s">
        <v>43</v>
      </c>
      <c r="E42" s="56">
        <v>0.1</v>
      </c>
    </row>
    <row r="43" spans="1:10">
      <c r="D43" t="s">
        <v>44</v>
      </c>
      <c r="E43" s="56">
        <v>0.35</v>
      </c>
    </row>
    <row r="44" spans="1:10">
      <c r="D44" t="s">
        <v>45</v>
      </c>
      <c r="E44" s="56">
        <f>SUM(E40:E43)</f>
        <v>0.6</v>
      </c>
    </row>
    <row r="46" spans="1:10">
      <c r="B46" s="194" t="s">
        <v>46</v>
      </c>
      <c r="C46" s="195" t="s">
        <v>2</v>
      </c>
      <c r="D46" s="195"/>
      <c r="E46" s="198">
        <f>E38</f>
        <v>864.10199999999998</v>
      </c>
      <c r="F46" s="198"/>
      <c r="G46" s="198">
        <f>E46</f>
        <v>864.10199999999998</v>
      </c>
      <c r="H46" s="195"/>
      <c r="I46" s="121">
        <f>G46</f>
        <v>864.10199999999998</v>
      </c>
      <c r="J46" s="199">
        <f>I46/I47</f>
        <v>2160.2549999999997</v>
      </c>
    </row>
    <row r="47" spans="1:10">
      <c r="B47" s="194"/>
      <c r="C47" s="197" t="s">
        <v>47</v>
      </c>
      <c r="D47" s="197"/>
      <c r="E47" s="57" t="s">
        <v>48</v>
      </c>
      <c r="F47" s="58">
        <v>60</v>
      </c>
      <c r="G47" s="57" t="s">
        <v>48</v>
      </c>
      <c r="H47" s="58">
        <f>F47/F48</f>
        <v>0.6</v>
      </c>
      <c r="I47">
        <f>1-0.6</f>
        <v>0.4</v>
      </c>
      <c r="J47" s="199"/>
    </row>
    <row r="48" spans="1:10">
      <c r="C48" s="196">
        <v>1</v>
      </c>
      <c r="D48" s="197"/>
      <c r="F48" s="58">
        <v>100</v>
      </c>
    </row>
  </sheetData>
  <mergeCells count="16">
    <mergeCell ref="J46:J47"/>
    <mergeCell ref="C47:D47"/>
    <mergeCell ref="C48:D48"/>
    <mergeCell ref="H6:I6"/>
    <mergeCell ref="A24:E24"/>
    <mergeCell ref="B46:B47"/>
    <mergeCell ref="C46:D46"/>
    <mergeCell ref="E46:F46"/>
    <mergeCell ref="G46:H46"/>
    <mergeCell ref="O4:O5"/>
    <mergeCell ref="H5:I5"/>
    <mergeCell ref="A1:E1"/>
    <mergeCell ref="G4:G5"/>
    <mergeCell ref="H4:I4"/>
    <mergeCell ref="J4:K4"/>
    <mergeCell ref="L4:M4"/>
  </mergeCell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38"/>
  <sheetViews>
    <sheetView topLeftCell="A24" workbookViewId="0">
      <selection activeCell="B36" sqref="B36"/>
    </sheetView>
  </sheetViews>
  <sheetFormatPr baseColWidth="10" defaultRowHeight="15"/>
  <cols>
    <col min="1" max="1" width="29.28515625" customWidth="1"/>
    <col min="3" max="3" width="11.42578125" customWidth="1"/>
    <col min="4" max="4" width="13.5703125" customWidth="1"/>
    <col min="5" max="5" width="15.28515625" bestFit="1" customWidth="1"/>
  </cols>
  <sheetData>
    <row r="1" spans="1:10" ht="18.75">
      <c r="A1" s="193" t="s">
        <v>145</v>
      </c>
      <c r="B1" s="193"/>
      <c r="C1" s="193"/>
      <c r="D1" s="193"/>
      <c r="E1" s="193"/>
    </row>
    <row r="2" spans="1:10" ht="18.75">
      <c r="A2" s="134" t="s">
        <v>12</v>
      </c>
      <c r="B2" s="134">
        <v>100</v>
      </c>
      <c r="C2" s="134"/>
      <c r="D2" s="134"/>
      <c r="E2" s="134"/>
    </row>
    <row r="3" spans="1:10">
      <c r="A3" s="1" t="s">
        <v>0</v>
      </c>
      <c r="B3" s="1" t="s">
        <v>10</v>
      </c>
      <c r="C3" s="1" t="s">
        <v>11</v>
      </c>
      <c r="D3" s="1" t="s">
        <v>1</v>
      </c>
      <c r="E3" s="1" t="s">
        <v>2</v>
      </c>
    </row>
    <row r="4" spans="1:10" ht="15.75">
      <c r="A4" s="23" t="s">
        <v>27</v>
      </c>
      <c r="B4" s="18">
        <v>0.01</v>
      </c>
      <c r="C4" s="5">
        <f>B2*B4</f>
        <v>1</v>
      </c>
      <c r="D4" s="3">
        <f>E31</f>
        <v>40170.676460000002</v>
      </c>
      <c r="E4" s="3">
        <f>D4*C4</f>
        <v>40170.676460000002</v>
      </c>
    </row>
    <row r="5" spans="1:10" ht="15.75">
      <c r="A5" s="5" t="s">
        <v>28</v>
      </c>
      <c r="B5" s="18">
        <v>0.99</v>
      </c>
      <c r="C5" s="8">
        <f>B2*B5</f>
        <v>99</v>
      </c>
      <c r="D5" s="16">
        <v>0</v>
      </c>
      <c r="E5" s="3">
        <f>D5*C5</f>
        <v>0</v>
      </c>
      <c r="G5" t="s">
        <v>41</v>
      </c>
      <c r="H5" s="56">
        <v>0.1</v>
      </c>
    </row>
    <row r="6" spans="1:10" ht="15.75">
      <c r="A6" s="5"/>
      <c r="B6" s="18">
        <f>SUM(B4:B5)</f>
        <v>1</v>
      </c>
      <c r="C6" s="17">
        <f>SUM(C4:C5)</f>
        <v>100</v>
      </c>
      <c r="D6" s="16"/>
      <c r="E6" s="16"/>
      <c r="G6" t="s">
        <v>42</v>
      </c>
      <c r="H6" s="56">
        <v>0.05</v>
      </c>
    </row>
    <row r="7" spans="1:10" ht="15.75">
      <c r="A7" s="5" t="s">
        <v>20</v>
      </c>
      <c r="B7" s="19">
        <v>1</v>
      </c>
      <c r="C7" s="17">
        <v>1</v>
      </c>
      <c r="D7" s="3">
        <v>0</v>
      </c>
      <c r="E7" s="3">
        <f>D7*C7</f>
        <v>0</v>
      </c>
      <c r="G7" t="s">
        <v>43</v>
      </c>
      <c r="H7" s="56">
        <v>0</v>
      </c>
    </row>
    <row r="8" spans="1:10" ht="23.25">
      <c r="A8" s="20" t="s">
        <v>2</v>
      </c>
      <c r="B8" s="14"/>
      <c r="C8" s="2"/>
      <c r="D8" s="3"/>
      <c r="E8" s="3">
        <f>SUM(E4:E7)</f>
        <v>40170.676460000002</v>
      </c>
      <c r="G8" t="s">
        <v>44</v>
      </c>
      <c r="H8" s="56">
        <v>0.35</v>
      </c>
    </row>
    <row r="9" spans="1:10" ht="23.25">
      <c r="A9" s="21" t="s">
        <v>1</v>
      </c>
      <c r="E9" s="22">
        <f>E8/B2</f>
        <v>401.70676460000004</v>
      </c>
      <c r="G9" s="61" t="s">
        <v>45</v>
      </c>
      <c r="H9" s="62">
        <f>SUM(H5:H8)</f>
        <v>0.5</v>
      </c>
    </row>
    <row r="13" spans="1:10">
      <c r="B13" s="194" t="s">
        <v>46</v>
      </c>
      <c r="C13" s="195" t="s">
        <v>2</v>
      </c>
      <c r="D13" s="195"/>
      <c r="E13" s="198">
        <f>E9</f>
        <v>401.70676460000004</v>
      </c>
      <c r="F13" s="198"/>
      <c r="G13" s="198">
        <f>E13</f>
        <v>401.70676460000004</v>
      </c>
      <c r="H13" s="195"/>
      <c r="I13" s="133">
        <f>E9</f>
        <v>401.70676460000004</v>
      </c>
      <c r="J13" s="205">
        <f>I13/I14</f>
        <v>803.41352920000008</v>
      </c>
    </row>
    <row r="14" spans="1:10">
      <c r="B14" s="194"/>
      <c r="C14" s="197" t="s">
        <v>47</v>
      </c>
      <c r="D14" s="197"/>
      <c r="E14" s="57" t="s">
        <v>48</v>
      </c>
      <c r="F14" s="58">
        <v>50</v>
      </c>
      <c r="G14" s="57" t="s">
        <v>48</v>
      </c>
      <c r="H14" s="58">
        <f>F14/F15</f>
        <v>0.5</v>
      </c>
      <c r="I14">
        <f>H14</f>
        <v>0.5</v>
      </c>
      <c r="J14" s="206"/>
    </row>
    <row r="15" spans="1:10">
      <c r="C15" s="196">
        <v>1</v>
      </c>
      <c r="D15" s="197"/>
      <c r="F15" s="58">
        <v>100</v>
      </c>
    </row>
    <row r="17" spans="1:8" ht="18.75">
      <c r="B17" s="59" t="s">
        <v>46</v>
      </c>
      <c r="C17" s="60">
        <f>J13</f>
        <v>803.41352920000008</v>
      </c>
    </row>
    <row r="21" spans="1:8" ht="18.75">
      <c r="A21" s="193" t="s">
        <v>145</v>
      </c>
      <c r="B21" s="193"/>
      <c r="C21" s="193"/>
      <c r="D21" s="193"/>
      <c r="E21" s="193"/>
    </row>
    <row r="22" spans="1:8" ht="18.75">
      <c r="A22" s="178" t="s">
        <v>12</v>
      </c>
      <c r="B22" s="178">
        <v>1</v>
      </c>
      <c r="C22" s="178"/>
      <c r="D22" s="178"/>
      <c r="E22" s="178"/>
    </row>
    <row r="23" spans="1:8">
      <c r="A23" s="1" t="s">
        <v>0</v>
      </c>
      <c r="B23" s="1" t="s">
        <v>10</v>
      </c>
      <c r="C23" s="1" t="s">
        <v>11</v>
      </c>
      <c r="D23" s="1" t="s">
        <v>1</v>
      </c>
      <c r="E23" s="1" t="s">
        <v>2</v>
      </c>
    </row>
    <row r="24" spans="1:8" ht="15.75">
      <c r="A24" s="23" t="s">
        <v>114</v>
      </c>
      <c r="B24" s="18">
        <v>0.55000000000000004</v>
      </c>
      <c r="C24" s="5">
        <f>B22*B24</f>
        <v>0.55000000000000004</v>
      </c>
      <c r="D24" s="3">
        <f>'Det.Verde sin tensan'!E15</f>
        <v>727.03538181818192</v>
      </c>
      <c r="E24" s="3">
        <f>D24*C24</f>
        <v>399.86946000000006</v>
      </c>
    </row>
    <row r="25" spans="1:8" ht="15.75">
      <c r="A25" s="23" t="s">
        <v>126</v>
      </c>
      <c r="B25" s="18">
        <v>0.25</v>
      </c>
      <c r="C25" s="5">
        <f>B25*B22</f>
        <v>0.25</v>
      </c>
      <c r="D25" s="3">
        <f>COSTO!E10</f>
        <v>147840</v>
      </c>
      <c r="E25" s="3">
        <f>D25*C25</f>
        <v>36960</v>
      </c>
    </row>
    <row r="26" spans="1:8" ht="15.75">
      <c r="A26" s="23" t="s">
        <v>345</v>
      </c>
      <c r="B26" s="18">
        <v>0.05</v>
      </c>
      <c r="C26" s="5">
        <f>B26*B22</f>
        <v>0.05</v>
      </c>
      <c r="D26" s="3">
        <f>COSTO!E17</f>
        <v>18816.14</v>
      </c>
      <c r="E26" s="3">
        <f>D26*C26</f>
        <v>940.80700000000002</v>
      </c>
      <c r="G26" t="s">
        <v>41</v>
      </c>
      <c r="H26" s="56">
        <v>0.1</v>
      </c>
    </row>
    <row r="27" spans="1:8" ht="15.75">
      <c r="A27" s="5" t="s">
        <v>346</v>
      </c>
      <c r="B27" s="18">
        <v>0.2</v>
      </c>
      <c r="C27" s="8">
        <f>B27*B22</f>
        <v>0.2</v>
      </c>
      <c r="D27" s="16">
        <v>9350</v>
      </c>
      <c r="E27" s="3">
        <f>D27*C27</f>
        <v>1870</v>
      </c>
      <c r="G27" t="s">
        <v>42</v>
      </c>
      <c r="H27" s="56">
        <v>0.05</v>
      </c>
    </row>
    <row r="28" spans="1:8" ht="15.75">
      <c r="A28" s="5"/>
      <c r="B28" s="18">
        <f>SUM(B24:B27)</f>
        <v>1.05</v>
      </c>
      <c r="C28" s="17">
        <f>SUM(C24:C27)</f>
        <v>1.05</v>
      </c>
      <c r="D28" s="16"/>
      <c r="E28" s="16"/>
      <c r="G28" t="s">
        <v>43</v>
      </c>
      <c r="H28" s="56">
        <v>0</v>
      </c>
    </row>
    <row r="29" spans="1:8" ht="15.75">
      <c r="A29" s="5" t="s">
        <v>20</v>
      </c>
      <c r="B29" s="19">
        <v>1</v>
      </c>
      <c r="C29" s="17">
        <v>1</v>
      </c>
      <c r="D29" s="3">
        <v>0</v>
      </c>
      <c r="E29" s="3">
        <f>D29*C29</f>
        <v>0</v>
      </c>
      <c r="G29" t="s">
        <v>44</v>
      </c>
      <c r="H29" s="56">
        <v>0.35</v>
      </c>
    </row>
    <row r="30" spans="1:8" ht="23.25">
      <c r="A30" s="20" t="s">
        <v>2</v>
      </c>
      <c r="B30" s="14"/>
      <c r="C30" s="2"/>
      <c r="D30" s="3"/>
      <c r="E30" s="3">
        <f>SUM(E24:E29)</f>
        <v>40170.676460000002</v>
      </c>
      <c r="G30" s="61" t="s">
        <v>45</v>
      </c>
      <c r="H30" s="62">
        <f>SUM(H26:H29)</f>
        <v>0.5</v>
      </c>
    </row>
    <row r="31" spans="1:8" ht="23.25">
      <c r="A31" s="21" t="s">
        <v>1</v>
      </c>
      <c r="E31" s="22">
        <f>E30/B22</f>
        <v>40170.676460000002</v>
      </c>
    </row>
    <row r="34" spans="2:10">
      <c r="B34" s="194" t="s">
        <v>46</v>
      </c>
      <c r="C34" s="195" t="s">
        <v>2</v>
      </c>
      <c r="D34" s="195"/>
      <c r="E34" s="198">
        <f>E30</f>
        <v>40170.676460000002</v>
      </c>
      <c r="F34" s="198"/>
      <c r="G34" s="198">
        <f>E34</f>
        <v>40170.676460000002</v>
      </c>
      <c r="H34" s="195"/>
      <c r="I34" s="133">
        <f>E30</f>
        <v>40170.676460000002</v>
      </c>
      <c r="J34" s="205">
        <f>I34/I35</f>
        <v>80341.352920000005</v>
      </c>
    </row>
    <row r="35" spans="2:10">
      <c r="B35" s="194"/>
      <c r="C35" s="197" t="s">
        <v>47</v>
      </c>
      <c r="D35" s="197"/>
      <c r="E35" s="57" t="s">
        <v>48</v>
      </c>
      <c r="F35" s="58">
        <v>50</v>
      </c>
      <c r="G35" s="57" t="s">
        <v>48</v>
      </c>
      <c r="H35" s="58">
        <f>F35/F36</f>
        <v>0.5</v>
      </c>
      <c r="I35">
        <f>H35</f>
        <v>0.5</v>
      </c>
      <c r="J35" s="206"/>
    </row>
    <row r="36" spans="2:10">
      <c r="C36" s="196">
        <v>1</v>
      </c>
      <c r="D36" s="197"/>
      <c r="F36" s="58">
        <v>100</v>
      </c>
    </row>
    <row r="38" spans="2:10" ht="18.75">
      <c r="B38" s="59" t="s">
        <v>46</v>
      </c>
      <c r="C38" s="60">
        <f>J34</f>
        <v>80341.352920000005</v>
      </c>
    </row>
  </sheetData>
  <mergeCells count="16">
    <mergeCell ref="J34:J35"/>
    <mergeCell ref="C35:D35"/>
    <mergeCell ref="C36:D36"/>
    <mergeCell ref="A21:E21"/>
    <mergeCell ref="B34:B35"/>
    <mergeCell ref="C34:D34"/>
    <mergeCell ref="E34:F34"/>
    <mergeCell ref="G34:H34"/>
    <mergeCell ref="G13:H13"/>
    <mergeCell ref="J13:J14"/>
    <mergeCell ref="C14:D14"/>
    <mergeCell ref="C15:D15"/>
    <mergeCell ref="A1:E1"/>
    <mergeCell ref="B13:B14"/>
    <mergeCell ref="C13:D13"/>
    <mergeCell ref="E13:F13"/>
  </mergeCells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B5" sqref="B5"/>
    </sheetView>
  </sheetViews>
  <sheetFormatPr baseColWidth="10" defaultRowHeight="15"/>
  <cols>
    <col min="1" max="1" width="29.28515625" customWidth="1"/>
    <col min="3" max="3" width="11.42578125" customWidth="1"/>
    <col min="4" max="4" width="13.5703125" customWidth="1"/>
    <col min="5" max="5" width="15.28515625" bestFit="1" customWidth="1"/>
  </cols>
  <sheetData>
    <row r="1" spans="1:10" ht="18.75">
      <c r="A1" s="193" t="s">
        <v>147</v>
      </c>
      <c r="B1" s="193"/>
      <c r="C1" s="193"/>
      <c r="D1" s="193"/>
      <c r="E1" s="193"/>
    </row>
    <row r="2" spans="1:10" ht="18.75">
      <c r="A2" s="134" t="s">
        <v>12</v>
      </c>
      <c r="B2" s="134">
        <v>100</v>
      </c>
      <c r="C2" s="134"/>
      <c r="D2" s="134"/>
      <c r="E2" s="134"/>
    </row>
    <row r="3" spans="1:10">
      <c r="A3" s="1" t="s">
        <v>0</v>
      </c>
      <c r="B3" s="1" t="s">
        <v>10</v>
      </c>
      <c r="C3" s="1" t="s">
        <v>11</v>
      </c>
      <c r="D3" s="1" t="s">
        <v>1</v>
      </c>
      <c r="E3" s="1" t="s">
        <v>2</v>
      </c>
    </row>
    <row r="4" spans="1:10" ht="15.75">
      <c r="A4" s="23" t="s">
        <v>27</v>
      </c>
      <c r="B4" s="18">
        <v>0.02</v>
      </c>
      <c r="C4" s="5">
        <f>B2*B4</f>
        <v>2</v>
      </c>
      <c r="D4" s="3">
        <v>40000</v>
      </c>
      <c r="E4" s="3">
        <f>D4*C4</f>
        <v>80000</v>
      </c>
    </row>
    <row r="5" spans="1:10" ht="15.75">
      <c r="A5" s="5" t="s">
        <v>28</v>
      </c>
      <c r="B5" s="18">
        <v>0.98699999999999999</v>
      </c>
      <c r="C5" s="8">
        <f>B2*B5</f>
        <v>98.7</v>
      </c>
      <c r="D5" s="16">
        <v>0</v>
      </c>
      <c r="E5" s="3">
        <f>D5*C5</f>
        <v>0</v>
      </c>
      <c r="G5" t="s">
        <v>41</v>
      </c>
      <c r="H5" s="56">
        <v>0.1</v>
      </c>
    </row>
    <row r="6" spans="1:10" ht="15.75">
      <c r="A6" s="5"/>
      <c r="B6" s="18">
        <f>SUM(B4:B5)</f>
        <v>1.0069999999999999</v>
      </c>
      <c r="C6" s="17">
        <f>SUM(C4:C5)</f>
        <v>100.7</v>
      </c>
      <c r="D6" s="16"/>
      <c r="E6" s="16"/>
      <c r="G6" t="s">
        <v>42</v>
      </c>
      <c r="H6" s="56">
        <v>0.05</v>
      </c>
    </row>
    <row r="7" spans="1:10" ht="15.75">
      <c r="A7" s="5" t="s">
        <v>20</v>
      </c>
      <c r="B7" s="19">
        <v>1</v>
      </c>
      <c r="C7" s="17">
        <v>1</v>
      </c>
      <c r="D7" s="3">
        <v>0</v>
      </c>
      <c r="E7" s="3">
        <f>D7*C7</f>
        <v>0</v>
      </c>
      <c r="G7" t="s">
        <v>43</v>
      </c>
      <c r="H7" s="56">
        <v>0</v>
      </c>
    </row>
    <row r="8" spans="1:10" ht="23.25">
      <c r="A8" s="20" t="s">
        <v>2</v>
      </c>
      <c r="B8" s="14"/>
      <c r="C8" s="2"/>
      <c r="D8" s="3"/>
      <c r="E8" s="3">
        <f>SUM(E4:E7)</f>
        <v>80000</v>
      </c>
      <c r="G8" t="s">
        <v>44</v>
      </c>
      <c r="H8" s="56">
        <v>0.35</v>
      </c>
    </row>
    <row r="9" spans="1:10" ht="23.25">
      <c r="A9" s="21" t="s">
        <v>1</v>
      </c>
      <c r="E9" s="22">
        <f>E8/B2</f>
        <v>800</v>
      </c>
      <c r="G9" s="61" t="s">
        <v>45</v>
      </c>
      <c r="H9" s="62">
        <f>SUM(H5:H8)</f>
        <v>0.5</v>
      </c>
    </row>
    <row r="13" spans="1:10">
      <c r="B13" s="194" t="s">
        <v>46</v>
      </c>
      <c r="C13" s="195" t="s">
        <v>2</v>
      </c>
      <c r="D13" s="195"/>
      <c r="E13" s="198">
        <f>E9</f>
        <v>800</v>
      </c>
      <c r="F13" s="198"/>
      <c r="G13" s="198">
        <f>E13</f>
        <v>800</v>
      </c>
      <c r="H13" s="195"/>
      <c r="I13" s="133">
        <f>E9</f>
        <v>800</v>
      </c>
      <c r="J13" s="205">
        <f>I13/I14</f>
        <v>1600</v>
      </c>
    </row>
    <row r="14" spans="1:10">
      <c r="B14" s="194"/>
      <c r="C14" s="197" t="s">
        <v>47</v>
      </c>
      <c r="D14" s="197"/>
      <c r="E14" s="57" t="s">
        <v>48</v>
      </c>
      <c r="F14" s="58">
        <v>50</v>
      </c>
      <c r="G14" s="57" t="s">
        <v>48</v>
      </c>
      <c r="H14" s="58">
        <f>F14/F15</f>
        <v>0.5</v>
      </c>
      <c r="I14">
        <f>H14</f>
        <v>0.5</v>
      </c>
      <c r="J14" s="206"/>
    </row>
    <row r="15" spans="1:10">
      <c r="C15" s="196">
        <v>1</v>
      </c>
      <c r="D15" s="197"/>
      <c r="F15" s="58">
        <v>100</v>
      </c>
    </row>
    <row r="17" spans="2:3" ht="18.75">
      <c r="B17" s="59" t="s">
        <v>46</v>
      </c>
      <c r="C17" s="60">
        <f>J13</f>
        <v>1600</v>
      </c>
    </row>
  </sheetData>
  <mergeCells count="8">
    <mergeCell ref="G13:H13"/>
    <mergeCell ref="J13:J14"/>
    <mergeCell ref="C14:D14"/>
    <mergeCell ref="C15:D15"/>
    <mergeCell ref="A1:E1"/>
    <mergeCell ref="B13:B14"/>
    <mergeCell ref="C13:D13"/>
    <mergeCell ref="E13:F13"/>
  </mergeCells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B3" sqref="B3"/>
    </sheetView>
  </sheetViews>
  <sheetFormatPr baseColWidth="10" defaultRowHeight="15"/>
  <cols>
    <col min="1" max="1" width="29.28515625" customWidth="1"/>
    <col min="3" max="3" width="11.42578125" customWidth="1"/>
    <col min="4" max="4" width="13.5703125" customWidth="1"/>
    <col min="5" max="5" width="15.28515625" bestFit="1" customWidth="1"/>
  </cols>
  <sheetData>
    <row r="1" spans="1:10" ht="18.75">
      <c r="A1" s="193" t="s">
        <v>119</v>
      </c>
      <c r="B1" s="193"/>
      <c r="C1" s="193"/>
      <c r="D1" s="193"/>
      <c r="E1" s="193"/>
    </row>
    <row r="2" spans="1:10" ht="18.75">
      <c r="A2" s="117" t="s">
        <v>12</v>
      </c>
      <c r="B2" s="117">
        <v>10</v>
      </c>
      <c r="C2" s="117"/>
      <c r="D2" s="117"/>
      <c r="E2" s="117"/>
    </row>
    <row r="3" spans="1:10">
      <c r="A3" s="1" t="s">
        <v>0</v>
      </c>
      <c r="B3" s="1" t="s">
        <v>10</v>
      </c>
      <c r="C3" s="1" t="s">
        <v>11</v>
      </c>
      <c r="D3" s="1" t="s">
        <v>1</v>
      </c>
      <c r="E3" s="1" t="s">
        <v>2</v>
      </c>
    </row>
    <row r="4" spans="1:10" ht="15.75">
      <c r="A4" s="23" t="s">
        <v>107</v>
      </c>
      <c r="B4" s="18">
        <v>0.3</v>
      </c>
      <c r="C4" s="5">
        <f>B2*B4</f>
        <v>3</v>
      </c>
      <c r="D4" s="3">
        <f>COSTO!E14</f>
        <v>2500</v>
      </c>
      <c r="E4" s="3">
        <f>D4*C4</f>
        <v>7500</v>
      </c>
      <c r="G4" t="s">
        <v>41</v>
      </c>
      <c r="H4" s="56">
        <v>0.1</v>
      </c>
    </row>
    <row r="5" spans="1:10" ht="15.75">
      <c r="A5" s="5" t="s">
        <v>28</v>
      </c>
      <c r="B5" s="18">
        <v>0.7</v>
      </c>
      <c r="C5" s="8">
        <f>B2*B5</f>
        <v>7</v>
      </c>
      <c r="D5" s="16">
        <v>0</v>
      </c>
      <c r="E5" s="3">
        <f>D5*C5</f>
        <v>0</v>
      </c>
      <c r="G5" t="s">
        <v>42</v>
      </c>
      <c r="H5" s="56">
        <v>0.05</v>
      </c>
    </row>
    <row r="6" spans="1:10" ht="15.75">
      <c r="A6" s="5" t="s">
        <v>122</v>
      </c>
      <c r="B6" s="18"/>
      <c r="C6" s="17">
        <v>1</v>
      </c>
      <c r="D6" s="16"/>
      <c r="E6" s="16"/>
      <c r="G6" t="s">
        <v>43</v>
      </c>
      <c r="H6" s="56">
        <v>0</v>
      </c>
    </row>
    <row r="7" spans="1:10" ht="15.75">
      <c r="A7" s="5" t="s">
        <v>20</v>
      </c>
      <c r="B7" s="19">
        <v>1</v>
      </c>
      <c r="C7" s="17">
        <v>15</v>
      </c>
      <c r="D7" s="3">
        <v>1000</v>
      </c>
      <c r="E7" s="3">
        <v>0</v>
      </c>
      <c r="G7" t="s">
        <v>44</v>
      </c>
      <c r="H7" s="56">
        <v>0.35</v>
      </c>
    </row>
    <row r="8" spans="1:10" ht="23.25">
      <c r="A8" s="20" t="s">
        <v>2</v>
      </c>
      <c r="B8" s="14"/>
      <c r="C8" s="2"/>
      <c r="D8" s="3"/>
      <c r="E8" s="3">
        <f>SUM(E4:E7)</f>
        <v>7500</v>
      </c>
      <c r="G8" s="61" t="s">
        <v>45</v>
      </c>
      <c r="H8" s="62">
        <f>SUM(H4:H7)</f>
        <v>0.5</v>
      </c>
    </row>
    <row r="9" spans="1:10" ht="23.25">
      <c r="A9" s="21" t="s">
        <v>1</v>
      </c>
      <c r="E9" s="22">
        <f>E8/B2</f>
        <v>750</v>
      </c>
    </row>
    <row r="13" spans="1:10">
      <c r="B13" s="194" t="s">
        <v>46</v>
      </c>
      <c r="C13" s="195" t="s">
        <v>2</v>
      </c>
      <c r="D13" s="195"/>
      <c r="E13" s="198">
        <f>E9</f>
        <v>750</v>
      </c>
      <c r="F13" s="198"/>
      <c r="G13" s="198">
        <f>E13</f>
        <v>750</v>
      </c>
      <c r="H13" s="195"/>
      <c r="I13" s="128">
        <f>G13</f>
        <v>750</v>
      </c>
      <c r="J13" s="205">
        <f>I13/I14</f>
        <v>1500</v>
      </c>
    </row>
    <row r="14" spans="1:10">
      <c r="B14" s="194"/>
      <c r="C14" s="197" t="s">
        <v>47</v>
      </c>
      <c r="D14" s="197"/>
      <c r="E14" s="57" t="s">
        <v>48</v>
      </c>
      <c r="F14" s="58">
        <v>50</v>
      </c>
      <c r="G14" s="57" t="s">
        <v>48</v>
      </c>
      <c r="H14" s="58">
        <f>F14/F15</f>
        <v>0.5</v>
      </c>
      <c r="I14">
        <f>H14</f>
        <v>0.5</v>
      </c>
      <c r="J14" s="206"/>
    </row>
    <row r="15" spans="1:10">
      <c r="C15" s="196">
        <v>1</v>
      </c>
      <c r="D15" s="197"/>
      <c r="F15" s="58">
        <v>100</v>
      </c>
    </row>
    <row r="17" spans="2:3" ht="18.75">
      <c r="B17" s="59" t="s">
        <v>46</v>
      </c>
      <c r="C17" s="60">
        <f>J13</f>
        <v>1500</v>
      </c>
    </row>
  </sheetData>
  <mergeCells count="8">
    <mergeCell ref="G13:H13"/>
    <mergeCell ref="J13:J14"/>
    <mergeCell ref="C14:D14"/>
    <mergeCell ref="C15:D15"/>
    <mergeCell ref="A1:E1"/>
    <mergeCell ref="B13:B14"/>
    <mergeCell ref="C13:D13"/>
    <mergeCell ref="E13:F13"/>
  </mergeCells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78"/>
  <sheetViews>
    <sheetView topLeftCell="A25" workbookViewId="0">
      <selection activeCell="D79" sqref="D79"/>
    </sheetView>
  </sheetViews>
  <sheetFormatPr baseColWidth="10" defaultRowHeight="15"/>
  <cols>
    <col min="1" max="1" width="36.28515625" customWidth="1"/>
    <col min="2" max="4" width="11.42578125" customWidth="1"/>
    <col min="14" max="14" width="14.140625" customWidth="1"/>
  </cols>
  <sheetData>
    <row r="1" spans="1:14" ht="15.75">
      <c r="A1" s="24" t="s">
        <v>29</v>
      </c>
      <c r="B1" s="25"/>
      <c r="C1" s="25"/>
      <c r="D1" s="25"/>
      <c r="E1" s="25"/>
      <c r="F1" s="24" t="s">
        <v>30</v>
      </c>
      <c r="G1" s="25"/>
      <c r="H1" s="25"/>
      <c r="I1" s="25"/>
      <c r="J1" s="25"/>
      <c r="K1" s="25"/>
      <c r="L1" s="25"/>
      <c r="M1" s="25"/>
      <c r="N1" s="25"/>
    </row>
    <row r="2" spans="1:14" ht="15.75" thickBo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ht="23.25" customHeight="1">
      <c r="A3" s="26" t="s">
        <v>31</v>
      </c>
      <c r="B3" s="135" t="s">
        <v>129</v>
      </c>
      <c r="C3" s="135" t="s">
        <v>130</v>
      </c>
      <c r="D3" s="135" t="s">
        <v>131</v>
      </c>
      <c r="E3" s="207" t="s">
        <v>132</v>
      </c>
      <c r="F3" s="135" t="s">
        <v>133</v>
      </c>
      <c r="G3" s="135" t="s">
        <v>134</v>
      </c>
      <c r="H3" s="135" t="s">
        <v>135</v>
      </c>
      <c r="I3" s="135" t="s">
        <v>136</v>
      </c>
      <c r="J3" s="135" t="s">
        <v>137</v>
      </c>
      <c r="K3" s="135" t="s">
        <v>138</v>
      </c>
      <c r="L3" s="135" t="s">
        <v>139</v>
      </c>
      <c r="M3" s="29" t="s">
        <v>140</v>
      </c>
      <c r="N3" s="27" t="s">
        <v>32</v>
      </c>
    </row>
    <row r="4" spans="1:14" ht="16.5" thickBot="1">
      <c r="A4" s="30"/>
      <c r="B4" s="31"/>
      <c r="C4" s="31"/>
      <c r="D4" s="31"/>
      <c r="E4" s="208"/>
      <c r="F4" s="32"/>
      <c r="G4" s="32"/>
      <c r="H4" s="32"/>
      <c r="I4" s="32"/>
      <c r="J4" s="32"/>
      <c r="K4" s="32"/>
      <c r="L4" s="32"/>
      <c r="M4" s="33"/>
      <c r="N4" s="32" t="s">
        <v>33</v>
      </c>
    </row>
    <row r="5" spans="1:14" ht="30" customHeight="1">
      <c r="A5" s="34" t="s">
        <v>38</v>
      </c>
      <c r="B5" s="35"/>
      <c r="C5" s="36"/>
      <c r="D5" s="36"/>
      <c r="E5" s="36"/>
      <c r="F5" s="36"/>
      <c r="G5" s="36"/>
      <c r="H5" s="36"/>
      <c r="I5" s="36"/>
      <c r="J5" s="36"/>
      <c r="K5" s="37"/>
      <c r="L5" s="37"/>
      <c r="M5" s="38"/>
      <c r="N5" s="39"/>
    </row>
    <row r="6" spans="1:14" ht="22.5" customHeight="1">
      <c r="A6" s="40" t="s">
        <v>34</v>
      </c>
      <c r="B6" s="41">
        <v>400</v>
      </c>
      <c r="C6" s="41">
        <v>400</v>
      </c>
      <c r="D6" s="41">
        <v>600</v>
      </c>
      <c r="E6" s="41">
        <v>800</v>
      </c>
      <c r="F6" s="41"/>
      <c r="G6" s="41"/>
      <c r="H6" s="41"/>
      <c r="I6" s="41"/>
      <c r="J6" s="41"/>
      <c r="K6" s="41"/>
      <c r="L6" s="41"/>
      <c r="M6" s="41"/>
      <c r="N6" s="42">
        <f>SUM(B6:M6)</f>
        <v>2200</v>
      </c>
    </row>
    <row r="7" spans="1:14" ht="22.5" customHeight="1">
      <c r="A7" s="40" t="s">
        <v>35</v>
      </c>
      <c r="B7" s="41">
        <v>2500</v>
      </c>
      <c r="C7" s="41">
        <v>2500</v>
      </c>
      <c r="D7" s="41">
        <v>2500</v>
      </c>
      <c r="E7" s="41">
        <v>2500</v>
      </c>
      <c r="F7" s="41"/>
      <c r="G7" s="41"/>
      <c r="H7" s="41"/>
      <c r="I7" s="41"/>
      <c r="J7" s="41"/>
      <c r="K7" s="41"/>
      <c r="L7" s="41"/>
      <c r="M7" s="41"/>
      <c r="N7" s="39"/>
    </row>
    <row r="8" spans="1:14" ht="22.5" customHeight="1" thickBot="1">
      <c r="A8" s="43" t="s">
        <v>36</v>
      </c>
      <c r="B8" s="44">
        <f>B6*B7</f>
        <v>1000000</v>
      </c>
      <c r="C8" s="44">
        <f t="shared" ref="C8:M8" si="0">C6*C7</f>
        <v>1000000</v>
      </c>
      <c r="D8" s="44">
        <f t="shared" si="0"/>
        <v>1500000</v>
      </c>
      <c r="E8" s="44">
        <f t="shared" si="0"/>
        <v>2000000</v>
      </c>
      <c r="F8" s="44">
        <f t="shared" si="0"/>
        <v>0</v>
      </c>
      <c r="G8" s="44">
        <f t="shared" si="0"/>
        <v>0</v>
      </c>
      <c r="H8" s="44">
        <f t="shared" si="0"/>
        <v>0</v>
      </c>
      <c r="I8" s="44">
        <f t="shared" si="0"/>
        <v>0</v>
      </c>
      <c r="J8" s="44">
        <f t="shared" si="0"/>
        <v>0</v>
      </c>
      <c r="K8" s="44">
        <f t="shared" si="0"/>
        <v>0</v>
      </c>
      <c r="L8" s="44">
        <f t="shared" si="0"/>
        <v>0</v>
      </c>
      <c r="M8" s="44">
        <f t="shared" si="0"/>
        <v>0</v>
      </c>
      <c r="N8" s="45"/>
    </row>
    <row r="9" spans="1:14" ht="22.5" customHeight="1">
      <c r="A9" s="118" t="s">
        <v>141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39"/>
    </row>
    <row r="10" spans="1:14" ht="22.5" customHeight="1">
      <c r="A10" s="40" t="s">
        <v>34</v>
      </c>
      <c r="B10" s="41">
        <v>400</v>
      </c>
      <c r="C10" s="41">
        <v>400</v>
      </c>
      <c r="D10" s="41">
        <v>600</v>
      </c>
      <c r="E10" s="41">
        <v>800</v>
      </c>
      <c r="F10" s="41"/>
      <c r="G10" s="41"/>
      <c r="H10" s="41"/>
      <c r="I10" s="41"/>
      <c r="J10" s="41"/>
      <c r="K10" s="41"/>
      <c r="L10" s="41"/>
      <c r="M10" s="41"/>
      <c r="N10" s="120"/>
    </row>
    <row r="11" spans="1:14" ht="22.5" customHeight="1">
      <c r="A11" s="40" t="s">
        <v>35</v>
      </c>
      <c r="B11" s="41">
        <v>2000</v>
      </c>
      <c r="C11" s="41">
        <v>2000</v>
      </c>
      <c r="D11" s="41">
        <v>2000</v>
      </c>
      <c r="E11" s="41">
        <v>2000</v>
      </c>
      <c r="F11" s="41"/>
      <c r="G11" s="41"/>
      <c r="H11" s="41"/>
      <c r="I11" s="41"/>
      <c r="J11" s="41"/>
      <c r="K11" s="41"/>
      <c r="L11" s="41"/>
      <c r="M11" s="41"/>
      <c r="N11" s="120"/>
    </row>
    <row r="12" spans="1:14" ht="22.5" customHeight="1" thickBot="1">
      <c r="A12" s="119" t="s">
        <v>36</v>
      </c>
      <c r="B12" s="44">
        <f>B10*B11</f>
        <v>800000</v>
      </c>
      <c r="C12" s="44">
        <f>C10*C11</f>
        <v>800000</v>
      </c>
      <c r="D12" s="44">
        <f>D10*D11</f>
        <v>1200000</v>
      </c>
      <c r="E12" s="44">
        <f>E10*E11</f>
        <v>1600000</v>
      </c>
      <c r="F12" s="47"/>
      <c r="G12" s="47"/>
      <c r="H12" s="47"/>
      <c r="I12" s="47"/>
      <c r="J12" s="47"/>
      <c r="K12" s="47"/>
      <c r="L12" s="47"/>
      <c r="M12" s="47"/>
      <c r="N12" s="39"/>
    </row>
    <row r="13" spans="1:14" ht="22.5" customHeight="1">
      <c r="A13" s="34" t="s">
        <v>142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138"/>
    </row>
    <row r="14" spans="1:14" ht="22.5" customHeight="1">
      <c r="A14" s="40" t="s">
        <v>34</v>
      </c>
      <c r="B14" s="41">
        <v>400</v>
      </c>
      <c r="C14" s="41">
        <v>400</v>
      </c>
      <c r="D14" s="41">
        <v>600</v>
      </c>
      <c r="E14" s="41">
        <v>800</v>
      </c>
      <c r="F14" s="41"/>
      <c r="G14" s="41"/>
      <c r="H14" s="41"/>
      <c r="I14" s="41"/>
      <c r="J14" s="41"/>
      <c r="K14" s="41"/>
      <c r="L14" s="41"/>
      <c r="M14" s="41"/>
      <c r="N14" s="120"/>
    </row>
    <row r="15" spans="1:14" ht="22.5" customHeight="1">
      <c r="A15" s="40" t="s">
        <v>35</v>
      </c>
      <c r="B15" s="41">
        <v>4000</v>
      </c>
      <c r="C15" s="41">
        <v>4000</v>
      </c>
      <c r="D15" s="41">
        <v>4000</v>
      </c>
      <c r="E15" s="41">
        <v>4000</v>
      </c>
      <c r="F15" s="41"/>
      <c r="G15" s="41"/>
      <c r="H15" s="41"/>
      <c r="I15" s="41"/>
      <c r="J15" s="41"/>
      <c r="K15" s="41"/>
      <c r="L15" s="41"/>
      <c r="M15" s="41"/>
      <c r="N15" s="120"/>
    </row>
    <row r="16" spans="1:14" ht="22.5" customHeight="1" thickBot="1">
      <c r="A16" s="43" t="s">
        <v>36</v>
      </c>
      <c r="B16" s="44">
        <f>B14*B15</f>
        <v>1600000</v>
      </c>
      <c r="C16" s="44">
        <f>C14*C15</f>
        <v>1600000</v>
      </c>
      <c r="D16" s="44">
        <f>D14*D15</f>
        <v>2400000</v>
      </c>
      <c r="E16" s="44">
        <f>E14*E15</f>
        <v>3200000</v>
      </c>
      <c r="F16" s="47"/>
      <c r="G16" s="47"/>
      <c r="H16" s="47"/>
      <c r="I16" s="47"/>
      <c r="J16" s="47"/>
      <c r="K16" s="47"/>
      <c r="L16" s="47"/>
      <c r="M16" s="47"/>
      <c r="N16" s="39"/>
    </row>
    <row r="17" spans="1:14" ht="30" customHeight="1">
      <c r="A17" s="118" t="s">
        <v>39</v>
      </c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50"/>
    </row>
    <row r="18" spans="1:14" ht="22.5" customHeight="1">
      <c r="A18" s="40" t="s">
        <v>34</v>
      </c>
      <c r="B18" s="41">
        <v>400</v>
      </c>
      <c r="C18" s="41">
        <v>400</v>
      </c>
      <c r="D18" s="41">
        <v>600</v>
      </c>
      <c r="E18" s="41">
        <v>800</v>
      </c>
      <c r="F18" s="41"/>
      <c r="G18" s="41"/>
      <c r="H18" s="41"/>
      <c r="I18" s="41"/>
      <c r="J18" s="41"/>
      <c r="K18" s="41"/>
      <c r="L18" s="41"/>
      <c r="M18" s="41"/>
      <c r="N18" s="42">
        <f>SUM(B18:M18)</f>
        <v>2200</v>
      </c>
    </row>
    <row r="19" spans="1:14" ht="22.5" customHeight="1">
      <c r="A19" s="40" t="s">
        <v>35</v>
      </c>
      <c r="B19" s="41">
        <v>6000</v>
      </c>
      <c r="C19" s="41">
        <v>6000</v>
      </c>
      <c r="D19" s="41">
        <v>6000</v>
      </c>
      <c r="E19" s="41">
        <v>6000</v>
      </c>
      <c r="F19" s="41"/>
      <c r="G19" s="41"/>
      <c r="H19" s="41"/>
      <c r="I19" s="41"/>
      <c r="J19" s="41"/>
      <c r="K19" s="41"/>
      <c r="L19" s="41"/>
      <c r="M19" s="41"/>
      <c r="N19" s="39"/>
    </row>
    <row r="20" spans="1:14" ht="22.5" customHeight="1" thickBot="1">
      <c r="A20" s="48" t="s">
        <v>36</v>
      </c>
      <c r="B20" s="47">
        <f>B19*B18</f>
        <v>2400000</v>
      </c>
      <c r="C20" s="47">
        <f t="shared" ref="C20:M20" si="1">C19*C18</f>
        <v>2400000</v>
      </c>
      <c r="D20" s="47">
        <f t="shared" si="1"/>
        <v>3600000</v>
      </c>
      <c r="E20" s="47">
        <f t="shared" si="1"/>
        <v>4800000</v>
      </c>
      <c r="F20" s="47">
        <f t="shared" si="1"/>
        <v>0</v>
      </c>
      <c r="G20" s="47">
        <f t="shared" si="1"/>
        <v>0</v>
      </c>
      <c r="H20" s="47">
        <f t="shared" si="1"/>
        <v>0</v>
      </c>
      <c r="I20" s="47">
        <f t="shared" si="1"/>
        <v>0</v>
      </c>
      <c r="J20" s="47">
        <f t="shared" si="1"/>
        <v>0</v>
      </c>
      <c r="K20" s="47">
        <f t="shared" si="1"/>
        <v>0</v>
      </c>
      <c r="L20" s="47">
        <f t="shared" si="1"/>
        <v>0</v>
      </c>
      <c r="M20" s="47">
        <f t="shared" si="1"/>
        <v>0</v>
      </c>
      <c r="N20" s="39"/>
    </row>
    <row r="21" spans="1:14" ht="30" customHeight="1">
      <c r="A21" s="34" t="s">
        <v>40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50"/>
    </row>
    <row r="22" spans="1:14" ht="22.5" customHeight="1">
      <c r="A22" s="40" t="s">
        <v>34</v>
      </c>
      <c r="B22" s="54">
        <v>400</v>
      </c>
      <c r="C22" s="54">
        <v>400</v>
      </c>
      <c r="D22" s="54">
        <v>600</v>
      </c>
      <c r="E22" s="54">
        <v>800</v>
      </c>
      <c r="F22" s="54"/>
      <c r="G22" s="54"/>
      <c r="H22" s="54"/>
      <c r="I22" s="54"/>
      <c r="J22" s="54"/>
      <c r="K22" s="54"/>
      <c r="L22" s="54"/>
      <c r="M22" s="54"/>
      <c r="N22" s="42">
        <f>SUM(B22:M22)</f>
        <v>2200</v>
      </c>
    </row>
    <row r="23" spans="1:14" ht="22.5" customHeight="1">
      <c r="A23" s="40" t="s">
        <v>35</v>
      </c>
      <c r="B23" s="54">
        <v>3000</v>
      </c>
      <c r="C23" s="54">
        <v>3000</v>
      </c>
      <c r="D23" s="54">
        <v>3000</v>
      </c>
      <c r="E23" s="54">
        <v>3000</v>
      </c>
      <c r="F23" s="54"/>
      <c r="G23" s="54"/>
      <c r="H23" s="54"/>
      <c r="I23" s="54"/>
      <c r="J23" s="54"/>
      <c r="K23" s="54"/>
      <c r="L23" s="54"/>
      <c r="M23" s="54"/>
      <c r="N23" s="39"/>
    </row>
    <row r="24" spans="1:14" ht="22.5" customHeight="1" thickBot="1">
      <c r="A24" s="43" t="s">
        <v>36</v>
      </c>
      <c r="B24" s="55">
        <f>B23*B22</f>
        <v>1200000</v>
      </c>
      <c r="C24" s="55">
        <f t="shared" ref="C24:M24" si="2">C23*C22</f>
        <v>1200000</v>
      </c>
      <c r="D24" s="55">
        <f t="shared" si="2"/>
        <v>1800000</v>
      </c>
      <c r="E24" s="55">
        <f t="shared" si="2"/>
        <v>2400000</v>
      </c>
      <c r="F24" s="55">
        <f t="shared" si="2"/>
        <v>0</v>
      </c>
      <c r="G24" s="55">
        <f t="shared" si="2"/>
        <v>0</v>
      </c>
      <c r="H24" s="55">
        <f t="shared" si="2"/>
        <v>0</v>
      </c>
      <c r="I24" s="55">
        <f t="shared" si="2"/>
        <v>0</v>
      </c>
      <c r="J24" s="55">
        <f t="shared" si="2"/>
        <v>0</v>
      </c>
      <c r="K24" s="55">
        <f t="shared" si="2"/>
        <v>0</v>
      </c>
      <c r="L24" s="55">
        <f t="shared" si="2"/>
        <v>0</v>
      </c>
      <c r="M24" s="55">
        <f t="shared" si="2"/>
        <v>0</v>
      </c>
      <c r="N24" s="45"/>
    </row>
    <row r="25" spans="1:14" ht="30" customHeight="1">
      <c r="A25" s="34" t="s">
        <v>143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39"/>
    </row>
    <row r="26" spans="1:14" ht="22.5" customHeight="1">
      <c r="A26" s="40" t="s">
        <v>34</v>
      </c>
      <c r="B26" s="41">
        <v>200</v>
      </c>
      <c r="C26" s="41">
        <v>200</v>
      </c>
      <c r="D26" s="41">
        <v>300</v>
      </c>
      <c r="E26" s="41">
        <v>400</v>
      </c>
      <c r="F26" s="41"/>
      <c r="G26" s="41"/>
      <c r="H26" s="41"/>
      <c r="I26" s="41"/>
      <c r="J26" s="41"/>
      <c r="K26" s="41"/>
      <c r="L26" s="41"/>
      <c r="M26" s="41"/>
      <c r="N26" s="120"/>
    </row>
    <row r="27" spans="1:14" ht="22.5" customHeight="1">
      <c r="A27" s="40" t="s">
        <v>35</v>
      </c>
      <c r="B27" s="41">
        <v>3000</v>
      </c>
      <c r="C27" s="41">
        <v>3000</v>
      </c>
      <c r="D27" s="41">
        <v>3000</v>
      </c>
      <c r="E27" s="41">
        <v>3000</v>
      </c>
      <c r="F27" s="41"/>
      <c r="G27" s="41"/>
      <c r="H27" s="41"/>
      <c r="I27" s="41"/>
      <c r="J27" s="41"/>
      <c r="K27" s="41"/>
      <c r="L27" s="41"/>
      <c r="M27" s="41"/>
      <c r="N27" s="120"/>
    </row>
    <row r="28" spans="1:14" ht="22.5" customHeight="1" thickBot="1">
      <c r="A28" s="43" t="s">
        <v>36</v>
      </c>
      <c r="B28" s="55">
        <f>B27*B26</f>
        <v>600000</v>
      </c>
      <c r="C28" s="55">
        <f>C27*C26</f>
        <v>600000</v>
      </c>
      <c r="D28" s="44">
        <f>D26*D27</f>
        <v>900000</v>
      </c>
      <c r="E28" s="44">
        <f>E26*E27</f>
        <v>1200000</v>
      </c>
      <c r="F28" s="44"/>
      <c r="G28" s="44"/>
      <c r="H28" s="44"/>
      <c r="I28" s="44"/>
      <c r="J28" s="44"/>
      <c r="K28" s="44"/>
      <c r="L28" s="44"/>
      <c r="M28" s="44"/>
      <c r="N28" s="139"/>
    </row>
    <row r="29" spans="1:14" ht="22.5" customHeight="1">
      <c r="A29" s="34" t="s">
        <v>170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39"/>
    </row>
    <row r="30" spans="1:14" ht="22.5" customHeight="1">
      <c r="A30" s="40" t="s">
        <v>34</v>
      </c>
      <c r="B30" s="41">
        <v>200</v>
      </c>
      <c r="C30" s="41">
        <v>200</v>
      </c>
      <c r="D30" s="41">
        <v>300</v>
      </c>
      <c r="E30" s="41">
        <v>400</v>
      </c>
      <c r="F30" s="41"/>
      <c r="G30" s="41"/>
      <c r="H30" s="41"/>
      <c r="I30" s="41"/>
      <c r="J30" s="41"/>
      <c r="K30" s="41"/>
      <c r="L30" s="41"/>
      <c r="M30" s="41"/>
      <c r="N30" s="137"/>
    </row>
    <row r="31" spans="1:14" ht="22.5" customHeight="1">
      <c r="A31" s="40" t="s">
        <v>35</v>
      </c>
      <c r="B31" s="41">
        <v>3000</v>
      </c>
      <c r="C31" s="41">
        <v>3000</v>
      </c>
      <c r="D31" s="41">
        <v>3000</v>
      </c>
      <c r="E31" s="41">
        <v>3000</v>
      </c>
      <c r="F31" s="41"/>
      <c r="G31" s="41"/>
      <c r="H31" s="41"/>
      <c r="I31" s="41"/>
      <c r="J31" s="41"/>
      <c r="K31" s="41"/>
      <c r="L31" s="41"/>
      <c r="M31" s="41"/>
      <c r="N31" s="137"/>
    </row>
    <row r="32" spans="1:14" ht="22.5" customHeight="1" thickBot="1">
      <c r="A32" s="43" t="s">
        <v>36</v>
      </c>
      <c r="B32" s="55">
        <f>B31*B30</f>
        <v>600000</v>
      </c>
      <c r="C32" s="55">
        <f>C31*C30</f>
        <v>600000</v>
      </c>
      <c r="D32" s="55">
        <f>D31*D30</f>
        <v>900000</v>
      </c>
      <c r="E32" s="55">
        <f>E31*E30</f>
        <v>1200000</v>
      </c>
      <c r="F32" s="55"/>
      <c r="G32" s="55"/>
      <c r="H32" s="55"/>
      <c r="I32" s="55"/>
      <c r="J32" s="55"/>
      <c r="K32" s="55"/>
      <c r="L32" s="55"/>
      <c r="M32" s="55"/>
      <c r="N32" s="45"/>
    </row>
    <row r="33" spans="1:14" ht="30" customHeight="1">
      <c r="A33" s="46" t="s">
        <v>108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39"/>
    </row>
    <row r="34" spans="1:14" ht="22.5" customHeight="1">
      <c r="A34" s="40" t="s">
        <v>34</v>
      </c>
      <c r="B34" s="41">
        <v>300</v>
      </c>
      <c r="C34" s="41">
        <v>300</v>
      </c>
      <c r="D34" s="41">
        <v>450</v>
      </c>
      <c r="E34" s="41">
        <v>600</v>
      </c>
      <c r="F34" s="41"/>
      <c r="G34" s="41"/>
      <c r="H34" s="41"/>
      <c r="I34" s="41"/>
      <c r="J34" s="41"/>
      <c r="K34" s="41"/>
      <c r="L34" s="41"/>
      <c r="M34" s="41"/>
      <c r="N34" s="120"/>
    </row>
    <row r="35" spans="1:14" ht="22.5" customHeight="1">
      <c r="A35" s="40" t="s">
        <v>35</v>
      </c>
      <c r="B35" s="41">
        <v>2000</v>
      </c>
      <c r="C35" s="41">
        <v>2000</v>
      </c>
      <c r="D35" s="41">
        <v>2000</v>
      </c>
      <c r="E35" s="41">
        <v>2000</v>
      </c>
      <c r="F35" s="41"/>
      <c r="G35" s="41"/>
      <c r="H35" s="41"/>
      <c r="I35" s="41"/>
      <c r="J35" s="41"/>
      <c r="K35" s="41"/>
      <c r="L35" s="41"/>
      <c r="M35" s="41"/>
      <c r="N35" s="120"/>
    </row>
    <row r="36" spans="1:14" ht="22.5" customHeight="1" thickBot="1">
      <c r="A36" s="43" t="s">
        <v>36</v>
      </c>
      <c r="B36" s="44">
        <f>B35*B34</f>
        <v>600000</v>
      </c>
      <c r="C36" s="44">
        <f t="shared" ref="C36:D36" si="3">C35*C34</f>
        <v>600000</v>
      </c>
      <c r="D36" s="44">
        <f t="shared" si="3"/>
        <v>900000</v>
      </c>
      <c r="E36" s="44">
        <f t="shared" ref="E36" si="4">E35*E34</f>
        <v>1200000</v>
      </c>
      <c r="F36" s="44">
        <f t="shared" ref="F36" si="5">F35*F34</f>
        <v>0</v>
      </c>
      <c r="G36" s="44">
        <f t="shared" ref="G36:H36" si="6">G35*G34</f>
        <v>0</v>
      </c>
      <c r="H36" s="44">
        <f t="shared" si="6"/>
        <v>0</v>
      </c>
      <c r="I36" s="44">
        <f t="shared" ref="I36" si="7">I35*I34</f>
        <v>0</v>
      </c>
      <c r="J36" s="44">
        <f t="shared" ref="J36" si="8">J35*J34</f>
        <v>0</v>
      </c>
      <c r="K36" s="44">
        <f t="shared" ref="K36" si="9">K35*K34</f>
        <v>0</v>
      </c>
      <c r="L36" s="44">
        <f t="shared" ref="L36" si="10">L35*L34</f>
        <v>0</v>
      </c>
      <c r="M36" s="44">
        <f t="shared" ref="M36" si="11">M35*M34</f>
        <v>0</v>
      </c>
      <c r="N36" s="139"/>
    </row>
    <row r="37" spans="1:14" ht="30" customHeight="1">
      <c r="A37" s="140" t="s">
        <v>26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39"/>
    </row>
    <row r="38" spans="1:14" ht="22.5" customHeight="1">
      <c r="A38" s="40" t="s">
        <v>34</v>
      </c>
      <c r="B38" s="41">
        <v>160</v>
      </c>
      <c r="C38" s="41">
        <v>160</v>
      </c>
      <c r="D38" s="41">
        <v>240</v>
      </c>
      <c r="E38" s="41">
        <v>320</v>
      </c>
      <c r="F38" s="41"/>
      <c r="G38" s="41"/>
      <c r="H38" s="41"/>
      <c r="I38" s="41"/>
      <c r="J38" s="41"/>
      <c r="K38" s="41"/>
      <c r="L38" s="41"/>
      <c r="M38" s="41"/>
      <c r="N38" s="120"/>
    </row>
    <row r="39" spans="1:14" ht="22.5" customHeight="1">
      <c r="A39" s="40" t="s">
        <v>35</v>
      </c>
      <c r="B39" s="41">
        <v>2000</v>
      </c>
      <c r="C39" s="41">
        <v>2000</v>
      </c>
      <c r="D39" s="41">
        <v>2000</v>
      </c>
      <c r="E39" s="41">
        <v>2000</v>
      </c>
      <c r="F39" s="41"/>
      <c r="G39" s="41"/>
      <c r="H39" s="41"/>
      <c r="I39" s="41"/>
      <c r="J39" s="41"/>
      <c r="K39" s="41"/>
      <c r="L39" s="41"/>
      <c r="M39" s="41"/>
      <c r="N39" s="120"/>
    </row>
    <row r="40" spans="1:14" ht="22.5" customHeight="1" thickBot="1">
      <c r="A40" s="119" t="s">
        <v>36</v>
      </c>
      <c r="B40" s="44">
        <f>B39*B38</f>
        <v>320000</v>
      </c>
      <c r="C40" s="44">
        <f>C39*C38</f>
        <v>320000</v>
      </c>
      <c r="D40" s="44">
        <f>D38*D39</f>
        <v>480000</v>
      </c>
      <c r="E40" s="44">
        <f>E38*E39</f>
        <v>640000</v>
      </c>
      <c r="F40" s="44"/>
      <c r="G40" s="44"/>
      <c r="H40" s="44"/>
      <c r="I40" s="44"/>
      <c r="J40" s="44"/>
      <c r="K40" s="44"/>
      <c r="L40" s="44"/>
      <c r="M40" s="44"/>
      <c r="N40" s="139"/>
    </row>
    <row r="41" spans="1:14" ht="30" customHeight="1">
      <c r="A41" s="34" t="s">
        <v>144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39"/>
    </row>
    <row r="42" spans="1:14" ht="22.5" customHeight="1">
      <c r="A42" s="40" t="s">
        <v>34</v>
      </c>
      <c r="B42" s="41">
        <v>80</v>
      </c>
      <c r="C42" s="41">
        <v>80</v>
      </c>
      <c r="D42" s="41">
        <v>120</v>
      </c>
      <c r="E42" s="41">
        <v>160</v>
      </c>
      <c r="F42" s="41"/>
      <c r="G42" s="41"/>
      <c r="H42" s="41"/>
      <c r="I42" s="41"/>
      <c r="J42" s="41"/>
      <c r="K42" s="41"/>
      <c r="L42" s="41"/>
      <c r="M42" s="41"/>
      <c r="N42" s="120"/>
    </row>
    <row r="43" spans="1:14" ht="22.5" customHeight="1">
      <c r="A43" s="40" t="s">
        <v>35</v>
      </c>
      <c r="B43" s="41">
        <v>2000</v>
      </c>
      <c r="C43" s="41">
        <v>2000</v>
      </c>
      <c r="D43" s="41">
        <v>2000</v>
      </c>
      <c r="E43" s="41">
        <v>2000</v>
      </c>
      <c r="F43" s="41"/>
      <c r="G43" s="41"/>
      <c r="H43" s="41"/>
      <c r="I43" s="41"/>
      <c r="J43" s="41"/>
      <c r="K43" s="41"/>
      <c r="L43" s="41"/>
      <c r="M43" s="41"/>
      <c r="N43" s="120"/>
    </row>
    <row r="44" spans="1:14" ht="22.5" customHeight="1" thickBot="1">
      <c r="A44" s="119" t="s">
        <v>36</v>
      </c>
      <c r="B44" s="44">
        <f>B43*B42</f>
        <v>160000</v>
      </c>
      <c r="C44" s="44">
        <f>C43*C42</f>
        <v>160000</v>
      </c>
      <c r="D44" s="44">
        <f>D42*D43</f>
        <v>240000</v>
      </c>
      <c r="E44" s="44">
        <f>E42*E43</f>
        <v>320000</v>
      </c>
      <c r="F44" s="44"/>
      <c r="G44" s="44"/>
      <c r="H44" s="44"/>
      <c r="I44" s="44"/>
      <c r="J44" s="44"/>
      <c r="K44" s="44"/>
      <c r="L44" s="44"/>
      <c r="M44" s="44"/>
      <c r="N44" s="139"/>
    </row>
    <row r="45" spans="1:14" ht="30" customHeight="1">
      <c r="A45" s="34" t="s">
        <v>145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39"/>
    </row>
    <row r="46" spans="1:14" ht="22.5" customHeight="1">
      <c r="A46" s="40" t="s">
        <v>34</v>
      </c>
      <c r="B46" s="41">
        <v>80</v>
      </c>
      <c r="C46" s="41">
        <v>80</v>
      </c>
      <c r="D46" s="41">
        <v>120</v>
      </c>
      <c r="E46" s="41">
        <v>320</v>
      </c>
      <c r="F46" s="41"/>
      <c r="G46" s="41"/>
      <c r="H46" s="41"/>
      <c r="I46" s="41"/>
      <c r="J46" s="41"/>
      <c r="K46" s="41"/>
      <c r="L46" s="41"/>
      <c r="M46" s="41"/>
      <c r="N46" s="137"/>
    </row>
    <row r="47" spans="1:14" ht="22.5" customHeight="1">
      <c r="A47" s="40" t="s">
        <v>35</v>
      </c>
      <c r="B47" s="41">
        <v>2000</v>
      </c>
      <c r="C47" s="41">
        <v>2000</v>
      </c>
      <c r="D47" s="41">
        <v>2000</v>
      </c>
      <c r="E47" s="41">
        <v>2000</v>
      </c>
      <c r="F47" s="41"/>
      <c r="G47" s="41"/>
      <c r="H47" s="41"/>
      <c r="I47" s="41"/>
      <c r="J47" s="41"/>
      <c r="K47" s="41"/>
      <c r="L47" s="41"/>
      <c r="M47" s="41"/>
      <c r="N47" s="137"/>
    </row>
    <row r="48" spans="1:14" ht="22.5" customHeight="1" thickBot="1">
      <c r="A48" s="119" t="s">
        <v>36</v>
      </c>
      <c r="B48" s="44">
        <f>B47*B46</f>
        <v>160000</v>
      </c>
      <c r="C48" s="44">
        <f>C47*C46</f>
        <v>160000</v>
      </c>
      <c r="D48" s="44">
        <f>D46*D47</f>
        <v>240000</v>
      </c>
      <c r="E48" s="44">
        <f>E46*E47</f>
        <v>640000</v>
      </c>
      <c r="F48" s="44"/>
      <c r="G48" s="44"/>
      <c r="H48" s="44"/>
      <c r="I48" s="44"/>
      <c r="J48" s="44"/>
      <c r="K48" s="44"/>
      <c r="L48" s="44"/>
      <c r="M48" s="44"/>
      <c r="N48" s="139"/>
    </row>
    <row r="49" spans="1:14" ht="30" customHeight="1">
      <c r="A49" s="34" t="s">
        <v>146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39"/>
    </row>
    <row r="50" spans="1:14" ht="22.5" customHeight="1">
      <c r="A50" s="40" t="s">
        <v>34</v>
      </c>
      <c r="B50" s="41">
        <v>80</v>
      </c>
      <c r="C50" s="41">
        <v>80</v>
      </c>
      <c r="D50" s="41">
        <v>120</v>
      </c>
      <c r="E50" s="41">
        <v>160</v>
      </c>
      <c r="F50" s="41"/>
      <c r="G50" s="41"/>
      <c r="H50" s="41"/>
      <c r="I50" s="41"/>
      <c r="J50" s="41"/>
      <c r="K50" s="41"/>
      <c r="L50" s="41"/>
      <c r="M50" s="41"/>
      <c r="N50" s="137"/>
    </row>
    <row r="51" spans="1:14" ht="22.5" customHeight="1">
      <c r="A51" s="40" t="s">
        <v>35</v>
      </c>
      <c r="B51" s="41">
        <v>2000</v>
      </c>
      <c r="C51" s="41">
        <v>2000</v>
      </c>
      <c r="D51" s="41">
        <v>2000</v>
      </c>
      <c r="E51" s="41">
        <v>2000</v>
      </c>
      <c r="F51" s="41"/>
      <c r="G51" s="41"/>
      <c r="H51" s="41"/>
      <c r="I51" s="41"/>
      <c r="J51" s="41"/>
      <c r="K51" s="41"/>
      <c r="L51" s="41"/>
      <c r="M51" s="41"/>
      <c r="N51" s="137"/>
    </row>
    <row r="52" spans="1:14" ht="22.5" customHeight="1" thickBot="1">
      <c r="A52" s="119" t="s">
        <v>36</v>
      </c>
      <c r="B52" s="44">
        <f>B51*B50</f>
        <v>160000</v>
      </c>
      <c r="C52" s="44">
        <f>C51*C50</f>
        <v>160000</v>
      </c>
      <c r="D52" s="44">
        <f>D50*D51</f>
        <v>240000</v>
      </c>
      <c r="E52" s="44">
        <f>E50*E51</f>
        <v>320000</v>
      </c>
      <c r="F52" s="44"/>
      <c r="G52" s="44"/>
      <c r="H52" s="44"/>
      <c r="I52" s="44"/>
      <c r="J52" s="44"/>
      <c r="K52" s="44"/>
      <c r="L52" s="44"/>
      <c r="M52" s="44"/>
      <c r="N52" s="139"/>
    </row>
    <row r="53" spans="1:14" ht="30" customHeight="1">
      <c r="A53" s="34" t="s">
        <v>147</v>
      </c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39"/>
    </row>
    <row r="54" spans="1:14" ht="22.5" customHeight="1">
      <c r="A54" s="40" t="s">
        <v>34</v>
      </c>
      <c r="B54" s="41">
        <v>80</v>
      </c>
      <c r="C54" s="41">
        <v>80</v>
      </c>
      <c r="D54" s="41">
        <v>120</v>
      </c>
      <c r="E54" s="41">
        <v>160</v>
      </c>
      <c r="F54" s="41"/>
      <c r="G54" s="41"/>
      <c r="H54" s="41"/>
      <c r="I54" s="41"/>
      <c r="J54" s="41"/>
      <c r="K54" s="41"/>
      <c r="L54" s="41"/>
      <c r="M54" s="41"/>
      <c r="N54" s="137"/>
    </row>
    <row r="55" spans="1:14" ht="22.5" customHeight="1">
      <c r="A55" s="40" t="s">
        <v>35</v>
      </c>
      <c r="B55" s="41">
        <v>2500</v>
      </c>
      <c r="C55" s="41">
        <v>2500</v>
      </c>
      <c r="D55" s="41">
        <v>2500</v>
      </c>
      <c r="E55" s="41">
        <v>2500</v>
      </c>
      <c r="F55" s="41"/>
      <c r="G55" s="41"/>
      <c r="H55" s="41"/>
      <c r="I55" s="41"/>
      <c r="J55" s="41"/>
      <c r="K55" s="41"/>
      <c r="L55" s="41"/>
      <c r="M55" s="41"/>
      <c r="N55" s="137"/>
    </row>
    <row r="56" spans="1:14" ht="22.5" customHeight="1" thickBot="1">
      <c r="A56" s="119" t="s">
        <v>36</v>
      </c>
      <c r="B56" s="44">
        <f>B55*B54</f>
        <v>200000</v>
      </c>
      <c r="C56" s="44">
        <f>C55*C54</f>
        <v>200000</v>
      </c>
      <c r="D56" s="44">
        <f>D54*D55</f>
        <v>300000</v>
      </c>
      <c r="E56" s="44">
        <f>E54*E55</f>
        <v>400000</v>
      </c>
      <c r="F56" s="44"/>
      <c r="G56" s="44"/>
      <c r="H56" s="44"/>
      <c r="I56" s="44"/>
      <c r="J56" s="44"/>
      <c r="K56" s="44"/>
      <c r="L56" s="44"/>
      <c r="M56" s="44"/>
      <c r="N56" s="139"/>
    </row>
    <row r="57" spans="1:14" ht="30" customHeight="1">
      <c r="A57" s="34" t="s">
        <v>148</v>
      </c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39"/>
    </row>
    <row r="58" spans="1:14" ht="22.5" customHeight="1">
      <c r="A58" s="40" t="s">
        <v>34</v>
      </c>
      <c r="B58" s="41">
        <v>80</v>
      </c>
      <c r="C58" s="41">
        <v>80</v>
      </c>
      <c r="D58" s="41">
        <v>120</v>
      </c>
      <c r="E58" s="41">
        <v>160</v>
      </c>
      <c r="F58" s="41"/>
      <c r="G58" s="41"/>
      <c r="H58" s="41"/>
      <c r="I58" s="41"/>
      <c r="J58" s="41"/>
      <c r="K58" s="41"/>
      <c r="L58" s="41"/>
      <c r="M58" s="41"/>
      <c r="N58" s="137"/>
    </row>
    <row r="59" spans="1:14" ht="22.5" customHeight="1">
      <c r="A59" s="40" t="s">
        <v>35</v>
      </c>
      <c r="B59" s="41">
        <v>2000</v>
      </c>
      <c r="C59" s="41">
        <v>2000</v>
      </c>
      <c r="D59" s="41">
        <v>2000</v>
      </c>
      <c r="E59" s="41">
        <v>2000</v>
      </c>
      <c r="F59" s="41"/>
      <c r="G59" s="41"/>
      <c r="H59" s="41"/>
      <c r="I59" s="41"/>
      <c r="J59" s="41"/>
      <c r="K59" s="41"/>
      <c r="L59" s="41"/>
      <c r="M59" s="41"/>
      <c r="N59" s="137"/>
    </row>
    <row r="60" spans="1:14" ht="22.5" customHeight="1" thickBot="1">
      <c r="A60" s="119" t="s">
        <v>36</v>
      </c>
      <c r="B60" s="44">
        <f>B59*B58</f>
        <v>160000</v>
      </c>
      <c r="C60" s="44">
        <f>C59*C58</f>
        <v>160000</v>
      </c>
      <c r="D60" s="44">
        <f>D58*D59</f>
        <v>240000</v>
      </c>
      <c r="E60" s="44">
        <f>E58*E59</f>
        <v>320000</v>
      </c>
      <c r="F60" s="44"/>
      <c r="G60" s="44"/>
      <c r="H60" s="44"/>
      <c r="I60" s="44"/>
      <c r="J60" s="44"/>
      <c r="K60" s="44"/>
      <c r="L60" s="44"/>
      <c r="M60" s="44"/>
      <c r="N60" s="139"/>
    </row>
    <row r="61" spans="1:14" ht="30" customHeight="1">
      <c r="A61" s="34" t="s">
        <v>149</v>
      </c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39"/>
    </row>
    <row r="62" spans="1:14" ht="22.5" customHeight="1">
      <c r="A62" s="40" t="s">
        <v>34</v>
      </c>
      <c r="B62" s="41">
        <v>80</v>
      </c>
      <c r="C62" s="41">
        <v>80</v>
      </c>
      <c r="D62" s="41">
        <v>120</v>
      </c>
      <c r="E62" s="41">
        <v>160</v>
      </c>
      <c r="F62" s="41"/>
      <c r="G62" s="41"/>
      <c r="H62" s="41"/>
      <c r="I62" s="41"/>
      <c r="J62" s="41"/>
      <c r="K62" s="41"/>
      <c r="L62" s="41"/>
      <c r="M62" s="41"/>
      <c r="N62" s="137"/>
    </row>
    <row r="63" spans="1:14" ht="22.5" customHeight="1">
      <c r="A63" s="40" t="s">
        <v>35</v>
      </c>
      <c r="B63" s="41">
        <v>2500</v>
      </c>
      <c r="C63" s="41">
        <v>2500</v>
      </c>
      <c r="D63" s="41">
        <v>2500</v>
      </c>
      <c r="E63" s="41">
        <v>2500</v>
      </c>
      <c r="F63" s="41"/>
      <c r="G63" s="41"/>
      <c r="H63" s="41"/>
      <c r="I63" s="41"/>
      <c r="J63" s="41"/>
      <c r="K63" s="41"/>
      <c r="L63" s="41"/>
      <c r="M63" s="41"/>
      <c r="N63" s="137"/>
    </row>
    <row r="64" spans="1:14" ht="22.5" customHeight="1" thickBot="1">
      <c r="A64" s="119" t="s">
        <v>36</v>
      </c>
      <c r="B64" s="44">
        <f>B63*B62</f>
        <v>200000</v>
      </c>
      <c r="C64" s="44">
        <f>C63*C62</f>
        <v>200000</v>
      </c>
      <c r="D64" s="44">
        <f>D62*D63</f>
        <v>300000</v>
      </c>
      <c r="E64" s="44">
        <f>E62*E63</f>
        <v>400000</v>
      </c>
      <c r="F64" s="44"/>
      <c r="G64" s="44"/>
      <c r="H64" s="44"/>
      <c r="I64" s="44"/>
      <c r="J64" s="44"/>
      <c r="K64" s="44"/>
      <c r="L64" s="44"/>
      <c r="M64" s="44"/>
      <c r="N64" s="139"/>
    </row>
    <row r="65" spans="1:14" ht="22.5" customHeight="1">
      <c r="A65" s="34" t="s">
        <v>171</v>
      </c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39"/>
    </row>
    <row r="66" spans="1:14" ht="22.5" customHeight="1">
      <c r="A66" s="40" t="s">
        <v>34</v>
      </c>
      <c r="B66" s="41">
        <v>40</v>
      </c>
      <c r="C66" s="41">
        <v>40</v>
      </c>
      <c r="D66" s="41">
        <v>60</v>
      </c>
      <c r="E66" s="41">
        <v>80</v>
      </c>
      <c r="F66" s="41"/>
      <c r="G66" s="41"/>
      <c r="H66" s="41"/>
      <c r="I66" s="41"/>
      <c r="J66" s="41"/>
      <c r="K66" s="41"/>
      <c r="L66" s="41"/>
      <c r="M66" s="41"/>
      <c r="N66" s="137"/>
    </row>
    <row r="67" spans="1:14" ht="22.5" customHeight="1">
      <c r="A67" s="40" t="s">
        <v>35</v>
      </c>
      <c r="B67" s="41">
        <v>5000</v>
      </c>
      <c r="C67" s="41">
        <v>5000</v>
      </c>
      <c r="D67" s="41">
        <v>5000</v>
      </c>
      <c r="E67" s="41">
        <v>5000</v>
      </c>
      <c r="F67" s="41"/>
      <c r="G67" s="41"/>
      <c r="H67" s="41"/>
      <c r="I67" s="41"/>
      <c r="J67" s="41"/>
      <c r="K67" s="41"/>
      <c r="L67" s="41"/>
      <c r="M67" s="41"/>
      <c r="N67" s="137"/>
    </row>
    <row r="68" spans="1:14" ht="22.5" customHeight="1" thickBot="1">
      <c r="A68" s="119" t="s">
        <v>36</v>
      </c>
      <c r="B68" s="44">
        <f>B67*B66</f>
        <v>200000</v>
      </c>
      <c r="C68" s="44">
        <f>C67*C66</f>
        <v>200000</v>
      </c>
      <c r="D68" s="44">
        <f>D67*D66</f>
        <v>300000</v>
      </c>
      <c r="E68" s="44">
        <f>E67*E66</f>
        <v>400000</v>
      </c>
      <c r="F68" s="55"/>
      <c r="G68" s="55"/>
      <c r="H68" s="55"/>
      <c r="I68" s="55"/>
      <c r="J68" s="55"/>
      <c r="K68" s="55"/>
      <c r="L68" s="55"/>
      <c r="M68" s="55"/>
      <c r="N68" s="45"/>
    </row>
    <row r="69" spans="1:14" ht="30" customHeight="1">
      <c r="A69" s="140" t="s">
        <v>151</v>
      </c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39"/>
    </row>
    <row r="70" spans="1:14" ht="22.5" customHeight="1">
      <c r="A70" s="40" t="s">
        <v>34</v>
      </c>
      <c r="B70" s="41">
        <v>40</v>
      </c>
      <c r="C70" s="41">
        <v>40</v>
      </c>
      <c r="D70" s="41">
        <v>60</v>
      </c>
      <c r="E70" s="41">
        <v>80</v>
      </c>
      <c r="F70" s="41"/>
      <c r="G70" s="41"/>
      <c r="H70" s="41"/>
      <c r="I70" s="41"/>
      <c r="J70" s="41"/>
      <c r="K70" s="41"/>
      <c r="L70" s="41"/>
      <c r="M70" s="41"/>
      <c r="N70" s="137"/>
    </row>
    <row r="71" spans="1:14" ht="22.5" customHeight="1">
      <c r="A71" s="40" t="s">
        <v>35</v>
      </c>
      <c r="B71" s="41">
        <v>11000</v>
      </c>
      <c r="C71" s="41">
        <v>11000</v>
      </c>
      <c r="D71" s="41">
        <v>11000</v>
      </c>
      <c r="E71" s="41">
        <v>11000</v>
      </c>
      <c r="F71" s="41"/>
      <c r="G71" s="41"/>
      <c r="H71" s="41"/>
      <c r="I71" s="41"/>
      <c r="J71" s="41"/>
      <c r="K71" s="41"/>
      <c r="L71" s="41"/>
      <c r="M71" s="41"/>
      <c r="N71" s="137"/>
    </row>
    <row r="72" spans="1:14" ht="22.5" customHeight="1" thickBot="1">
      <c r="A72" s="119" t="s">
        <v>36</v>
      </c>
      <c r="B72" s="44">
        <f>B71*B70</f>
        <v>440000</v>
      </c>
      <c r="C72" s="44">
        <f>C71*C70</f>
        <v>440000</v>
      </c>
      <c r="D72" s="44">
        <f>D70*D71</f>
        <v>660000</v>
      </c>
      <c r="E72" s="44">
        <f>E70*E71</f>
        <v>880000</v>
      </c>
      <c r="F72" s="47"/>
      <c r="G72" s="47"/>
      <c r="H72" s="47"/>
      <c r="I72" s="47"/>
      <c r="J72" s="47"/>
      <c r="K72" s="47"/>
      <c r="L72" s="47"/>
      <c r="M72" s="47"/>
      <c r="N72" s="39"/>
    </row>
    <row r="73" spans="1:14" ht="27" customHeight="1">
      <c r="A73" s="34" t="s">
        <v>150</v>
      </c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50"/>
    </row>
    <row r="74" spans="1:14" ht="22.5" customHeight="1">
      <c r="A74" s="40" t="s">
        <v>34</v>
      </c>
      <c r="B74" s="41">
        <v>40</v>
      </c>
      <c r="C74" s="41">
        <v>40</v>
      </c>
      <c r="D74" s="41">
        <v>60</v>
      </c>
      <c r="E74" s="41">
        <v>80</v>
      </c>
      <c r="F74" s="41"/>
      <c r="G74" s="41"/>
      <c r="H74" s="41"/>
      <c r="I74" s="41"/>
      <c r="J74" s="41"/>
      <c r="K74" s="41"/>
      <c r="L74" s="41"/>
      <c r="M74" s="41"/>
      <c r="N74" s="42">
        <f>SUM(B74:M74)</f>
        <v>220</v>
      </c>
    </row>
    <row r="75" spans="1:14" ht="22.5" customHeight="1">
      <c r="A75" s="40" t="s">
        <v>35</v>
      </c>
      <c r="B75" s="41">
        <v>11000</v>
      </c>
      <c r="C75" s="41">
        <v>11000</v>
      </c>
      <c r="D75" s="41">
        <v>11000</v>
      </c>
      <c r="E75" s="41">
        <v>11000</v>
      </c>
      <c r="F75" s="41"/>
      <c r="G75" s="41"/>
      <c r="H75" s="41"/>
      <c r="I75" s="41"/>
      <c r="J75" s="41"/>
      <c r="K75" s="41"/>
      <c r="L75" s="41"/>
      <c r="M75" s="41"/>
      <c r="N75" s="39"/>
    </row>
    <row r="76" spans="1:14" ht="22.5" customHeight="1" thickBot="1">
      <c r="A76" s="43" t="s">
        <v>36</v>
      </c>
      <c r="B76" s="44">
        <f>B75*B74</f>
        <v>440000</v>
      </c>
      <c r="C76" s="44">
        <f t="shared" ref="C76:M76" si="12">C75*C74</f>
        <v>440000</v>
      </c>
      <c r="D76" s="44">
        <f>D74*D75</f>
        <v>660000</v>
      </c>
      <c r="E76" s="44">
        <f t="shared" si="12"/>
        <v>880000</v>
      </c>
      <c r="F76" s="44">
        <f t="shared" si="12"/>
        <v>0</v>
      </c>
      <c r="G76" s="44">
        <f t="shared" si="12"/>
        <v>0</v>
      </c>
      <c r="H76" s="44">
        <f t="shared" si="12"/>
        <v>0</v>
      </c>
      <c r="I76" s="44">
        <f t="shared" si="12"/>
        <v>0</v>
      </c>
      <c r="J76" s="44">
        <f t="shared" si="12"/>
        <v>0</v>
      </c>
      <c r="K76" s="44">
        <f t="shared" si="12"/>
        <v>0</v>
      </c>
      <c r="L76" s="44">
        <f t="shared" si="12"/>
        <v>0</v>
      </c>
      <c r="M76" s="44">
        <f t="shared" si="12"/>
        <v>0</v>
      </c>
      <c r="N76" s="45"/>
    </row>
    <row r="77" spans="1:14" ht="30" customHeight="1" thickBot="1">
      <c r="A77" s="51" t="s">
        <v>37</v>
      </c>
      <c r="B77" s="52">
        <f>B76+B24+B20+B8+B36+B12+B16+B28+B40+B44+B48+B52+B56+B60+B64+B72+B68+B32</f>
        <v>11240000</v>
      </c>
      <c r="C77" s="52">
        <f>C76+C24+C20+C8+C36+C12+C16+C28+C40+C44+C48+C52+C56+C60+C64+C72+C68+C32</f>
        <v>11240000</v>
      </c>
      <c r="D77" s="52">
        <f>D76+D24+D20+D8+D36+D72+D64+D60+D56+D52+D48+D44+D40+D28+D16+D12+D68+D32</f>
        <v>16860000</v>
      </c>
      <c r="E77" s="52">
        <f>E76+E24+E20+E8+E36+E72+E64+E60+E56+E52+E48+E44+E40+E28+E16+E12+E68+E32</f>
        <v>22800000</v>
      </c>
      <c r="F77" s="52">
        <f t="shared" ref="F77:M77" si="13">F76+F24+F20+F8+F36</f>
        <v>0</v>
      </c>
      <c r="G77" s="52">
        <f t="shared" si="13"/>
        <v>0</v>
      </c>
      <c r="H77" s="52">
        <f t="shared" si="13"/>
        <v>0</v>
      </c>
      <c r="I77" s="52">
        <f t="shared" si="13"/>
        <v>0</v>
      </c>
      <c r="J77" s="52">
        <f t="shared" si="13"/>
        <v>0</v>
      </c>
      <c r="K77" s="52">
        <f t="shared" si="13"/>
        <v>0</v>
      </c>
      <c r="L77" s="52">
        <f t="shared" si="13"/>
        <v>0</v>
      </c>
      <c r="M77" s="52">
        <f t="shared" si="13"/>
        <v>0</v>
      </c>
      <c r="N77" s="53">
        <f>SUM(B77:M77)</f>
        <v>62140000</v>
      </c>
    </row>
    <row r="78" spans="1:14">
      <c r="B78" s="101">
        <f>B6+B10+B14+B18+B22+B26+B30+B34+B38+B42+B46+B50+B54+B58+B62+B66+B70+B74</f>
        <v>3460</v>
      </c>
      <c r="C78" s="101">
        <f>C6+C10+C14+C18+C22+C26+C30+C34+C38+C42+C46+C50+C54+C58+C62+C66+C70+C74</f>
        <v>3460</v>
      </c>
      <c r="D78" s="101">
        <f>D6+D10+D14+D18+D22+D26+D30+D34+D38+D42+D46+D50+D54+D58+D62+D66+D70+D74</f>
        <v>5190</v>
      </c>
    </row>
  </sheetData>
  <mergeCells count="1">
    <mergeCell ref="E3:E4"/>
  </mergeCell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5"/>
  <sheetViews>
    <sheetView workbookViewId="0">
      <selection activeCell="K33" sqref="K33"/>
    </sheetView>
  </sheetViews>
  <sheetFormatPr baseColWidth="10" defaultRowHeight="15"/>
  <cols>
    <col min="1" max="1" width="5" customWidth="1"/>
    <col min="2" max="2" width="31.7109375" customWidth="1"/>
    <col min="9" max="9" width="15.140625" customWidth="1"/>
    <col min="10" max="10" width="15.28515625" customWidth="1"/>
    <col min="11" max="11" width="14.28515625" customWidth="1"/>
  </cols>
  <sheetData>
    <row r="1" spans="1:11" ht="15.75">
      <c r="A1" s="25"/>
      <c r="B1" s="24" t="s">
        <v>49</v>
      </c>
      <c r="C1" s="25"/>
      <c r="D1" s="25"/>
      <c r="E1" s="25"/>
      <c r="F1" s="25"/>
      <c r="G1" s="25"/>
      <c r="H1" s="25"/>
      <c r="I1" s="25"/>
      <c r="J1" s="25"/>
      <c r="K1" s="25"/>
    </row>
    <row r="2" spans="1:11" ht="16.5" thickBot="1">
      <c r="A2" s="63"/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ht="63">
      <c r="A3" s="26" t="s">
        <v>50</v>
      </c>
      <c r="B3" s="26" t="s">
        <v>51</v>
      </c>
      <c r="C3" s="26" t="s">
        <v>52</v>
      </c>
      <c r="D3" s="26" t="s">
        <v>53</v>
      </c>
      <c r="E3" s="28" t="s">
        <v>54</v>
      </c>
      <c r="F3" s="28" t="s">
        <v>55</v>
      </c>
      <c r="G3" s="64"/>
      <c r="H3" s="65" t="s">
        <v>56</v>
      </c>
      <c r="I3" s="28" t="s">
        <v>57</v>
      </c>
      <c r="J3" s="28" t="s">
        <v>58</v>
      </c>
      <c r="K3" s="28" t="s">
        <v>59</v>
      </c>
    </row>
    <row r="4" spans="1:11" ht="16.5" thickBot="1">
      <c r="A4" s="66"/>
      <c r="B4" s="30" t="s">
        <v>60</v>
      </c>
      <c r="C4" s="66"/>
      <c r="D4" s="66"/>
      <c r="E4" s="32"/>
      <c r="F4" s="32" t="s">
        <v>61</v>
      </c>
      <c r="G4" s="67"/>
      <c r="H4" s="68"/>
      <c r="I4" s="30"/>
      <c r="J4" s="30"/>
      <c r="K4" s="32"/>
    </row>
    <row r="5" spans="1:11" ht="25.5" customHeight="1">
      <c r="A5" s="69">
        <v>1</v>
      </c>
      <c r="B5" s="70" t="s">
        <v>38</v>
      </c>
      <c r="C5" s="71">
        <v>2300</v>
      </c>
      <c r="D5" s="71">
        <f>'Det.Verde sin tensan'!E15</f>
        <v>727.03538181818192</v>
      </c>
      <c r="E5" s="72">
        <f>+C5-D5</f>
        <v>1572.964618181818</v>
      </c>
      <c r="F5" s="73">
        <f>+E5*100/C5</f>
        <v>68.389766007905124</v>
      </c>
      <c r="G5" s="74"/>
      <c r="H5" s="189">
        <v>16</v>
      </c>
      <c r="I5" s="76">
        <f>+H5*C5</f>
        <v>36800</v>
      </c>
      <c r="J5" s="76">
        <f>+D5*H5</f>
        <v>11632.566109090911</v>
      </c>
      <c r="K5" s="76">
        <f>+I5-J5</f>
        <v>25167.433890909087</v>
      </c>
    </row>
    <row r="6" spans="1:11" ht="25.5" customHeight="1">
      <c r="A6" s="77">
        <v>2</v>
      </c>
      <c r="B6" s="78" t="s">
        <v>141</v>
      </c>
      <c r="C6" s="76">
        <v>1550</v>
      </c>
      <c r="D6" s="76">
        <f>Det.Econom!E15</f>
        <v>583.74610181818184</v>
      </c>
      <c r="E6" s="72">
        <f t="shared" ref="E6:E32" si="0">+C6-D6</f>
        <v>966.25389818181816</v>
      </c>
      <c r="F6" s="73">
        <f t="shared" ref="F6:F32" si="1">+E6*100/C6</f>
        <v>62.338961173020529</v>
      </c>
      <c r="G6" s="74"/>
      <c r="H6" s="79">
        <v>12</v>
      </c>
      <c r="I6" s="76">
        <f t="shared" ref="I6:I32" si="2">+H6*C6</f>
        <v>18600</v>
      </c>
      <c r="J6" s="76">
        <f t="shared" ref="J6:J32" si="3">+D6*H6</f>
        <v>7004.9532218181821</v>
      </c>
      <c r="K6" s="76">
        <f t="shared" ref="K6:K32" si="4">+I6-J6</f>
        <v>11595.046778181819</v>
      </c>
    </row>
    <row r="7" spans="1:11" ht="25.5" customHeight="1">
      <c r="A7" s="77">
        <v>3</v>
      </c>
      <c r="B7" s="78" t="s">
        <v>142</v>
      </c>
      <c r="C7" s="76">
        <v>3700</v>
      </c>
      <c r="D7" s="76">
        <f>'Det. Especial'!E15</f>
        <v>1388.8732818181818</v>
      </c>
      <c r="E7" s="72">
        <f t="shared" si="0"/>
        <v>2311.1267181818184</v>
      </c>
      <c r="F7" s="73">
        <f t="shared" si="1"/>
        <v>62.46288427518428</v>
      </c>
      <c r="G7" s="74"/>
      <c r="H7" s="79">
        <v>7</v>
      </c>
      <c r="I7" s="76">
        <f t="shared" si="2"/>
        <v>25900</v>
      </c>
      <c r="J7" s="76">
        <f t="shared" si="3"/>
        <v>9722.1129727272728</v>
      </c>
      <c r="K7" s="76">
        <f t="shared" si="4"/>
        <v>16177.887027272727</v>
      </c>
    </row>
    <row r="8" spans="1:11" ht="25.5" customHeight="1">
      <c r="A8" s="77">
        <v>4</v>
      </c>
      <c r="B8" s="78" t="s">
        <v>275</v>
      </c>
      <c r="C8" s="76">
        <v>2500</v>
      </c>
      <c r="D8" s="76">
        <f>Det.Alcalino!E15</f>
        <v>1061.1538818181821</v>
      </c>
      <c r="E8" s="72">
        <f t="shared" si="0"/>
        <v>1438.8461181818179</v>
      </c>
      <c r="F8" s="73">
        <f t="shared" si="1"/>
        <v>57.553844727272718</v>
      </c>
      <c r="G8" s="74"/>
      <c r="H8" s="190"/>
      <c r="I8" s="76">
        <f t="shared" si="2"/>
        <v>0</v>
      </c>
      <c r="J8" s="76">
        <f t="shared" si="3"/>
        <v>0</v>
      </c>
      <c r="K8" s="76">
        <f t="shared" si="4"/>
        <v>0</v>
      </c>
    </row>
    <row r="9" spans="1:11" ht="25.5" customHeight="1">
      <c r="A9" s="77">
        <v>5</v>
      </c>
      <c r="B9" s="78" t="s">
        <v>273</v>
      </c>
      <c r="C9" s="76">
        <v>5350</v>
      </c>
      <c r="D9" s="76">
        <f>'Jabón Liq. Ropa'!E16</f>
        <v>2221.5638818181819</v>
      </c>
      <c r="E9" s="72">
        <f t="shared" si="0"/>
        <v>3128.4361181818181</v>
      </c>
      <c r="F9" s="73">
        <f t="shared" si="1"/>
        <v>58.475441461342399</v>
      </c>
      <c r="G9" s="74"/>
      <c r="H9" s="79">
        <v>7</v>
      </c>
      <c r="I9" s="76">
        <f t="shared" si="2"/>
        <v>37450</v>
      </c>
      <c r="J9" s="76">
        <f t="shared" si="3"/>
        <v>15550.947172727274</v>
      </c>
      <c r="K9" s="76">
        <f t="shared" si="4"/>
        <v>21899.052827272724</v>
      </c>
    </row>
    <row r="10" spans="1:11" ht="25.5" customHeight="1">
      <c r="A10" s="77">
        <v>6</v>
      </c>
      <c r="B10" s="78" t="s">
        <v>272</v>
      </c>
      <c r="C10" s="76">
        <v>4000</v>
      </c>
      <c r="D10" s="76">
        <f>'Jabón Liq.Mano'!E15</f>
        <v>776.72011261818193</v>
      </c>
      <c r="E10" s="72">
        <f t="shared" si="0"/>
        <v>3223.2798873818183</v>
      </c>
      <c r="F10" s="73">
        <f t="shared" si="1"/>
        <v>80.581997184545457</v>
      </c>
      <c r="G10" s="74"/>
      <c r="H10" s="190">
        <v>0.5</v>
      </c>
      <c r="I10" s="76">
        <f t="shared" si="2"/>
        <v>2000</v>
      </c>
      <c r="J10" s="76">
        <f t="shared" si="3"/>
        <v>388.36005630909096</v>
      </c>
      <c r="K10" s="76">
        <f t="shared" si="4"/>
        <v>1611.6399436909091</v>
      </c>
    </row>
    <row r="11" spans="1:11" ht="25.5" customHeight="1">
      <c r="A11" s="77">
        <v>7</v>
      </c>
      <c r="B11" s="78" t="s">
        <v>63</v>
      </c>
      <c r="C11" s="76">
        <v>2700</v>
      </c>
      <c r="D11" s="76">
        <f>'Suav. Confor'!E11</f>
        <v>1049.2717654545454</v>
      </c>
      <c r="E11" s="72">
        <f t="shared" si="0"/>
        <v>1650.7282345454546</v>
      </c>
      <c r="F11" s="73">
        <f t="shared" si="1"/>
        <v>61.138082760942766</v>
      </c>
      <c r="G11" s="74"/>
      <c r="H11" s="190">
        <v>13</v>
      </c>
      <c r="I11" s="76">
        <f t="shared" si="2"/>
        <v>35100</v>
      </c>
      <c r="J11" s="76">
        <f t="shared" si="3"/>
        <v>13640.53295090909</v>
      </c>
      <c r="K11" s="76">
        <f t="shared" si="4"/>
        <v>21459.467049090912</v>
      </c>
    </row>
    <row r="12" spans="1:11" ht="25.5" customHeight="1">
      <c r="A12" s="77">
        <v>8</v>
      </c>
      <c r="B12" s="78" t="s">
        <v>154</v>
      </c>
      <c r="C12" s="76">
        <v>2500</v>
      </c>
      <c r="D12" s="76">
        <f>'Suav. Natural'!E11</f>
        <v>1063.1902844545457</v>
      </c>
      <c r="E12" s="72">
        <f t="shared" si="0"/>
        <v>1436.8097155454543</v>
      </c>
      <c r="F12" s="73">
        <f t="shared" si="1"/>
        <v>57.472388621818169</v>
      </c>
      <c r="G12" s="74"/>
      <c r="H12" s="79">
        <v>2</v>
      </c>
      <c r="I12" s="76">
        <f t="shared" si="2"/>
        <v>5000</v>
      </c>
      <c r="J12" s="76">
        <f t="shared" si="3"/>
        <v>2126.3805689090914</v>
      </c>
      <c r="K12" s="76">
        <f t="shared" si="4"/>
        <v>2873.6194310909086</v>
      </c>
    </row>
    <row r="13" spans="1:11" ht="25.5" customHeight="1">
      <c r="A13" s="77">
        <v>9</v>
      </c>
      <c r="B13" s="78" t="s">
        <v>172</v>
      </c>
      <c r="C13" s="76">
        <v>2850</v>
      </c>
      <c r="D13" s="76">
        <f>'Suav. Viveré'!E11</f>
        <v>1101.8032054545454</v>
      </c>
      <c r="E13" s="72">
        <f t="shared" si="0"/>
        <v>1748.1967945454546</v>
      </c>
      <c r="F13" s="73">
        <f t="shared" si="1"/>
        <v>61.340238405103669</v>
      </c>
      <c r="G13" s="74"/>
      <c r="H13" s="79">
        <v>7</v>
      </c>
      <c r="I13" s="76">
        <f t="shared" si="2"/>
        <v>19950</v>
      </c>
      <c r="J13" s="76">
        <f t="shared" si="3"/>
        <v>7712.6224381818174</v>
      </c>
      <c r="K13" s="76">
        <f>+I13-J13</f>
        <v>12237.377561818183</v>
      </c>
    </row>
    <row r="14" spans="1:11" ht="25.5" customHeight="1">
      <c r="A14" s="77">
        <v>10</v>
      </c>
      <c r="B14" s="78" t="s">
        <v>347</v>
      </c>
      <c r="C14" s="76">
        <v>4000</v>
      </c>
      <c r="D14" s="76">
        <v>2500</v>
      </c>
      <c r="E14" s="72">
        <f t="shared" si="0"/>
        <v>1500</v>
      </c>
      <c r="F14" s="73">
        <f t="shared" si="1"/>
        <v>37.5</v>
      </c>
      <c r="G14" s="74"/>
      <c r="H14" s="190">
        <v>1</v>
      </c>
      <c r="I14" s="76">
        <f t="shared" si="2"/>
        <v>4000</v>
      </c>
      <c r="J14" s="76">
        <f t="shared" si="3"/>
        <v>2500</v>
      </c>
      <c r="K14" s="76">
        <f>+I14-J14</f>
        <v>1500</v>
      </c>
    </row>
    <row r="15" spans="1:11" ht="25.5" customHeight="1">
      <c r="A15" s="77">
        <v>11</v>
      </c>
      <c r="B15" s="78" t="s">
        <v>348</v>
      </c>
      <c r="C15" s="76">
        <v>2000</v>
      </c>
      <c r="D15" s="76">
        <f>Cloro!E9</f>
        <v>750</v>
      </c>
      <c r="E15" s="72">
        <f t="shared" si="0"/>
        <v>1250</v>
      </c>
      <c r="F15" s="73">
        <f t="shared" si="1"/>
        <v>62.5</v>
      </c>
      <c r="G15" s="74"/>
      <c r="H15" s="190">
        <v>10.5</v>
      </c>
      <c r="I15" s="76">
        <f t="shared" si="2"/>
        <v>21000</v>
      </c>
      <c r="J15" s="76">
        <f t="shared" si="3"/>
        <v>7875</v>
      </c>
      <c r="K15" s="76">
        <f t="shared" si="4"/>
        <v>13125</v>
      </c>
    </row>
    <row r="16" spans="1:11" ht="25.5" customHeight="1">
      <c r="A16" s="77">
        <v>12</v>
      </c>
      <c r="B16" s="78" t="s">
        <v>26</v>
      </c>
      <c r="C16" s="76">
        <v>1800</v>
      </c>
      <c r="D16" s="76">
        <f>'Desod. Lav'!E9</f>
        <v>500</v>
      </c>
      <c r="E16" s="72">
        <f t="shared" si="0"/>
        <v>1300</v>
      </c>
      <c r="F16" s="73">
        <f t="shared" si="1"/>
        <v>72.222222222222229</v>
      </c>
      <c r="G16" s="74"/>
      <c r="H16" s="79">
        <v>6</v>
      </c>
      <c r="I16" s="76">
        <f t="shared" si="2"/>
        <v>10800</v>
      </c>
      <c r="J16" s="76">
        <f t="shared" si="3"/>
        <v>3000</v>
      </c>
      <c r="K16" s="76">
        <f t="shared" si="4"/>
        <v>7800</v>
      </c>
    </row>
    <row r="17" spans="1:11" ht="25.5" customHeight="1">
      <c r="A17" s="77">
        <v>13</v>
      </c>
      <c r="B17" s="78" t="s">
        <v>270</v>
      </c>
      <c r="C17" s="76">
        <v>2000</v>
      </c>
      <c r="D17" s="76">
        <f>'Desod. Primavera'!E9</f>
        <v>800</v>
      </c>
      <c r="E17" s="72">
        <f t="shared" si="0"/>
        <v>1200</v>
      </c>
      <c r="F17" s="73">
        <f t="shared" si="1"/>
        <v>60</v>
      </c>
      <c r="G17" s="74"/>
      <c r="H17" s="79"/>
      <c r="I17" s="76">
        <f t="shared" si="2"/>
        <v>0</v>
      </c>
      <c r="J17" s="76">
        <f t="shared" si="3"/>
        <v>0</v>
      </c>
      <c r="K17" s="76">
        <f t="shared" si="4"/>
        <v>0</v>
      </c>
    </row>
    <row r="18" spans="1:11" ht="25.5" customHeight="1">
      <c r="A18" s="77">
        <v>14</v>
      </c>
      <c r="B18" s="78" t="s">
        <v>146</v>
      </c>
      <c r="C18" s="76">
        <v>1650</v>
      </c>
      <c r="D18" s="76">
        <f>'Desod. Lav'!E9</f>
        <v>500</v>
      </c>
      <c r="E18" s="72">
        <f t="shared" si="0"/>
        <v>1150</v>
      </c>
      <c r="F18" s="73">
        <f t="shared" si="1"/>
        <v>69.696969696969703</v>
      </c>
      <c r="G18" s="74"/>
      <c r="H18" s="79"/>
      <c r="I18" s="76">
        <f t="shared" si="2"/>
        <v>0</v>
      </c>
      <c r="J18" s="76">
        <f t="shared" si="3"/>
        <v>0</v>
      </c>
      <c r="K18" s="76">
        <f t="shared" si="4"/>
        <v>0</v>
      </c>
    </row>
    <row r="19" spans="1:11" ht="25.5" customHeight="1">
      <c r="A19" s="77">
        <v>15</v>
      </c>
      <c r="B19" s="78" t="s">
        <v>271</v>
      </c>
      <c r="C19" s="76">
        <v>2000</v>
      </c>
      <c r="D19" s="76">
        <f>'Desod. Primavera'!E9</f>
        <v>800</v>
      </c>
      <c r="E19" s="72">
        <f t="shared" si="0"/>
        <v>1200</v>
      </c>
      <c r="F19" s="73">
        <f t="shared" si="1"/>
        <v>60</v>
      </c>
      <c r="G19" s="74"/>
      <c r="H19" s="79">
        <v>4</v>
      </c>
      <c r="I19" s="76">
        <f t="shared" si="2"/>
        <v>8000</v>
      </c>
      <c r="J19" s="76">
        <f t="shared" si="3"/>
        <v>3200</v>
      </c>
      <c r="K19" s="76">
        <f t="shared" si="4"/>
        <v>4800</v>
      </c>
    </row>
    <row r="20" spans="1:11" ht="25.5" customHeight="1">
      <c r="A20" s="77">
        <v>16</v>
      </c>
      <c r="B20" s="70" t="s">
        <v>145</v>
      </c>
      <c r="C20" s="72">
        <v>1650</v>
      </c>
      <c r="D20" s="72">
        <f>'Desod. Citron'!E9</f>
        <v>401.70676460000004</v>
      </c>
      <c r="E20" s="72">
        <f t="shared" si="0"/>
        <v>1248.2932354</v>
      </c>
      <c r="F20" s="73">
        <f t="shared" si="1"/>
        <v>75.654135478787879</v>
      </c>
      <c r="G20" s="74"/>
      <c r="H20" s="75">
        <v>3</v>
      </c>
      <c r="I20" s="76">
        <f t="shared" si="2"/>
        <v>4950</v>
      </c>
      <c r="J20" s="76">
        <f t="shared" si="3"/>
        <v>1205.1202938000001</v>
      </c>
      <c r="K20" s="76">
        <f t="shared" si="4"/>
        <v>3744.8797061999999</v>
      </c>
    </row>
    <row r="21" spans="1:11" ht="25.5" customHeight="1">
      <c r="A21" s="77">
        <v>17</v>
      </c>
      <c r="B21" s="78" t="s">
        <v>147</v>
      </c>
      <c r="C21" s="76">
        <v>1500</v>
      </c>
      <c r="D21" s="76">
        <f>'Desod. Primavera'!E9</f>
        <v>800</v>
      </c>
      <c r="E21" s="72">
        <f t="shared" si="0"/>
        <v>700</v>
      </c>
      <c r="F21" s="73">
        <f t="shared" si="1"/>
        <v>46.666666666666664</v>
      </c>
      <c r="G21" s="74"/>
      <c r="H21" s="79">
        <v>2</v>
      </c>
      <c r="I21" s="76">
        <f t="shared" si="2"/>
        <v>3000</v>
      </c>
      <c r="J21" s="76">
        <f t="shared" si="3"/>
        <v>1600</v>
      </c>
      <c r="K21" s="76">
        <f t="shared" si="4"/>
        <v>1400</v>
      </c>
    </row>
    <row r="22" spans="1:11" ht="25.5" customHeight="1">
      <c r="A22" s="77">
        <v>18</v>
      </c>
      <c r="B22" s="78" t="s">
        <v>149</v>
      </c>
      <c r="C22" s="76">
        <v>1500</v>
      </c>
      <c r="D22" s="76">
        <f>'Desod. Primavera'!E9</f>
        <v>800</v>
      </c>
      <c r="E22" s="72">
        <f t="shared" si="0"/>
        <v>700</v>
      </c>
      <c r="F22" s="73">
        <f t="shared" si="1"/>
        <v>46.666666666666664</v>
      </c>
      <c r="G22" s="74"/>
      <c r="H22" s="79">
        <v>2</v>
      </c>
      <c r="I22" s="76">
        <f t="shared" si="2"/>
        <v>3000</v>
      </c>
      <c r="J22" s="76">
        <f t="shared" si="3"/>
        <v>1600</v>
      </c>
      <c r="K22" s="76">
        <f t="shared" si="4"/>
        <v>1400</v>
      </c>
    </row>
    <row r="23" spans="1:11" ht="25.5" customHeight="1">
      <c r="A23" s="77">
        <v>19</v>
      </c>
      <c r="B23" s="78" t="s">
        <v>144</v>
      </c>
      <c r="C23" s="76">
        <v>1850</v>
      </c>
      <c r="D23" s="76">
        <f>'Desod. Lav'!E9</f>
        <v>500</v>
      </c>
      <c r="E23" s="72">
        <f t="shared" si="0"/>
        <v>1350</v>
      </c>
      <c r="F23" s="73">
        <f t="shared" si="1"/>
        <v>72.972972972972968</v>
      </c>
      <c r="G23" s="74"/>
      <c r="H23" s="190">
        <v>7</v>
      </c>
      <c r="I23" s="76">
        <f t="shared" si="2"/>
        <v>12950</v>
      </c>
      <c r="J23" s="76">
        <f t="shared" si="3"/>
        <v>3500</v>
      </c>
      <c r="K23" s="76">
        <f t="shared" si="4"/>
        <v>9450</v>
      </c>
    </row>
    <row r="24" spans="1:11" ht="25.5" customHeight="1">
      <c r="A24" s="77">
        <v>20</v>
      </c>
      <c r="B24" s="78" t="s">
        <v>171</v>
      </c>
      <c r="C24" s="76">
        <v>2500</v>
      </c>
      <c r="D24" s="76">
        <f>'Limpia Vidrio'!E15</f>
        <v>558.63969999999995</v>
      </c>
      <c r="E24" s="72">
        <f t="shared" si="0"/>
        <v>1941.3603000000001</v>
      </c>
      <c r="F24" s="73">
        <f t="shared" si="1"/>
        <v>77.654411999999994</v>
      </c>
      <c r="G24" s="74"/>
      <c r="H24" s="190"/>
      <c r="I24" s="76">
        <f t="shared" si="2"/>
        <v>0</v>
      </c>
      <c r="J24" s="76">
        <f t="shared" si="3"/>
        <v>0</v>
      </c>
      <c r="K24" s="76">
        <f t="shared" si="4"/>
        <v>0</v>
      </c>
    </row>
    <row r="25" spans="1:11" ht="25.5" customHeight="1">
      <c r="A25" s="77">
        <v>21</v>
      </c>
      <c r="B25" s="78" t="s">
        <v>155</v>
      </c>
      <c r="C25" s="76">
        <v>6500</v>
      </c>
      <c r="D25" s="76">
        <f>'Perfume Ropa Conf'!E15</f>
        <v>3238.0822400000002</v>
      </c>
      <c r="E25" s="72">
        <f t="shared" si="0"/>
        <v>3261.9177599999998</v>
      </c>
      <c r="F25" s="73">
        <f t="shared" si="1"/>
        <v>50.183350153846149</v>
      </c>
      <c r="G25" s="74"/>
      <c r="H25" s="190"/>
      <c r="I25" s="76">
        <f t="shared" si="2"/>
        <v>0</v>
      </c>
      <c r="J25" s="76">
        <f t="shared" si="3"/>
        <v>0</v>
      </c>
      <c r="K25" s="76">
        <f t="shared" si="4"/>
        <v>0</v>
      </c>
    </row>
    <row r="26" spans="1:11" ht="25.5" customHeight="1">
      <c r="A26" s="77">
        <v>22</v>
      </c>
      <c r="B26" s="78" t="s">
        <v>274</v>
      </c>
      <c r="C26" s="76">
        <v>6000</v>
      </c>
      <c r="D26" s="76">
        <f>'Perfume Ropa Natur'!E15</f>
        <v>2586.0982400000003</v>
      </c>
      <c r="E26" s="72">
        <f t="shared" si="0"/>
        <v>3413.9017599999997</v>
      </c>
      <c r="F26" s="73">
        <f t="shared" si="1"/>
        <v>56.898362666666664</v>
      </c>
      <c r="G26" s="74"/>
      <c r="H26" s="190">
        <v>1</v>
      </c>
      <c r="I26" s="76">
        <f t="shared" si="2"/>
        <v>6000</v>
      </c>
      <c r="J26" s="76">
        <f t="shared" si="3"/>
        <v>2586.0982400000003</v>
      </c>
      <c r="K26" s="76">
        <f t="shared" si="4"/>
        <v>3413.9017599999997</v>
      </c>
    </row>
    <row r="27" spans="1:11" ht="25.5" customHeight="1">
      <c r="A27" s="77">
        <v>23</v>
      </c>
      <c r="B27" s="78" t="s">
        <v>151</v>
      </c>
      <c r="C27" s="76">
        <v>5000</v>
      </c>
      <c r="D27" s="76">
        <f>Multiuso!E15</f>
        <v>1805.4782000000002</v>
      </c>
      <c r="E27" s="72">
        <f t="shared" si="0"/>
        <v>3194.5217999999995</v>
      </c>
      <c r="F27" s="73">
        <f t="shared" si="1"/>
        <v>63.890435999999987</v>
      </c>
      <c r="G27" s="74"/>
      <c r="H27" s="185"/>
      <c r="I27" s="186">
        <f t="shared" si="2"/>
        <v>0</v>
      </c>
      <c r="J27" s="186">
        <f t="shared" si="3"/>
        <v>0</v>
      </c>
      <c r="K27" s="186">
        <f t="shared" si="4"/>
        <v>0</v>
      </c>
    </row>
    <row r="28" spans="1:11" ht="25.5" customHeight="1">
      <c r="A28" s="77">
        <v>24</v>
      </c>
      <c r="B28" s="179" t="s">
        <v>349</v>
      </c>
      <c r="C28" s="76">
        <v>5000</v>
      </c>
      <c r="D28" s="76">
        <v>3800</v>
      </c>
      <c r="E28" s="72">
        <f t="shared" si="0"/>
        <v>1200</v>
      </c>
      <c r="F28" s="73">
        <f t="shared" si="1"/>
        <v>24</v>
      </c>
      <c r="G28" s="182"/>
      <c r="H28" s="187">
        <v>2</v>
      </c>
      <c r="I28" s="76">
        <f t="shared" si="2"/>
        <v>10000</v>
      </c>
      <c r="J28" s="186">
        <f t="shared" si="3"/>
        <v>7600</v>
      </c>
      <c r="K28" s="186">
        <f t="shared" si="4"/>
        <v>2400</v>
      </c>
    </row>
    <row r="29" spans="1:11" ht="25.5" customHeight="1">
      <c r="A29" s="77">
        <v>25</v>
      </c>
      <c r="B29" s="78" t="s">
        <v>350</v>
      </c>
      <c r="C29" s="76">
        <v>5500</v>
      </c>
      <c r="D29" s="76">
        <v>3800</v>
      </c>
      <c r="E29" s="72">
        <f t="shared" si="0"/>
        <v>1700</v>
      </c>
      <c r="F29" s="73">
        <f t="shared" si="1"/>
        <v>30.90909090909091</v>
      </c>
      <c r="G29" s="182"/>
      <c r="H29" s="187"/>
      <c r="I29" s="76">
        <f t="shared" si="2"/>
        <v>0</v>
      </c>
      <c r="J29" s="186">
        <f t="shared" si="3"/>
        <v>0</v>
      </c>
      <c r="K29" s="186">
        <f t="shared" si="4"/>
        <v>0</v>
      </c>
    </row>
    <row r="30" spans="1:11" ht="25.5" customHeight="1">
      <c r="A30" s="77">
        <v>26</v>
      </c>
      <c r="B30" s="78" t="s">
        <v>351</v>
      </c>
      <c r="C30" s="76">
        <v>52000</v>
      </c>
      <c r="D30" s="76">
        <v>30000</v>
      </c>
      <c r="E30" s="72">
        <f t="shared" si="0"/>
        <v>22000</v>
      </c>
      <c r="F30" s="73">
        <f t="shared" si="1"/>
        <v>42.307692307692307</v>
      </c>
      <c r="G30" s="182"/>
      <c r="H30" s="192"/>
      <c r="I30" s="76">
        <f t="shared" si="2"/>
        <v>0</v>
      </c>
      <c r="J30" s="186">
        <f t="shared" si="3"/>
        <v>0</v>
      </c>
      <c r="K30" s="186">
        <f t="shared" si="4"/>
        <v>0</v>
      </c>
    </row>
    <row r="31" spans="1:11" ht="25.5" customHeight="1">
      <c r="A31" s="77">
        <v>27</v>
      </c>
      <c r="B31" s="78" t="s">
        <v>353</v>
      </c>
      <c r="C31" s="76">
        <v>8000</v>
      </c>
      <c r="D31" s="76">
        <v>5000</v>
      </c>
      <c r="E31" s="72">
        <f t="shared" si="0"/>
        <v>3000</v>
      </c>
      <c r="F31" s="73">
        <f t="shared" si="1"/>
        <v>37.5</v>
      </c>
      <c r="G31" s="182"/>
      <c r="H31" s="191"/>
      <c r="I31" s="76">
        <f t="shared" si="2"/>
        <v>0</v>
      </c>
      <c r="J31" s="186">
        <f t="shared" si="3"/>
        <v>0</v>
      </c>
      <c r="K31" s="186">
        <f t="shared" si="4"/>
        <v>0</v>
      </c>
    </row>
    <row r="32" spans="1:11" ht="25.5" customHeight="1" thickBot="1">
      <c r="A32" s="77">
        <v>28</v>
      </c>
      <c r="B32" s="180" t="s">
        <v>352</v>
      </c>
      <c r="C32" s="181">
        <v>1500</v>
      </c>
      <c r="D32" s="181">
        <v>1300</v>
      </c>
      <c r="E32" s="72">
        <f t="shared" si="0"/>
        <v>200</v>
      </c>
      <c r="F32" s="73">
        <f t="shared" si="1"/>
        <v>13.333333333333334</v>
      </c>
      <c r="G32" s="183"/>
      <c r="H32" s="188"/>
      <c r="I32" s="76">
        <f t="shared" si="2"/>
        <v>0</v>
      </c>
      <c r="J32" s="186">
        <f t="shared" si="3"/>
        <v>0</v>
      </c>
      <c r="K32" s="186">
        <f t="shared" si="4"/>
        <v>0</v>
      </c>
    </row>
    <row r="33" spans="1:11" ht="25.5" customHeight="1" thickBot="1">
      <c r="A33" s="80"/>
      <c r="B33" s="45" t="s">
        <v>62</v>
      </c>
      <c r="C33" s="45"/>
      <c r="D33" s="81"/>
      <c r="E33" s="81"/>
      <c r="F33" s="82"/>
      <c r="G33" s="83"/>
      <c r="H33" s="184">
        <f>SUM(H5:H32)</f>
        <v>103</v>
      </c>
      <c r="I33" s="184">
        <f>SUM(I5:I32)</f>
        <v>264500</v>
      </c>
      <c r="J33" s="184">
        <f>SUM(J5:J32)</f>
        <v>102444.69402447274</v>
      </c>
      <c r="K33" s="184">
        <f>SUM(K5:K32)</f>
        <v>162055.3059755273</v>
      </c>
    </row>
    <row r="35" spans="1:11" ht="15.75" thickBot="1"/>
    <row r="36" spans="1:11" ht="63">
      <c r="A36" s="26" t="s">
        <v>50</v>
      </c>
      <c r="B36" s="26" t="s">
        <v>51</v>
      </c>
      <c r="C36" s="26" t="s">
        <v>52</v>
      </c>
      <c r="D36" s="26" t="s">
        <v>53</v>
      </c>
      <c r="E36" s="150" t="s">
        <v>54</v>
      </c>
      <c r="F36" s="150" t="s">
        <v>55</v>
      </c>
      <c r="G36" s="64"/>
      <c r="H36" s="65" t="s">
        <v>56</v>
      </c>
      <c r="I36" s="150" t="s">
        <v>57</v>
      </c>
      <c r="J36" s="150" t="s">
        <v>58</v>
      </c>
      <c r="K36" s="150" t="s">
        <v>59</v>
      </c>
    </row>
    <row r="37" spans="1:11" ht="16.5" thickBot="1">
      <c r="A37" s="66"/>
      <c r="B37" s="30" t="s">
        <v>60</v>
      </c>
      <c r="C37" s="66"/>
      <c r="D37" s="66"/>
      <c r="E37" s="32"/>
      <c r="F37" s="32" t="s">
        <v>61</v>
      </c>
      <c r="G37" s="67"/>
      <c r="H37" s="68"/>
      <c r="I37" s="30"/>
      <c r="J37" s="30"/>
      <c r="K37" s="32"/>
    </row>
    <row r="38" spans="1:11">
      <c r="A38" s="69">
        <v>1</v>
      </c>
      <c r="B38" s="70" t="s">
        <v>38</v>
      </c>
      <c r="C38" s="71">
        <v>2500</v>
      </c>
      <c r="D38" s="71">
        <f>Det.Verde!E15</f>
        <v>788.49538181818173</v>
      </c>
      <c r="E38" s="72">
        <f>+C38-D38</f>
        <v>1711.5046181818184</v>
      </c>
      <c r="F38" s="73">
        <f>+E38*100/C38</f>
        <v>68.460184727272747</v>
      </c>
      <c r="G38" s="74"/>
      <c r="H38" s="75">
        <v>600</v>
      </c>
      <c r="I38" s="76">
        <f>+H38*C38</f>
        <v>1500000</v>
      </c>
      <c r="J38" s="76">
        <f>+D38*H38</f>
        <v>473097.22909090901</v>
      </c>
      <c r="K38" s="76">
        <f>+I38-J38</f>
        <v>1026902.770909091</v>
      </c>
    </row>
    <row r="39" spans="1:11">
      <c r="A39" s="77">
        <v>2</v>
      </c>
      <c r="B39" s="78" t="s">
        <v>141</v>
      </c>
      <c r="C39" s="76">
        <v>2000</v>
      </c>
      <c r="D39" s="76">
        <f>Det.Econom!E15</f>
        <v>583.74610181818184</v>
      </c>
      <c r="E39" s="72">
        <f t="shared" ref="E39:E58" si="5">+C39-D39</f>
        <v>1416.2538981818182</v>
      </c>
      <c r="F39" s="73">
        <f t="shared" ref="F39:F58" si="6">+E39*100/C39</f>
        <v>70.812694909090908</v>
      </c>
      <c r="G39" s="74"/>
      <c r="H39" s="79">
        <v>600</v>
      </c>
      <c r="I39" s="76">
        <f t="shared" ref="I39:I58" si="7">+H39*C39</f>
        <v>1200000</v>
      </c>
      <c r="J39" s="76">
        <f t="shared" ref="J39:J58" si="8">+D39*H39</f>
        <v>350247.6610909091</v>
      </c>
      <c r="K39" s="76">
        <f t="shared" ref="K39:K58" si="9">+I39-J39</f>
        <v>849752.33890909096</v>
      </c>
    </row>
    <row r="40" spans="1:11">
      <c r="A40" s="77">
        <v>3</v>
      </c>
      <c r="B40" s="78" t="s">
        <v>142</v>
      </c>
      <c r="C40" s="76">
        <v>4000</v>
      </c>
      <c r="D40" s="76">
        <f>'Det. Especial'!E15</f>
        <v>1388.8732818181818</v>
      </c>
      <c r="E40" s="72">
        <f t="shared" si="5"/>
        <v>2611.1267181818184</v>
      </c>
      <c r="F40" s="73">
        <f t="shared" si="6"/>
        <v>65.278167954545467</v>
      </c>
      <c r="G40" s="74"/>
      <c r="H40" s="79">
        <v>600</v>
      </c>
      <c r="I40" s="76">
        <f t="shared" si="7"/>
        <v>2400000</v>
      </c>
      <c r="J40" s="76">
        <f t="shared" si="8"/>
        <v>833323.96909090912</v>
      </c>
      <c r="K40" s="76">
        <f t="shared" si="9"/>
        <v>1566676.0309090908</v>
      </c>
    </row>
    <row r="41" spans="1:11">
      <c r="A41" s="77">
        <v>4</v>
      </c>
      <c r="B41" s="78" t="s">
        <v>275</v>
      </c>
      <c r="C41" s="76">
        <v>2500</v>
      </c>
      <c r="D41" s="76">
        <f>Det.Alcalino!E15</f>
        <v>1061.1538818181821</v>
      </c>
      <c r="E41" s="72">
        <f t="shared" si="5"/>
        <v>1438.8461181818179</v>
      </c>
      <c r="F41" s="73">
        <f t="shared" si="6"/>
        <v>57.553844727272718</v>
      </c>
      <c r="G41" s="74"/>
      <c r="H41" s="79">
        <v>300</v>
      </c>
      <c r="I41" s="76">
        <f t="shared" si="7"/>
        <v>750000</v>
      </c>
      <c r="J41" s="76">
        <f t="shared" si="8"/>
        <v>318346.16454545461</v>
      </c>
      <c r="K41" s="76">
        <f t="shared" si="9"/>
        <v>431653.83545454539</v>
      </c>
    </row>
    <row r="42" spans="1:11">
      <c r="A42" s="77">
        <v>5</v>
      </c>
      <c r="B42" s="78" t="s">
        <v>273</v>
      </c>
      <c r="C42" s="76">
        <v>6000</v>
      </c>
      <c r="D42" s="76">
        <f>'Jabón Liq. Ropa'!E16</f>
        <v>2221.5638818181819</v>
      </c>
      <c r="E42" s="72">
        <f t="shared" si="5"/>
        <v>3778.4361181818181</v>
      </c>
      <c r="F42" s="73">
        <f t="shared" si="6"/>
        <v>62.973935303030302</v>
      </c>
      <c r="G42" s="74"/>
      <c r="H42" s="79">
        <v>600</v>
      </c>
      <c r="I42" s="76">
        <f t="shared" si="7"/>
        <v>3600000</v>
      </c>
      <c r="J42" s="76">
        <f t="shared" si="8"/>
        <v>1332938.3290909091</v>
      </c>
      <c r="K42" s="76">
        <f t="shared" si="9"/>
        <v>2267061.6709090909</v>
      </c>
    </row>
    <row r="43" spans="1:11">
      <c r="A43" s="77">
        <v>6</v>
      </c>
      <c r="B43" s="78" t="s">
        <v>276</v>
      </c>
      <c r="C43" s="76">
        <v>2500</v>
      </c>
      <c r="D43" s="76">
        <f>'Jabón Liq.Mano'!E15</f>
        <v>776.72011261818193</v>
      </c>
      <c r="E43" s="72">
        <f t="shared" si="5"/>
        <v>1723.2798873818181</v>
      </c>
      <c r="F43" s="73">
        <f t="shared" si="6"/>
        <v>68.931195495272718</v>
      </c>
      <c r="G43" s="74"/>
      <c r="H43" s="79">
        <v>60</v>
      </c>
      <c r="I43" s="76">
        <f t="shared" si="7"/>
        <v>150000</v>
      </c>
      <c r="J43" s="76">
        <f t="shared" si="8"/>
        <v>46603.206757090913</v>
      </c>
      <c r="K43" s="76">
        <f t="shared" si="9"/>
        <v>103396.79324290909</v>
      </c>
    </row>
    <row r="44" spans="1:11">
      <c r="A44" s="77">
        <v>7</v>
      </c>
      <c r="B44" s="78" t="s">
        <v>63</v>
      </c>
      <c r="C44" s="76">
        <v>3000</v>
      </c>
      <c r="D44" s="76">
        <f>'Suav. Confor'!E11</f>
        <v>1049.2717654545454</v>
      </c>
      <c r="E44" s="72">
        <f t="shared" si="5"/>
        <v>1950.7282345454546</v>
      </c>
      <c r="F44" s="73">
        <f t="shared" si="6"/>
        <v>65.02427448484849</v>
      </c>
      <c r="G44" s="74"/>
      <c r="H44" s="79">
        <v>600</v>
      </c>
      <c r="I44" s="76">
        <f t="shared" si="7"/>
        <v>1800000</v>
      </c>
      <c r="J44" s="76">
        <f t="shared" si="8"/>
        <v>629563.05927272723</v>
      </c>
      <c r="K44" s="76">
        <f t="shared" si="9"/>
        <v>1170436.9407272728</v>
      </c>
    </row>
    <row r="45" spans="1:11">
      <c r="A45" s="77">
        <v>8</v>
      </c>
      <c r="B45" s="78" t="s">
        <v>154</v>
      </c>
      <c r="C45" s="76">
        <v>3000</v>
      </c>
      <c r="D45" s="76">
        <f>'Suav. Natural'!E11</f>
        <v>1063.1902844545457</v>
      </c>
      <c r="E45" s="72">
        <f t="shared" si="5"/>
        <v>1936.8097155454543</v>
      </c>
      <c r="F45" s="73">
        <f t="shared" si="6"/>
        <v>64.560323851515136</v>
      </c>
      <c r="G45" s="74"/>
      <c r="H45" s="79">
        <v>300</v>
      </c>
      <c r="I45" s="76">
        <f t="shared" si="7"/>
        <v>900000</v>
      </c>
      <c r="J45" s="76">
        <f t="shared" si="8"/>
        <v>318957.0853363637</v>
      </c>
      <c r="K45" s="76">
        <f t="shared" si="9"/>
        <v>581042.91466363636</v>
      </c>
    </row>
    <row r="46" spans="1:11">
      <c r="A46" s="77">
        <v>9</v>
      </c>
      <c r="B46" s="78" t="s">
        <v>172</v>
      </c>
      <c r="C46" s="76">
        <v>3000</v>
      </c>
      <c r="D46" s="76">
        <f>'Suav. Viveré'!E11</f>
        <v>1101.8032054545454</v>
      </c>
      <c r="E46" s="72">
        <f t="shared" si="5"/>
        <v>1898.1967945454546</v>
      </c>
      <c r="F46" s="73">
        <f t="shared" si="6"/>
        <v>63.273226484848486</v>
      </c>
      <c r="G46" s="74"/>
      <c r="H46" s="79">
        <v>300</v>
      </c>
      <c r="I46" s="76">
        <f t="shared" si="7"/>
        <v>900000</v>
      </c>
      <c r="J46" s="76">
        <f t="shared" si="8"/>
        <v>330540.96163636359</v>
      </c>
      <c r="K46" s="76">
        <f t="shared" si="9"/>
        <v>569459.03836363647</v>
      </c>
    </row>
    <row r="47" spans="1:11">
      <c r="A47" s="77">
        <v>10</v>
      </c>
      <c r="B47" s="78" t="s">
        <v>108</v>
      </c>
      <c r="C47" s="76">
        <v>2000</v>
      </c>
      <c r="D47" s="76">
        <f>Cloro!E9</f>
        <v>750</v>
      </c>
      <c r="E47" s="72">
        <f t="shared" si="5"/>
        <v>1250</v>
      </c>
      <c r="F47" s="73">
        <f t="shared" si="6"/>
        <v>62.5</v>
      </c>
      <c r="G47" s="74"/>
      <c r="H47" s="79">
        <v>450</v>
      </c>
      <c r="I47" s="76">
        <f t="shared" si="7"/>
        <v>900000</v>
      </c>
      <c r="J47" s="76">
        <f t="shared" si="8"/>
        <v>337500</v>
      </c>
      <c r="K47" s="76">
        <f t="shared" si="9"/>
        <v>562500</v>
      </c>
    </row>
    <row r="48" spans="1:11">
      <c r="A48" s="77">
        <v>11</v>
      </c>
      <c r="B48" s="78" t="s">
        <v>26</v>
      </c>
      <c r="C48" s="76">
        <v>2000</v>
      </c>
      <c r="D48" s="76">
        <f>'Desod. Lav'!E9</f>
        <v>500</v>
      </c>
      <c r="E48" s="72">
        <f t="shared" si="5"/>
        <v>1500</v>
      </c>
      <c r="F48" s="73">
        <f t="shared" si="6"/>
        <v>75</v>
      </c>
      <c r="G48" s="74"/>
      <c r="H48" s="79">
        <v>240</v>
      </c>
      <c r="I48" s="76">
        <f t="shared" si="7"/>
        <v>480000</v>
      </c>
      <c r="J48" s="76">
        <f t="shared" si="8"/>
        <v>120000</v>
      </c>
      <c r="K48" s="76">
        <f t="shared" si="9"/>
        <v>360000</v>
      </c>
    </row>
    <row r="49" spans="1:11">
      <c r="A49" s="77">
        <v>12</v>
      </c>
      <c r="B49" s="78" t="s">
        <v>277</v>
      </c>
      <c r="C49" s="76">
        <v>2500</v>
      </c>
      <c r="D49" s="76">
        <f>'Desod. Primavera'!E9</f>
        <v>800</v>
      </c>
      <c r="E49" s="72">
        <f t="shared" si="5"/>
        <v>1700</v>
      </c>
      <c r="F49" s="73">
        <f t="shared" si="6"/>
        <v>68</v>
      </c>
      <c r="G49" s="74"/>
      <c r="H49" s="79">
        <v>120</v>
      </c>
      <c r="I49" s="76">
        <f t="shared" si="7"/>
        <v>300000</v>
      </c>
      <c r="J49" s="76">
        <f t="shared" si="8"/>
        <v>96000</v>
      </c>
      <c r="K49" s="76">
        <f t="shared" si="9"/>
        <v>204000</v>
      </c>
    </row>
    <row r="50" spans="1:11">
      <c r="A50" s="77">
        <v>13</v>
      </c>
      <c r="B50" s="78" t="s">
        <v>146</v>
      </c>
      <c r="C50" s="76">
        <v>2000</v>
      </c>
      <c r="D50" s="76">
        <f>'Desod. Lav'!E9</f>
        <v>500</v>
      </c>
      <c r="E50" s="72">
        <f t="shared" si="5"/>
        <v>1500</v>
      </c>
      <c r="F50" s="73">
        <f t="shared" si="6"/>
        <v>75</v>
      </c>
      <c r="G50" s="74"/>
      <c r="H50" s="79">
        <v>120</v>
      </c>
      <c r="I50" s="76">
        <f t="shared" si="7"/>
        <v>240000</v>
      </c>
      <c r="J50" s="76">
        <f t="shared" si="8"/>
        <v>60000</v>
      </c>
      <c r="K50" s="76">
        <f t="shared" si="9"/>
        <v>180000</v>
      </c>
    </row>
    <row r="51" spans="1:11">
      <c r="A51" s="77">
        <v>14</v>
      </c>
      <c r="B51" s="78" t="s">
        <v>278</v>
      </c>
      <c r="C51" s="76">
        <v>2500</v>
      </c>
      <c r="D51" s="76">
        <f>'Desod. Primavera'!E9</f>
        <v>800</v>
      </c>
      <c r="E51" s="72">
        <f t="shared" si="5"/>
        <v>1700</v>
      </c>
      <c r="F51" s="73">
        <f t="shared" si="6"/>
        <v>68</v>
      </c>
      <c r="G51" s="74"/>
      <c r="H51" s="79">
        <v>120</v>
      </c>
      <c r="I51" s="76">
        <f t="shared" si="7"/>
        <v>300000</v>
      </c>
      <c r="J51" s="76">
        <f t="shared" si="8"/>
        <v>96000</v>
      </c>
      <c r="K51" s="76">
        <f t="shared" si="9"/>
        <v>204000</v>
      </c>
    </row>
    <row r="52" spans="1:11">
      <c r="A52" s="77">
        <v>15</v>
      </c>
      <c r="B52" s="70" t="s">
        <v>145</v>
      </c>
      <c r="C52" s="72">
        <v>2000</v>
      </c>
      <c r="D52" s="72">
        <f>'Desod. Citron'!E9</f>
        <v>401.70676460000004</v>
      </c>
      <c r="E52" s="72">
        <f t="shared" si="5"/>
        <v>1598.2932354</v>
      </c>
      <c r="F52" s="73">
        <f t="shared" si="6"/>
        <v>79.914661769999995</v>
      </c>
      <c r="G52" s="74"/>
      <c r="H52" s="75">
        <v>120</v>
      </c>
      <c r="I52" s="76">
        <f t="shared" si="7"/>
        <v>240000</v>
      </c>
      <c r="J52" s="76">
        <f t="shared" si="8"/>
        <v>48204.811752000009</v>
      </c>
      <c r="K52" s="76">
        <f t="shared" si="9"/>
        <v>191795.18824799999</v>
      </c>
    </row>
    <row r="53" spans="1:11">
      <c r="A53" s="77">
        <v>16</v>
      </c>
      <c r="B53" s="78" t="s">
        <v>147</v>
      </c>
      <c r="C53" s="76">
        <v>2500</v>
      </c>
      <c r="D53" s="76">
        <f>'Desod. Primavera'!E9</f>
        <v>800</v>
      </c>
      <c r="E53" s="72">
        <f t="shared" si="5"/>
        <v>1700</v>
      </c>
      <c r="F53" s="73">
        <f t="shared" si="6"/>
        <v>68</v>
      </c>
      <c r="G53" s="74"/>
      <c r="H53" s="79">
        <v>120</v>
      </c>
      <c r="I53" s="76">
        <f t="shared" si="7"/>
        <v>300000</v>
      </c>
      <c r="J53" s="76">
        <f t="shared" si="8"/>
        <v>96000</v>
      </c>
      <c r="K53" s="76">
        <f t="shared" si="9"/>
        <v>204000</v>
      </c>
    </row>
    <row r="54" spans="1:11">
      <c r="A54" s="77">
        <v>17</v>
      </c>
      <c r="B54" s="78" t="s">
        <v>149</v>
      </c>
      <c r="C54" s="76">
        <v>2500</v>
      </c>
      <c r="D54" s="76">
        <f>'Desod. Primavera'!E9</f>
        <v>800</v>
      </c>
      <c r="E54" s="72">
        <f t="shared" si="5"/>
        <v>1700</v>
      </c>
      <c r="F54" s="73">
        <f t="shared" si="6"/>
        <v>68</v>
      </c>
      <c r="G54" s="74"/>
      <c r="H54" s="79">
        <v>120</v>
      </c>
      <c r="I54" s="76">
        <f t="shared" si="7"/>
        <v>300000</v>
      </c>
      <c r="J54" s="76">
        <f t="shared" si="8"/>
        <v>96000</v>
      </c>
      <c r="K54" s="76">
        <f t="shared" si="9"/>
        <v>204000</v>
      </c>
    </row>
    <row r="55" spans="1:11">
      <c r="A55" s="77">
        <v>18</v>
      </c>
      <c r="B55" s="78" t="s">
        <v>171</v>
      </c>
      <c r="C55" s="76">
        <v>3000</v>
      </c>
      <c r="D55" s="76">
        <f>'Limpia Vidrio'!E15</f>
        <v>558.63969999999995</v>
      </c>
      <c r="E55" s="72">
        <f t="shared" si="5"/>
        <v>2441.3603000000003</v>
      </c>
      <c r="F55" s="73">
        <f t="shared" si="6"/>
        <v>81.378676666666678</v>
      </c>
      <c r="G55" s="74"/>
      <c r="H55" s="79">
        <v>60</v>
      </c>
      <c r="I55" s="76">
        <f t="shared" si="7"/>
        <v>180000</v>
      </c>
      <c r="J55" s="76">
        <f t="shared" si="8"/>
        <v>33518.381999999998</v>
      </c>
      <c r="K55" s="76">
        <f t="shared" si="9"/>
        <v>146481.61800000002</v>
      </c>
    </row>
    <row r="56" spans="1:11">
      <c r="A56" s="77">
        <v>19</v>
      </c>
      <c r="B56" s="78" t="s">
        <v>155</v>
      </c>
      <c r="C56" s="76">
        <v>7000</v>
      </c>
      <c r="D56" s="76">
        <f>'Perfume Ropa Conf'!E15</f>
        <v>3238.0822400000002</v>
      </c>
      <c r="E56" s="72">
        <f t="shared" si="5"/>
        <v>3761.9177599999998</v>
      </c>
      <c r="F56" s="73">
        <f t="shared" si="6"/>
        <v>53.741682285714276</v>
      </c>
      <c r="G56" s="74"/>
      <c r="H56" s="79">
        <v>60</v>
      </c>
      <c r="I56" s="76">
        <f t="shared" si="7"/>
        <v>420000</v>
      </c>
      <c r="J56" s="76">
        <f t="shared" si="8"/>
        <v>194284.9344</v>
      </c>
      <c r="K56" s="76">
        <f t="shared" si="9"/>
        <v>225715.0656</v>
      </c>
    </row>
    <row r="57" spans="1:11">
      <c r="A57" s="77">
        <v>20</v>
      </c>
      <c r="B57" s="78" t="s">
        <v>279</v>
      </c>
      <c r="C57" s="76">
        <v>6000</v>
      </c>
      <c r="D57" s="76">
        <f>'Perfume Ropa Natur'!E15</f>
        <v>2586.0982400000003</v>
      </c>
      <c r="E57" s="72">
        <f t="shared" si="5"/>
        <v>3413.9017599999997</v>
      </c>
      <c r="F57" s="73">
        <f t="shared" si="6"/>
        <v>56.898362666666664</v>
      </c>
      <c r="G57" s="74"/>
      <c r="H57" s="79">
        <v>60</v>
      </c>
      <c r="I57" s="76">
        <f t="shared" si="7"/>
        <v>360000</v>
      </c>
      <c r="J57" s="76">
        <f t="shared" si="8"/>
        <v>155165.89440000002</v>
      </c>
      <c r="K57" s="76">
        <f t="shared" si="9"/>
        <v>204834.10559999998</v>
      </c>
    </row>
    <row r="58" spans="1:11" ht="15.75" thickBot="1">
      <c r="A58" s="77">
        <v>21</v>
      </c>
      <c r="B58" s="78" t="s">
        <v>151</v>
      </c>
      <c r="C58" s="76">
        <v>4000</v>
      </c>
      <c r="D58" s="76">
        <f>Multiuso!E15</f>
        <v>1805.4782000000002</v>
      </c>
      <c r="E58" s="72">
        <f t="shared" si="5"/>
        <v>2194.5217999999995</v>
      </c>
      <c r="F58" s="73">
        <f t="shared" si="6"/>
        <v>54.863044999999993</v>
      </c>
      <c r="G58" s="74"/>
      <c r="H58" s="79">
        <v>60</v>
      </c>
      <c r="I58" s="76">
        <f t="shared" si="7"/>
        <v>240000</v>
      </c>
      <c r="J58" s="76">
        <f t="shared" si="8"/>
        <v>108328.69200000001</v>
      </c>
      <c r="K58" s="76">
        <f t="shared" si="9"/>
        <v>131671.30799999999</v>
      </c>
    </row>
    <row r="59" spans="1:11" ht="16.5" thickBot="1">
      <c r="A59" s="80"/>
      <c r="B59" s="45" t="s">
        <v>62</v>
      </c>
      <c r="C59" s="45"/>
      <c r="D59" s="81"/>
      <c r="E59" s="81"/>
      <c r="F59" s="82"/>
      <c r="G59" s="83"/>
      <c r="H59" s="53">
        <f>SUM(H38:H58)</f>
        <v>5610</v>
      </c>
      <c r="I59" s="84">
        <f>SUM(I38:I58)</f>
        <v>17460000</v>
      </c>
      <c r="J59" s="84">
        <f>SUM(J38:J58)</f>
        <v>6074620.3804636355</v>
      </c>
      <c r="K59" s="84">
        <f>SUM(K38:K58)</f>
        <v>11385379.619536363</v>
      </c>
    </row>
    <row r="61" spans="1:11" ht="15.75" thickBot="1"/>
    <row r="62" spans="1:11" ht="63">
      <c r="A62" s="26" t="s">
        <v>50</v>
      </c>
      <c r="B62" s="26" t="s">
        <v>51</v>
      </c>
      <c r="C62" s="26" t="s">
        <v>52</v>
      </c>
      <c r="D62" s="26" t="s">
        <v>53</v>
      </c>
      <c r="E62" s="150" t="s">
        <v>54</v>
      </c>
      <c r="F62" s="150" t="s">
        <v>55</v>
      </c>
      <c r="G62" s="64"/>
      <c r="H62" s="65" t="s">
        <v>56</v>
      </c>
      <c r="I62" s="150" t="s">
        <v>57</v>
      </c>
      <c r="J62" s="150" t="s">
        <v>58</v>
      </c>
      <c r="K62" s="150" t="s">
        <v>59</v>
      </c>
    </row>
    <row r="63" spans="1:11" ht="16.5" thickBot="1">
      <c r="A63" s="66"/>
      <c r="B63" s="30" t="s">
        <v>60</v>
      </c>
      <c r="C63" s="66"/>
      <c r="D63" s="66"/>
      <c r="E63" s="32"/>
      <c r="F63" s="32" t="s">
        <v>61</v>
      </c>
      <c r="G63" s="67"/>
      <c r="H63" s="68"/>
      <c r="I63" s="30"/>
      <c r="J63" s="30"/>
      <c r="K63" s="32"/>
    </row>
    <row r="64" spans="1:11">
      <c r="A64" s="69">
        <v>1</v>
      </c>
      <c r="B64" s="70" t="s">
        <v>38</v>
      </c>
      <c r="C64" s="71">
        <v>2500</v>
      </c>
      <c r="D64" s="71">
        <f>Det.Verde!E15</f>
        <v>788.49538181818173</v>
      </c>
      <c r="E64" s="72">
        <f>+C64-D64</f>
        <v>1711.5046181818184</v>
      </c>
      <c r="F64" s="73">
        <f>+E64*100/C64</f>
        <v>68.460184727272747</v>
      </c>
      <c r="G64" s="74"/>
      <c r="H64" s="75">
        <v>800</v>
      </c>
      <c r="I64" s="76">
        <f>+H64*C64</f>
        <v>2000000</v>
      </c>
      <c r="J64" s="76">
        <f>+D64*H64</f>
        <v>630796.30545454542</v>
      </c>
      <c r="K64" s="76">
        <f>+I64-J64</f>
        <v>1369203.6945454546</v>
      </c>
    </row>
    <row r="65" spans="1:11">
      <c r="A65" s="77">
        <v>2</v>
      </c>
      <c r="B65" s="78" t="s">
        <v>141</v>
      </c>
      <c r="C65" s="76">
        <v>2000</v>
      </c>
      <c r="D65" s="76">
        <f>Det.Econom!E15</f>
        <v>583.74610181818184</v>
      </c>
      <c r="E65" s="72">
        <f t="shared" ref="E65:E84" si="10">+C65-D65</f>
        <v>1416.2538981818182</v>
      </c>
      <c r="F65" s="73">
        <f t="shared" ref="F65:F84" si="11">+E65*100/C65</f>
        <v>70.812694909090908</v>
      </c>
      <c r="G65" s="74"/>
      <c r="H65" s="79">
        <v>800</v>
      </c>
      <c r="I65" s="76">
        <f t="shared" ref="I65:I84" si="12">+H65*C65</f>
        <v>1600000</v>
      </c>
      <c r="J65" s="76">
        <f t="shared" ref="J65:J84" si="13">+D65*H65</f>
        <v>466996.88145454548</v>
      </c>
      <c r="K65" s="76">
        <f t="shared" ref="K65:K84" si="14">+I65-J65</f>
        <v>1133003.1185454545</v>
      </c>
    </row>
    <row r="66" spans="1:11">
      <c r="A66" s="77">
        <v>3</v>
      </c>
      <c r="B66" s="78" t="s">
        <v>142</v>
      </c>
      <c r="C66" s="76">
        <v>4000</v>
      </c>
      <c r="D66" s="76">
        <f>'Det. Especial'!E15</f>
        <v>1388.8732818181818</v>
      </c>
      <c r="E66" s="72">
        <f t="shared" si="10"/>
        <v>2611.1267181818184</v>
      </c>
      <c r="F66" s="73">
        <f t="shared" si="11"/>
        <v>65.278167954545467</v>
      </c>
      <c r="G66" s="74"/>
      <c r="H66" s="79">
        <v>800</v>
      </c>
      <c r="I66" s="76">
        <f t="shared" si="12"/>
        <v>3200000</v>
      </c>
      <c r="J66" s="76">
        <f t="shared" si="13"/>
        <v>1111098.6254545455</v>
      </c>
      <c r="K66" s="76">
        <f t="shared" si="14"/>
        <v>2088901.3745454545</v>
      </c>
    </row>
    <row r="67" spans="1:11">
      <c r="A67" s="77">
        <v>4</v>
      </c>
      <c r="B67" s="78" t="s">
        <v>275</v>
      </c>
      <c r="C67" s="76">
        <v>2500</v>
      </c>
      <c r="D67" s="76">
        <f>Det.Alcalino!E15</f>
        <v>1061.1538818181821</v>
      </c>
      <c r="E67" s="72">
        <f t="shared" si="10"/>
        <v>1438.8461181818179</v>
      </c>
      <c r="F67" s="73">
        <f t="shared" si="11"/>
        <v>57.553844727272718</v>
      </c>
      <c r="G67" s="74"/>
      <c r="H67" s="79">
        <v>600</v>
      </c>
      <c r="I67" s="76">
        <f t="shared" si="12"/>
        <v>1500000</v>
      </c>
      <c r="J67" s="76">
        <f t="shared" si="13"/>
        <v>636692.32909090922</v>
      </c>
      <c r="K67" s="76">
        <f t="shared" si="14"/>
        <v>863307.67090909078</v>
      </c>
    </row>
    <row r="68" spans="1:11">
      <c r="A68" s="77">
        <v>5</v>
      </c>
      <c r="B68" s="78" t="s">
        <v>273</v>
      </c>
      <c r="C68" s="76">
        <v>6000</v>
      </c>
      <c r="D68" s="76">
        <f>'Jabón Liq. Ropa'!E16</f>
        <v>2221.5638818181819</v>
      </c>
      <c r="E68" s="72">
        <f t="shared" si="10"/>
        <v>3778.4361181818181</v>
      </c>
      <c r="F68" s="73">
        <f t="shared" si="11"/>
        <v>62.973935303030302</v>
      </c>
      <c r="G68" s="74"/>
      <c r="H68" s="79">
        <v>800</v>
      </c>
      <c r="I68" s="76">
        <f t="shared" si="12"/>
        <v>4800000</v>
      </c>
      <c r="J68" s="76">
        <f t="shared" si="13"/>
        <v>1777251.1054545455</v>
      </c>
      <c r="K68" s="76">
        <f t="shared" si="14"/>
        <v>3022748.8945454545</v>
      </c>
    </row>
    <row r="69" spans="1:11">
      <c r="A69" s="77">
        <v>6</v>
      </c>
      <c r="B69" s="78" t="s">
        <v>272</v>
      </c>
      <c r="C69" s="76">
        <v>2500</v>
      </c>
      <c r="D69" s="76">
        <f>'Jabón Liq.Mano'!E15</f>
        <v>776.72011261818193</v>
      </c>
      <c r="E69" s="72">
        <f t="shared" si="10"/>
        <v>1723.2798873818181</v>
      </c>
      <c r="F69" s="73">
        <f t="shared" si="11"/>
        <v>68.931195495272718</v>
      </c>
      <c r="G69" s="74"/>
      <c r="H69" s="79">
        <v>80</v>
      </c>
      <c r="I69" s="76">
        <f t="shared" si="12"/>
        <v>200000</v>
      </c>
      <c r="J69" s="76">
        <f t="shared" si="13"/>
        <v>62137.609009454551</v>
      </c>
      <c r="K69" s="76">
        <f t="shared" si="14"/>
        <v>137862.39099054545</v>
      </c>
    </row>
    <row r="70" spans="1:11">
      <c r="A70" s="77">
        <v>7</v>
      </c>
      <c r="B70" s="78" t="s">
        <v>63</v>
      </c>
      <c r="C70" s="76">
        <v>3000</v>
      </c>
      <c r="D70" s="76">
        <f>'Suav. Confor'!E11</f>
        <v>1049.2717654545454</v>
      </c>
      <c r="E70" s="72">
        <f t="shared" si="10"/>
        <v>1950.7282345454546</v>
      </c>
      <c r="F70" s="73">
        <f t="shared" si="11"/>
        <v>65.02427448484849</v>
      </c>
      <c r="G70" s="74"/>
      <c r="H70" s="79">
        <v>800</v>
      </c>
      <c r="I70" s="76">
        <f t="shared" si="12"/>
        <v>2400000</v>
      </c>
      <c r="J70" s="76">
        <f t="shared" si="13"/>
        <v>839417.41236363631</v>
      </c>
      <c r="K70" s="76">
        <f t="shared" si="14"/>
        <v>1560582.5876363637</v>
      </c>
    </row>
    <row r="71" spans="1:11">
      <c r="A71" s="77">
        <v>8</v>
      </c>
      <c r="B71" s="78" t="s">
        <v>154</v>
      </c>
      <c r="C71" s="76">
        <v>2500</v>
      </c>
      <c r="D71" s="76">
        <f>'Suav. Natural'!E11</f>
        <v>1063.1902844545457</v>
      </c>
      <c r="E71" s="72">
        <f t="shared" si="10"/>
        <v>1436.8097155454543</v>
      </c>
      <c r="F71" s="73">
        <f t="shared" si="11"/>
        <v>57.472388621818169</v>
      </c>
      <c r="G71" s="74"/>
      <c r="H71" s="79">
        <v>400</v>
      </c>
      <c r="I71" s="76">
        <f t="shared" si="12"/>
        <v>1000000</v>
      </c>
      <c r="J71" s="76">
        <f t="shared" si="13"/>
        <v>425276.11378181831</v>
      </c>
      <c r="K71" s="76">
        <f t="shared" si="14"/>
        <v>574723.88621818169</v>
      </c>
    </row>
    <row r="72" spans="1:11">
      <c r="A72" s="77">
        <v>9</v>
      </c>
      <c r="B72" s="78" t="s">
        <v>172</v>
      </c>
      <c r="C72" s="76">
        <v>3000</v>
      </c>
      <c r="D72" s="76">
        <f>'Suav. Viveré'!E11</f>
        <v>1101.8032054545454</v>
      </c>
      <c r="E72" s="72">
        <f t="shared" si="10"/>
        <v>1898.1967945454546</v>
      </c>
      <c r="F72" s="73">
        <f t="shared" si="11"/>
        <v>63.273226484848486</v>
      </c>
      <c r="G72" s="74"/>
      <c r="H72" s="79">
        <v>400</v>
      </c>
      <c r="I72" s="76">
        <f t="shared" si="12"/>
        <v>1200000</v>
      </c>
      <c r="J72" s="76">
        <f t="shared" si="13"/>
        <v>440721.28218181815</v>
      </c>
      <c r="K72" s="76">
        <f t="shared" si="14"/>
        <v>759278.71781818185</v>
      </c>
    </row>
    <row r="73" spans="1:11">
      <c r="A73" s="77">
        <v>10</v>
      </c>
      <c r="B73" s="78" t="s">
        <v>108</v>
      </c>
      <c r="C73" s="76">
        <v>2000</v>
      </c>
      <c r="D73" s="76">
        <f>Cloro!E9</f>
        <v>750</v>
      </c>
      <c r="E73" s="72">
        <f t="shared" si="10"/>
        <v>1250</v>
      </c>
      <c r="F73" s="73">
        <f t="shared" si="11"/>
        <v>62.5</v>
      </c>
      <c r="G73" s="74"/>
      <c r="H73" s="79">
        <v>600</v>
      </c>
      <c r="I73" s="76">
        <f t="shared" si="12"/>
        <v>1200000</v>
      </c>
      <c r="J73" s="76">
        <f t="shared" si="13"/>
        <v>450000</v>
      </c>
      <c r="K73" s="76">
        <f t="shared" si="14"/>
        <v>750000</v>
      </c>
    </row>
    <row r="74" spans="1:11">
      <c r="A74" s="77">
        <v>11</v>
      </c>
      <c r="B74" s="78" t="s">
        <v>26</v>
      </c>
      <c r="C74" s="76">
        <v>2000</v>
      </c>
      <c r="D74" s="76">
        <f>'Desod. Lav'!E9</f>
        <v>500</v>
      </c>
      <c r="E74" s="72">
        <f t="shared" si="10"/>
        <v>1500</v>
      </c>
      <c r="F74" s="73">
        <f t="shared" si="11"/>
        <v>75</v>
      </c>
      <c r="G74" s="74"/>
      <c r="H74" s="79">
        <v>320</v>
      </c>
      <c r="I74" s="76">
        <f t="shared" si="12"/>
        <v>640000</v>
      </c>
      <c r="J74" s="76">
        <f t="shared" si="13"/>
        <v>160000</v>
      </c>
      <c r="K74" s="76">
        <f t="shared" si="14"/>
        <v>480000</v>
      </c>
    </row>
    <row r="75" spans="1:11">
      <c r="A75" s="77">
        <v>12</v>
      </c>
      <c r="B75" s="78" t="s">
        <v>277</v>
      </c>
      <c r="C75" s="76">
        <v>2500</v>
      </c>
      <c r="D75" s="76">
        <f>'Desod. Primavera'!E9</f>
        <v>800</v>
      </c>
      <c r="E75" s="72">
        <f t="shared" si="10"/>
        <v>1700</v>
      </c>
      <c r="F75" s="73">
        <f t="shared" si="11"/>
        <v>68</v>
      </c>
      <c r="G75" s="74"/>
      <c r="H75" s="79">
        <v>160</v>
      </c>
      <c r="I75" s="76">
        <f t="shared" si="12"/>
        <v>400000</v>
      </c>
      <c r="J75" s="76">
        <f t="shared" si="13"/>
        <v>128000</v>
      </c>
      <c r="K75" s="76">
        <f t="shared" si="14"/>
        <v>272000</v>
      </c>
    </row>
    <row r="76" spans="1:11">
      <c r="A76" s="77">
        <v>13</v>
      </c>
      <c r="B76" s="78" t="s">
        <v>146</v>
      </c>
      <c r="C76" s="76">
        <v>2000</v>
      </c>
      <c r="D76" s="76">
        <f>'Desod. Lav'!E9</f>
        <v>500</v>
      </c>
      <c r="E76" s="72">
        <f t="shared" si="10"/>
        <v>1500</v>
      </c>
      <c r="F76" s="73">
        <f t="shared" si="11"/>
        <v>75</v>
      </c>
      <c r="G76" s="74"/>
      <c r="H76" s="79">
        <v>160</v>
      </c>
      <c r="I76" s="76">
        <f t="shared" si="12"/>
        <v>320000</v>
      </c>
      <c r="J76" s="76">
        <f t="shared" si="13"/>
        <v>80000</v>
      </c>
      <c r="K76" s="76">
        <f t="shared" si="14"/>
        <v>240000</v>
      </c>
    </row>
    <row r="77" spans="1:11">
      <c r="A77" s="77">
        <v>14</v>
      </c>
      <c r="B77" s="78" t="s">
        <v>278</v>
      </c>
      <c r="C77" s="76">
        <v>2500</v>
      </c>
      <c r="D77" s="76">
        <f>'Desod. Primavera'!E9</f>
        <v>800</v>
      </c>
      <c r="E77" s="72">
        <f t="shared" si="10"/>
        <v>1700</v>
      </c>
      <c r="F77" s="73">
        <f t="shared" si="11"/>
        <v>68</v>
      </c>
      <c r="G77" s="74"/>
      <c r="H77" s="79">
        <v>160</v>
      </c>
      <c r="I77" s="76">
        <f t="shared" si="12"/>
        <v>400000</v>
      </c>
      <c r="J77" s="76">
        <f t="shared" si="13"/>
        <v>128000</v>
      </c>
      <c r="K77" s="76">
        <f t="shared" si="14"/>
        <v>272000</v>
      </c>
    </row>
    <row r="78" spans="1:11">
      <c r="A78" s="77">
        <v>15</v>
      </c>
      <c r="B78" s="70" t="s">
        <v>145</v>
      </c>
      <c r="C78" s="72">
        <v>2000</v>
      </c>
      <c r="D78" s="72">
        <f>'Desod. Citron'!E9</f>
        <v>401.70676460000004</v>
      </c>
      <c r="E78" s="72">
        <f t="shared" si="10"/>
        <v>1598.2932354</v>
      </c>
      <c r="F78" s="73">
        <f t="shared" si="11"/>
        <v>79.914661769999995</v>
      </c>
      <c r="G78" s="74"/>
      <c r="H78" s="75">
        <v>160</v>
      </c>
      <c r="I78" s="76">
        <f t="shared" si="12"/>
        <v>320000</v>
      </c>
      <c r="J78" s="76">
        <f t="shared" si="13"/>
        <v>64273.082336000007</v>
      </c>
      <c r="K78" s="76">
        <f t="shared" si="14"/>
        <v>255726.91766400001</v>
      </c>
    </row>
    <row r="79" spans="1:11">
      <c r="A79" s="77">
        <v>16</v>
      </c>
      <c r="B79" s="78" t="s">
        <v>147</v>
      </c>
      <c r="C79" s="76">
        <v>2500</v>
      </c>
      <c r="D79" s="76">
        <f>'Desod. Primavera'!E9</f>
        <v>800</v>
      </c>
      <c r="E79" s="72">
        <f t="shared" si="10"/>
        <v>1700</v>
      </c>
      <c r="F79" s="73">
        <f t="shared" si="11"/>
        <v>68</v>
      </c>
      <c r="G79" s="74"/>
      <c r="H79" s="79">
        <v>160</v>
      </c>
      <c r="I79" s="76">
        <f t="shared" si="12"/>
        <v>400000</v>
      </c>
      <c r="J79" s="76">
        <f t="shared" si="13"/>
        <v>128000</v>
      </c>
      <c r="K79" s="76">
        <f t="shared" si="14"/>
        <v>272000</v>
      </c>
    </row>
    <row r="80" spans="1:11">
      <c r="A80" s="77">
        <v>17</v>
      </c>
      <c r="B80" s="78" t="s">
        <v>149</v>
      </c>
      <c r="C80" s="76">
        <v>2500</v>
      </c>
      <c r="D80" s="76">
        <f>'Desod. Primavera'!E9</f>
        <v>800</v>
      </c>
      <c r="E80" s="72">
        <f t="shared" si="10"/>
        <v>1700</v>
      </c>
      <c r="F80" s="73">
        <f t="shared" si="11"/>
        <v>68</v>
      </c>
      <c r="G80" s="74"/>
      <c r="H80" s="79">
        <v>160</v>
      </c>
      <c r="I80" s="76">
        <f t="shared" si="12"/>
        <v>400000</v>
      </c>
      <c r="J80" s="76">
        <f t="shared" si="13"/>
        <v>128000</v>
      </c>
      <c r="K80" s="76">
        <f t="shared" si="14"/>
        <v>272000</v>
      </c>
    </row>
    <row r="81" spans="1:11">
      <c r="A81" s="77">
        <v>18</v>
      </c>
      <c r="B81" s="78" t="s">
        <v>171</v>
      </c>
      <c r="C81" s="76">
        <v>3000</v>
      </c>
      <c r="D81" s="76">
        <f>'Limpia Vidrio'!E15</f>
        <v>558.63969999999995</v>
      </c>
      <c r="E81" s="72">
        <f t="shared" si="10"/>
        <v>2441.3603000000003</v>
      </c>
      <c r="F81" s="73">
        <f t="shared" si="11"/>
        <v>81.378676666666678</v>
      </c>
      <c r="G81" s="74"/>
      <c r="H81" s="79">
        <v>80</v>
      </c>
      <c r="I81" s="76">
        <f t="shared" si="12"/>
        <v>240000</v>
      </c>
      <c r="J81" s="76">
        <f t="shared" si="13"/>
        <v>44691.175999999992</v>
      </c>
      <c r="K81" s="76">
        <f t="shared" si="14"/>
        <v>195308.82400000002</v>
      </c>
    </row>
    <row r="82" spans="1:11">
      <c r="A82" s="77">
        <v>19</v>
      </c>
      <c r="B82" s="78" t="s">
        <v>155</v>
      </c>
      <c r="C82" s="76">
        <v>7000</v>
      </c>
      <c r="D82" s="76">
        <f>'Perfume Ropa Conf'!E15</f>
        <v>3238.0822400000002</v>
      </c>
      <c r="E82" s="72">
        <f t="shared" si="10"/>
        <v>3761.9177599999998</v>
      </c>
      <c r="F82" s="73">
        <f t="shared" si="11"/>
        <v>53.741682285714276</v>
      </c>
      <c r="G82" s="74"/>
      <c r="H82" s="79">
        <v>80</v>
      </c>
      <c r="I82" s="76">
        <f t="shared" si="12"/>
        <v>560000</v>
      </c>
      <c r="J82" s="76">
        <f t="shared" si="13"/>
        <v>259046.57920000001</v>
      </c>
      <c r="K82" s="76">
        <f t="shared" si="14"/>
        <v>300953.42079999996</v>
      </c>
    </row>
    <row r="83" spans="1:11">
      <c r="A83" s="77">
        <v>20</v>
      </c>
      <c r="B83" s="78" t="s">
        <v>279</v>
      </c>
      <c r="C83" s="76">
        <v>6000</v>
      </c>
      <c r="D83" s="76">
        <f>'Perfume Ropa Natur'!E15</f>
        <v>2586.0982400000003</v>
      </c>
      <c r="E83" s="72">
        <f t="shared" si="10"/>
        <v>3413.9017599999997</v>
      </c>
      <c r="F83" s="73">
        <f t="shared" si="11"/>
        <v>56.898362666666664</v>
      </c>
      <c r="G83" s="74"/>
      <c r="H83" s="79">
        <v>80</v>
      </c>
      <c r="I83" s="76">
        <f t="shared" si="12"/>
        <v>480000</v>
      </c>
      <c r="J83" s="76">
        <f t="shared" si="13"/>
        <v>206887.85920000001</v>
      </c>
      <c r="K83" s="76">
        <f t="shared" si="14"/>
        <v>273112.14079999999</v>
      </c>
    </row>
    <row r="84" spans="1:11" ht="15.75" thickBot="1">
      <c r="A84" s="77">
        <v>21</v>
      </c>
      <c r="B84" s="78" t="s">
        <v>151</v>
      </c>
      <c r="C84" s="76">
        <v>4000</v>
      </c>
      <c r="D84" s="76">
        <f>Multiuso!E15</f>
        <v>1805.4782000000002</v>
      </c>
      <c r="E84" s="72">
        <f t="shared" si="10"/>
        <v>2194.5217999999995</v>
      </c>
      <c r="F84" s="73">
        <f t="shared" si="11"/>
        <v>54.863044999999993</v>
      </c>
      <c r="G84" s="74"/>
      <c r="H84" s="79">
        <v>80</v>
      </c>
      <c r="I84" s="76">
        <f t="shared" si="12"/>
        <v>320000</v>
      </c>
      <c r="J84" s="76">
        <f t="shared" si="13"/>
        <v>144438.25600000002</v>
      </c>
      <c r="K84" s="76">
        <f t="shared" si="14"/>
        <v>175561.74399999998</v>
      </c>
    </row>
    <row r="85" spans="1:11" ht="16.5" thickBot="1">
      <c r="A85" s="80"/>
      <c r="B85" s="45" t="s">
        <v>62</v>
      </c>
      <c r="C85" s="45"/>
      <c r="D85" s="76">
        <f>Multiuso!E16</f>
        <v>0</v>
      </c>
      <c r="E85" s="81"/>
      <c r="F85" s="82"/>
      <c r="G85" s="83"/>
      <c r="H85" s="53">
        <f>SUM(H64:H84)</f>
        <v>7680</v>
      </c>
      <c r="I85" s="84">
        <f>SUM(I64:I84)</f>
        <v>23580000</v>
      </c>
      <c r="J85" s="84">
        <f>SUM(J64:J84)</f>
        <v>8311724.6169818183</v>
      </c>
      <c r="K85" s="84">
        <f>SUM(K64:K84)</f>
        <v>15268275.383018186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6"/>
  <sheetViews>
    <sheetView topLeftCell="A2" workbookViewId="0">
      <selection activeCell="B14" sqref="B14"/>
    </sheetView>
  </sheetViews>
  <sheetFormatPr baseColWidth="10" defaultRowHeight="15"/>
  <cols>
    <col min="1" max="1" width="46.85546875" customWidth="1"/>
    <col min="2" max="2" width="19.7109375" customWidth="1"/>
  </cols>
  <sheetData>
    <row r="1" spans="1:2" ht="24" customHeight="1" thickBot="1">
      <c r="A1" s="85" t="s">
        <v>64</v>
      </c>
      <c r="B1" s="86"/>
    </row>
    <row r="2" spans="1:2" ht="24" customHeight="1" thickBot="1">
      <c r="A2" s="87" t="s">
        <v>65</v>
      </c>
      <c r="B2" s="88" t="s">
        <v>66</v>
      </c>
    </row>
    <row r="3" spans="1:2" ht="24" customHeight="1">
      <c r="A3" s="89" t="s">
        <v>67</v>
      </c>
      <c r="B3" s="90">
        <v>2000000</v>
      </c>
    </row>
    <row r="4" spans="1:2" ht="24" customHeight="1">
      <c r="A4" s="91" t="s">
        <v>68</v>
      </c>
      <c r="B4" s="92">
        <v>0</v>
      </c>
    </row>
    <row r="5" spans="1:2" ht="24" customHeight="1">
      <c r="A5" s="91" t="s">
        <v>69</v>
      </c>
      <c r="B5" s="92">
        <v>100000</v>
      </c>
    </row>
    <row r="6" spans="1:2" ht="24" customHeight="1">
      <c r="A6" s="93" t="s">
        <v>70</v>
      </c>
      <c r="B6" s="92">
        <f>+'[1]RRHH 1'!F15+'[1]RRHH 1'!F16</f>
        <v>0</v>
      </c>
    </row>
    <row r="7" spans="1:2" ht="24" customHeight="1">
      <c r="A7" s="94" t="s">
        <v>71</v>
      </c>
      <c r="B7" s="92">
        <v>1000000</v>
      </c>
    </row>
    <row r="8" spans="1:2" ht="24" customHeight="1">
      <c r="A8" s="91" t="s">
        <v>72</v>
      </c>
      <c r="B8" s="92">
        <v>30000</v>
      </c>
    </row>
    <row r="9" spans="1:2" ht="24" customHeight="1">
      <c r="A9" s="91" t="s">
        <v>73</v>
      </c>
      <c r="B9" s="92">
        <v>50000</v>
      </c>
    </row>
    <row r="10" spans="1:2" ht="24" customHeight="1">
      <c r="A10" s="91" t="s">
        <v>74</v>
      </c>
      <c r="B10" s="92">
        <v>0</v>
      </c>
    </row>
    <row r="11" spans="1:2" ht="24" customHeight="1">
      <c r="A11" s="91" t="s">
        <v>9</v>
      </c>
      <c r="B11" s="92">
        <v>0</v>
      </c>
    </row>
    <row r="12" spans="1:2" ht="24" customHeight="1">
      <c r="A12" s="91" t="s">
        <v>75</v>
      </c>
      <c r="B12" s="92">
        <v>0</v>
      </c>
    </row>
    <row r="13" spans="1:2" ht="24" customHeight="1">
      <c r="A13" s="91" t="s">
        <v>76</v>
      </c>
      <c r="B13" s="92">
        <v>250000</v>
      </c>
    </row>
    <row r="14" spans="1:2" ht="24" customHeight="1">
      <c r="A14" s="95" t="s">
        <v>77</v>
      </c>
      <c r="B14" s="96">
        <v>500000</v>
      </c>
    </row>
    <row r="15" spans="1:2" ht="33.75" customHeight="1">
      <c r="A15" s="91" t="s">
        <v>78</v>
      </c>
      <c r="B15" s="92">
        <v>300000</v>
      </c>
    </row>
    <row r="16" spans="1:2" ht="24" customHeight="1" thickBot="1">
      <c r="A16" s="97" t="s">
        <v>62</v>
      </c>
      <c r="B16" s="98">
        <f>SUM(B3:B15)</f>
        <v>4230000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55"/>
  <sheetViews>
    <sheetView topLeftCell="A34" workbookViewId="0">
      <selection activeCell="G52" sqref="G52"/>
    </sheetView>
  </sheetViews>
  <sheetFormatPr baseColWidth="10" defaultRowHeight="15"/>
  <cols>
    <col min="1" max="1" width="30.140625" customWidth="1"/>
    <col min="3" max="3" width="15.42578125" customWidth="1"/>
    <col min="4" max="4" width="18.5703125" customWidth="1"/>
    <col min="6" max="6" width="23.140625" customWidth="1"/>
    <col min="7" max="7" width="13.140625" bestFit="1" customWidth="1"/>
    <col min="10" max="10" width="11.5703125" bestFit="1" customWidth="1"/>
  </cols>
  <sheetData>
    <row r="1" spans="1:11" ht="26.25">
      <c r="A1" s="209" t="s">
        <v>79</v>
      </c>
      <c r="B1" s="209"/>
      <c r="C1" s="209"/>
      <c r="D1" s="209"/>
    </row>
    <row r="2" spans="1:11" ht="21">
      <c r="A2" s="102" t="s">
        <v>80</v>
      </c>
      <c r="B2" s="102" t="s">
        <v>81</v>
      </c>
      <c r="C2" s="102" t="s">
        <v>82</v>
      </c>
      <c r="D2" s="102" t="s">
        <v>83</v>
      </c>
    </row>
    <row r="3" spans="1:11" ht="15.75">
      <c r="A3" s="103" t="s">
        <v>84</v>
      </c>
      <c r="B3" s="103">
        <v>1</v>
      </c>
      <c r="C3" s="104">
        <v>1500000</v>
      </c>
      <c r="D3" s="105">
        <f t="shared" ref="D3:D9" si="0">C3*B3</f>
        <v>1500000</v>
      </c>
      <c r="F3" s="197" t="s">
        <v>113</v>
      </c>
      <c r="G3" s="197"/>
      <c r="I3" t="s">
        <v>116</v>
      </c>
      <c r="J3" t="s">
        <v>169</v>
      </c>
      <c r="K3" t="s">
        <v>117</v>
      </c>
    </row>
    <row r="4" spans="1:11" ht="15.75">
      <c r="A4" s="103" t="s">
        <v>85</v>
      </c>
      <c r="B4" s="103">
        <v>1</v>
      </c>
      <c r="C4" s="104">
        <v>0</v>
      </c>
      <c r="D4" s="105">
        <f t="shared" si="0"/>
        <v>0</v>
      </c>
      <c r="F4" t="s">
        <v>168</v>
      </c>
      <c r="G4" s="100">
        <v>200000</v>
      </c>
      <c r="I4" s="101">
        <f>10000000-G55</f>
        <v>-5210000</v>
      </c>
      <c r="J4" s="100">
        <v>0</v>
      </c>
      <c r="K4" s="101">
        <f>I4-J4</f>
        <v>-5210000</v>
      </c>
    </row>
    <row r="5" spans="1:11" ht="15.75">
      <c r="A5" s="103" t="s">
        <v>86</v>
      </c>
      <c r="B5" s="103">
        <v>8</v>
      </c>
      <c r="C5" s="104">
        <v>50000</v>
      </c>
      <c r="D5" s="105">
        <f t="shared" si="0"/>
        <v>400000</v>
      </c>
      <c r="F5" t="s">
        <v>168</v>
      </c>
      <c r="G5" s="100">
        <v>200000</v>
      </c>
    </row>
    <row r="6" spans="1:11" ht="15.75">
      <c r="A6" s="103" t="s">
        <v>87</v>
      </c>
      <c r="B6" s="103">
        <v>3</v>
      </c>
      <c r="C6" s="104">
        <v>80000</v>
      </c>
      <c r="D6" s="105">
        <f t="shared" si="0"/>
        <v>240000</v>
      </c>
      <c r="F6" t="s">
        <v>173</v>
      </c>
      <c r="G6" s="100">
        <v>100000</v>
      </c>
      <c r="J6" s="100"/>
    </row>
    <row r="7" spans="1:11" ht="15.75">
      <c r="A7" s="152" t="s">
        <v>88</v>
      </c>
      <c r="B7" s="152">
        <v>5</v>
      </c>
      <c r="C7" s="153">
        <v>140000</v>
      </c>
      <c r="D7" s="154">
        <f t="shared" si="0"/>
        <v>700000</v>
      </c>
      <c r="F7" t="s">
        <v>174</v>
      </c>
      <c r="G7" s="100">
        <v>1200000</v>
      </c>
      <c r="K7" s="100"/>
    </row>
    <row r="8" spans="1:11" ht="15.75">
      <c r="A8" s="103" t="s">
        <v>164</v>
      </c>
      <c r="B8" s="103">
        <v>1</v>
      </c>
      <c r="C8" s="104">
        <v>1000000</v>
      </c>
      <c r="D8" s="105">
        <f t="shared" si="0"/>
        <v>1000000</v>
      </c>
      <c r="F8" t="s">
        <v>175</v>
      </c>
      <c r="G8" s="100">
        <v>500000</v>
      </c>
      <c r="K8" s="100"/>
    </row>
    <row r="9" spans="1:11" ht="15.75">
      <c r="A9" s="103" t="s">
        <v>89</v>
      </c>
      <c r="B9" s="103">
        <v>1</v>
      </c>
      <c r="C9" s="104">
        <v>500000</v>
      </c>
      <c r="D9" s="105">
        <f t="shared" si="0"/>
        <v>500000</v>
      </c>
      <c r="F9" t="s">
        <v>168</v>
      </c>
      <c r="G9" s="100">
        <v>300000</v>
      </c>
      <c r="K9" s="100"/>
    </row>
    <row r="10" spans="1:11" ht="21">
      <c r="A10" s="210" t="s">
        <v>90</v>
      </c>
      <c r="B10" s="211"/>
      <c r="C10" s="106"/>
      <c r="D10" s="107">
        <f>SUM(D3:D9)</f>
        <v>4340000</v>
      </c>
      <c r="F10" t="s">
        <v>192</v>
      </c>
      <c r="G10" s="100">
        <v>300000</v>
      </c>
      <c r="K10" s="100"/>
    </row>
    <row r="11" spans="1:11">
      <c r="F11" t="s">
        <v>193</v>
      </c>
      <c r="G11" s="100">
        <v>250000</v>
      </c>
      <c r="K11" s="101"/>
    </row>
    <row r="12" spans="1:11">
      <c r="F12" t="s">
        <v>194</v>
      </c>
      <c r="G12" s="100">
        <v>1000000</v>
      </c>
    </row>
    <row r="13" spans="1:11">
      <c r="F13" t="s">
        <v>203</v>
      </c>
      <c r="G13" s="100">
        <v>2100000</v>
      </c>
    </row>
    <row r="14" spans="1:11">
      <c r="F14" t="s">
        <v>204</v>
      </c>
      <c r="G14" s="100">
        <v>150000</v>
      </c>
    </row>
    <row r="15" spans="1:11">
      <c r="F15" t="s">
        <v>168</v>
      </c>
      <c r="G15" s="100">
        <v>50000</v>
      </c>
    </row>
    <row r="16" spans="1:11">
      <c r="F16" t="s">
        <v>205</v>
      </c>
      <c r="G16" s="100">
        <v>35000</v>
      </c>
    </row>
    <row r="17" spans="6:7">
      <c r="F17" t="s">
        <v>206</v>
      </c>
      <c r="G17" s="100">
        <v>439500</v>
      </c>
    </row>
    <row r="18" spans="6:7">
      <c r="F18" t="s">
        <v>236</v>
      </c>
      <c r="G18" s="100">
        <v>20000</v>
      </c>
    </row>
    <row r="19" spans="6:7">
      <c r="F19" t="s">
        <v>207</v>
      </c>
      <c r="G19" s="100">
        <v>758700</v>
      </c>
    </row>
    <row r="20" spans="6:7">
      <c r="F20" t="s">
        <v>237</v>
      </c>
      <c r="G20" s="100">
        <v>15000</v>
      </c>
    </row>
    <row r="21" spans="6:7">
      <c r="F21" t="s">
        <v>208</v>
      </c>
      <c r="G21" s="100">
        <v>703200</v>
      </c>
    </row>
    <row r="22" spans="6:7">
      <c r="F22" t="s">
        <v>209</v>
      </c>
      <c r="G22" s="100">
        <v>1174500</v>
      </c>
    </row>
    <row r="23" spans="6:7">
      <c r="F23" t="s">
        <v>235</v>
      </c>
      <c r="G23" s="100">
        <v>110000</v>
      </c>
    </row>
    <row r="24" spans="6:7">
      <c r="F24" t="s">
        <v>238</v>
      </c>
      <c r="G24" s="100">
        <f>1175000+112300</f>
        <v>1287300</v>
      </c>
    </row>
    <row r="25" spans="6:7">
      <c r="F25" t="s">
        <v>239</v>
      </c>
      <c r="G25" s="100">
        <v>115000</v>
      </c>
    </row>
    <row r="26" spans="6:7">
      <c r="F26" t="s">
        <v>240</v>
      </c>
      <c r="G26" s="100">
        <v>158994</v>
      </c>
    </row>
    <row r="27" spans="6:7">
      <c r="F27" t="s">
        <v>241</v>
      </c>
      <c r="G27" s="100">
        <v>658296</v>
      </c>
    </row>
    <row r="28" spans="6:7">
      <c r="F28" t="s">
        <v>242</v>
      </c>
      <c r="G28" s="100">
        <v>50000</v>
      </c>
    </row>
    <row r="29" spans="6:7">
      <c r="F29" t="s">
        <v>243</v>
      </c>
      <c r="G29" s="100">
        <v>40000</v>
      </c>
    </row>
    <row r="30" spans="6:7">
      <c r="F30" t="s">
        <v>244</v>
      </c>
      <c r="G30" s="100">
        <v>20000</v>
      </c>
    </row>
    <row r="31" spans="6:7">
      <c r="F31" t="s">
        <v>245</v>
      </c>
      <c r="G31" s="100">
        <v>60000</v>
      </c>
    </row>
    <row r="32" spans="6:7">
      <c r="F32" t="s">
        <v>246</v>
      </c>
      <c r="G32" s="100">
        <v>350000</v>
      </c>
    </row>
    <row r="33" spans="6:7">
      <c r="F33" t="s">
        <v>247</v>
      </c>
      <c r="G33" s="100">
        <v>150000</v>
      </c>
    </row>
    <row r="34" spans="6:7">
      <c r="F34" t="s">
        <v>248</v>
      </c>
      <c r="G34" s="100">
        <v>100000</v>
      </c>
    </row>
    <row r="35" spans="6:7">
      <c r="F35" t="s">
        <v>249</v>
      </c>
      <c r="G35" s="100">
        <v>20000</v>
      </c>
    </row>
    <row r="36" spans="6:7">
      <c r="F36" t="s">
        <v>250</v>
      </c>
      <c r="G36" s="100">
        <v>123000</v>
      </c>
    </row>
    <row r="37" spans="6:7">
      <c r="F37" t="s">
        <v>251</v>
      </c>
      <c r="G37" s="100">
        <v>200000</v>
      </c>
    </row>
    <row r="38" spans="6:7">
      <c r="F38" t="s">
        <v>252</v>
      </c>
      <c r="G38" s="100">
        <v>61510</v>
      </c>
    </row>
    <row r="39" spans="6:7">
      <c r="F39" t="s">
        <v>313</v>
      </c>
      <c r="G39" s="100">
        <v>70000</v>
      </c>
    </row>
    <row r="40" spans="6:7">
      <c r="F40" t="s">
        <v>314</v>
      </c>
      <c r="G40" s="100">
        <v>80000</v>
      </c>
    </row>
    <row r="41" spans="6:7">
      <c r="F41" t="s">
        <v>315</v>
      </c>
      <c r="G41" s="100">
        <v>100000</v>
      </c>
    </row>
    <row r="42" spans="6:7">
      <c r="F42" t="s">
        <v>316</v>
      </c>
      <c r="G42" s="100">
        <v>400000</v>
      </c>
    </row>
    <row r="43" spans="6:7">
      <c r="F43" t="s">
        <v>317</v>
      </c>
      <c r="G43" s="100">
        <v>200000</v>
      </c>
    </row>
    <row r="44" spans="6:7">
      <c r="F44" t="s">
        <v>318</v>
      </c>
      <c r="G44" s="100">
        <v>150000</v>
      </c>
    </row>
    <row r="45" spans="6:7">
      <c r="F45" t="s">
        <v>319</v>
      </c>
      <c r="G45" s="100">
        <v>100000</v>
      </c>
    </row>
    <row r="46" spans="6:7">
      <c r="F46" t="s">
        <v>174</v>
      </c>
      <c r="G46" s="100">
        <v>400000</v>
      </c>
    </row>
    <row r="47" spans="6:7">
      <c r="F47" t="s">
        <v>320</v>
      </c>
      <c r="G47" s="100">
        <v>70000</v>
      </c>
    </row>
    <row r="48" spans="6:7">
      <c r="F48" t="s">
        <v>189</v>
      </c>
      <c r="G48" s="100">
        <v>20000</v>
      </c>
    </row>
    <row r="49" spans="6:7">
      <c r="F49" t="s">
        <v>321</v>
      </c>
      <c r="G49" s="100">
        <v>100000</v>
      </c>
    </row>
    <row r="50" spans="6:7">
      <c r="F50" t="s">
        <v>175</v>
      </c>
      <c r="G50" s="100">
        <v>400000</v>
      </c>
    </row>
    <row r="51" spans="6:7">
      <c r="F51" t="s">
        <v>322</v>
      </c>
      <c r="G51" s="100">
        <v>80000</v>
      </c>
    </row>
    <row r="52" spans="6:7">
      <c r="F52" t="s">
        <v>323</v>
      </c>
      <c r="G52" s="100">
        <v>40000</v>
      </c>
    </row>
    <row r="53" spans="6:7">
      <c r="G53" s="100"/>
    </row>
    <row r="54" spans="6:7">
      <c r="G54" s="100"/>
    </row>
    <row r="55" spans="6:7">
      <c r="F55" t="s">
        <v>45</v>
      </c>
      <c r="G55" s="101">
        <f>SUM(G4:G54)</f>
        <v>15210000</v>
      </c>
    </row>
  </sheetData>
  <mergeCells count="3">
    <mergeCell ref="A1:D1"/>
    <mergeCell ref="A10:B10"/>
    <mergeCell ref="F3:G3"/>
  </mergeCells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F11" sqref="F11"/>
    </sheetView>
  </sheetViews>
  <sheetFormatPr baseColWidth="10" defaultRowHeight="15"/>
  <cols>
    <col min="1" max="1" width="6.42578125" customWidth="1"/>
    <col min="2" max="2" width="35.5703125" customWidth="1"/>
    <col min="3" max="3" width="14.140625" bestFit="1" customWidth="1"/>
    <col min="4" max="4" width="11.5703125" bestFit="1" customWidth="1"/>
    <col min="5" max="6" width="14.140625" bestFit="1" customWidth="1"/>
  </cols>
  <sheetData>
    <row r="1" spans="1:6" ht="15.75" thickBot="1">
      <c r="A1" t="s">
        <v>104</v>
      </c>
    </row>
    <row r="2" spans="1:6" ht="16.5" thickBot="1">
      <c r="A2" s="114"/>
      <c r="B2" s="115" t="s">
        <v>103</v>
      </c>
      <c r="C2" t="s">
        <v>105</v>
      </c>
      <c r="D2" t="s">
        <v>167</v>
      </c>
      <c r="E2" t="s">
        <v>165</v>
      </c>
      <c r="F2" t="s">
        <v>166</v>
      </c>
    </row>
    <row r="3" spans="1:6" ht="22.5" customHeight="1">
      <c r="A3" s="108">
        <v>1</v>
      </c>
      <c r="B3" s="109" t="s">
        <v>91</v>
      </c>
      <c r="C3" s="100" t="e">
        <f>Marg!#REF!</f>
        <v>#REF!</v>
      </c>
      <c r="D3" s="100">
        <f>Marg!I33</f>
        <v>264500</v>
      </c>
      <c r="E3" s="100">
        <f>Marg!I59</f>
        <v>17460000</v>
      </c>
      <c r="F3" s="100">
        <f>Marg!I85</f>
        <v>23580000</v>
      </c>
    </row>
    <row r="4" spans="1:6" ht="22.5" customHeight="1">
      <c r="A4" s="110">
        <v>2</v>
      </c>
      <c r="B4" s="111" t="s">
        <v>92</v>
      </c>
      <c r="C4" s="100" t="e">
        <f>Marg!#REF!</f>
        <v>#REF!</v>
      </c>
      <c r="D4" s="100">
        <f>Marg!J33</f>
        <v>102444.69402447274</v>
      </c>
      <c r="E4" s="100">
        <f>Marg!J59</f>
        <v>6074620.3804636355</v>
      </c>
      <c r="F4" s="100">
        <f>Marg!J85</f>
        <v>8311724.6169818183</v>
      </c>
    </row>
    <row r="5" spans="1:6" ht="22.5" customHeight="1">
      <c r="A5" s="110"/>
      <c r="B5" s="111" t="s">
        <v>109</v>
      </c>
      <c r="C5" s="100">
        <v>50000</v>
      </c>
      <c r="D5" s="100">
        <f>+D3*10%</f>
        <v>26450</v>
      </c>
      <c r="E5" s="100">
        <f>+E3*10%</f>
        <v>1746000</v>
      </c>
      <c r="F5" s="100">
        <f>+F3*10%</f>
        <v>2358000</v>
      </c>
    </row>
    <row r="6" spans="1:6" ht="22.5" customHeight="1">
      <c r="A6" s="110">
        <v>3</v>
      </c>
      <c r="B6" s="111" t="s">
        <v>93</v>
      </c>
      <c r="C6" s="100" t="e">
        <f>SUM(C4:C5)</f>
        <v>#REF!</v>
      </c>
      <c r="D6" s="100">
        <f>SUM(D4+D5)</f>
        <v>128894.69402447274</v>
      </c>
      <c r="E6" s="100">
        <f>SUM(E4+E5)</f>
        <v>7820620.3804636355</v>
      </c>
      <c r="F6" s="100">
        <f>SUM(F4+F5)</f>
        <v>10669724.616981819</v>
      </c>
    </row>
    <row r="7" spans="1:6" ht="22.5" customHeight="1">
      <c r="A7" s="110">
        <v>4</v>
      </c>
      <c r="B7" s="111" t="s">
        <v>94</v>
      </c>
      <c r="C7" s="100">
        <f>'Gas F'!B16</f>
        <v>4230000</v>
      </c>
      <c r="D7" s="100">
        <f>'Gas F'!B16</f>
        <v>4230000</v>
      </c>
      <c r="E7" s="100">
        <f>'Gas F'!B16</f>
        <v>4230000</v>
      </c>
      <c r="F7" s="100">
        <f>'Gas F'!B16</f>
        <v>4230000</v>
      </c>
    </row>
    <row r="8" spans="1:6" ht="22.5" customHeight="1">
      <c r="A8" s="110">
        <v>5</v>
      </c>
      <c r="B8" s="111" t="s">
        <v>95</v>
      </c>
      <c r="C8" s="101" t="e">
        <f>C7+C6</f>
        <v>#REF!</v>
      </c>
      <c r="D8" s="101">
        <f>D7+D6</f>
        <v>4358894.6940244725</v>
      </c>
      <c r="E8" s="101">
        <f>E7+E6</f>
        <v>12050620.380463636</v>
      </c>
      <c r="F8" s="100">
        <f>F7+F6</f>
        <v>14899724.616981819</v>
      </c>
    </row>
    <row r="9" spans="1:6" ht="22.5" customHeight="1">
      <c r="A9" s="110">
        <v>6</v>
      </c>
      <c r="B9" s="111" t="s">
        <v>96</v>
      </c>
      <c r="C9" s="101" t="e">
        <f>C3-C8</f>
        <v>#REF!</v>
      </c>
      <c r="D9" s="101">
        <f>D3-D8</f>
        <v>-4094394.6940244725</v>
      </c>
      <c r="E9" s="101">
        <f>E3-E8</f>
        <v>5409379.6195363645</v>
      </c>
      <c r="F9" s="100">
        <f>F3-F8</f>
        <v>8680275.3830181807</v>
      </c>
    </row>
    <row r="10" spans="1:6" ht="22.5" customHeight="1">
      <c r="A10" s="110">
        <v>7</v>
      </c>
      <c r="B10" s="111" t="s">
        <v>97</v>
      </c>
      <c r="C10" s="100" t="e">
        <f>+C9*10%</f>
        <v>#REF!</v>
      </c>
      <c r="D10" s="100">
        <f>+D9*10%</f>
        <v>-409439.46940244728</v>
      </c>
      <c r="E10" s="100">
        <f>+E9*10%</f>
        <v>540937.96195363649</v>
      </c>
      <c r="F10" s="100">
        <f>+F9*10%</f>
        <v>868027.53830181807</v>
      </c>
    </row>
    <row r="11" spans="1:6" ht="22.5" customHeight="1">
      <c r="A11" s="110">
        <v>8</v>
      </c>
      <c r="B11" s="111" t="s">
        <v>98</v>
      </c>
      <c r="C11" s="101" t="e">
        <f>+C9-C10</f>
        <v>#REF!</v>
      </c>
      <c r="D11" s="101">
        <f>+D9-D10</f>
        <v>-3684955.2246220252</v>
      </c>
      <c r="E11" s="101">
        <f>+E9-E10</f>
        <v>4868441.6575827282</v>
      </c>
      <c r="F11" s="100">
        <f>+F9-F10</f>
        <v>7812247.8447163627</v>
      </c>
    </row>
    <row r="12" spans="1:6" ht="30" customHeight="1">
      <c r="A12" s="110">
        <v>9</v>
      </c>
      <c r="B12" s="111" t="s">
        <v>99</v>
      </c>
      <c r="C12" s="101" t="e">
        <f>C3-C6</f>
        <v>#REF!</v>
      </c>
      <c r="D12" s="101">
        <f>D3-D6</f>
        <v>135605.30597552727</v>
      </c>
      <c r="E12" s="101">
        <f>E3-E6</f>
        <v>9639379.6195363645</v>
      </c>
      <c r="F12" s="100">
        <f>F3-F6</f>
        <v>12910275.383018181</v>
      </c>
    </row>
    <row r="13" spans="1:6" ht="30" customHeight="1">
      <c r="A13" s="110">
        <v>10</v>
      </c>
      <c r="B13" s="111" t="s">
        <v>100</v>
      </c>
      <c r="C13" s="100" t="e">
        <f>+C7/(C12/C3)</f>
        <v>#REF!</v>
      </c>
      <c r="D13" s="100">
        <f>+D7/(D12/D3)</f>
        <v>8250672.7295900676</v>
      </c>
      <c r="E13" s="100">
        <f>+E7/(E12/E3)</f>
        <v>7661883.1206019372</v>
      </c>
      <c r="F13" s="100">
        <f>+F7/(F12/F3)</f>
        <v>7725892.5190085182</v>
      </c>
    </row>
    <row r="14" spans="1:6" ht="22.5" customHeight="1">
      <c r="A14" s="110">
        <v>11</v>
      </c>
      <c r="B14" s="111" t="s">
        <v>106</v>
      </c>
      <c r="C14" s="100">
        <f>'Inv. Inic.'!G55</f>
        <v>15210000</v>
      </c>
      <c r="D14" s="100">
        <f>'Inv. Inic.'!D10</f>
        <v>4340000</v>
      </c>
      <c r="E14" s="100">
        <f>'Inv. Inic.'!D10</f>
        <v>4340000</v>
      </c>
      <c r="F14" s="100">
        <f>'Inv. Inic.'!D10</f>
        <v>4340000</v>
      </c>
    </row>
    <row r="15" spans="1:6" ht="30" customHeight="1">
      <c r="A15" s="110">
        <v>12</v>
      </c>
      <c r="B15" s="111" t="s">
        <v>101</v>
      </c>
      <c r="C15" s="116" t="e">
        <f>+C11*100/C14</f>
        <v>#REF!</v>
      </c>
      <c r="D15" s="116">
        <f>+D11*100/D14</f>
        <v>-84.906802410645739</v>
      </c>
      <c r="E15" s="116">
        <f>+E11*100/E14</f>
        <v>112.17607505950987</v>
      </c>
      <c r="F15" s="116">
        <f>+F11*100/F14</f>
        <v>180.0057107077503</v>
      </c>
    </row>
    <row r="16" spans="1:6" ht="30" customHeight="1" thickBot="1">
      <c r="A16" s="112">
        <v>13</v>
      </c>
      <c r="B16" s="113" t="s">
        <v>102</v>
      </c>
      <c r="C16" s="99" t="e">
        <f>+C14/C11</f>
        <v>#REF!</v>
      </c>
      <c r="D16" s="99">
        <f>+D14/D11</f>
        <v>-1.1777619361562701</v>
      </c>
      <c r="E16" s="99">
        <f>+E14/E11</f>
        <v>0.89145568649063178</v>
      </c>
      <c r="F16" s="99">
        <f>+F14/F11</f>
        <v>0.55553793047352706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E5" sqref="E5"/>
    </sheetView>
  </sheetViews>
  <sheetFormatPr baseColWidth="10" defaultRowHeight="15"/>
  <cols>
    <col min="1" max="2" width="34.140625" customWidth="1"/>
    <col min="10" max="10" width="14.140625" customWidth="1"/>
  </cols>
  <sheetData>
    <row r="1" spans="1:10" ht="23.25">
      <c r="A1" s="212" t="s">
        <v>156</v>
      </c>
      <c r="B1" s="212"/>
      <c r="C1" s="212"/>
      <c r="D1" s="212"/>
      <c r="E1" s="212"/>
      <c r="F1" s="212"/>
      <c r="G1" s="212"/>
      <c r="H1" s="212"/>
      <c r="I1" s="212"/>
    </row>
    <row r="2" spans="1:10">
      <c r="A2" s="141" t="s">
        <v>80</v>
      </c>
      <c r="B2" s="141" t="s">
        <v>176</v>
      </c>
      <c r="C2" s="141" t="s">
        <v>157</v>
      </c>
      <c r="D2" s="141" t="s">
        <v>158</v>
      </c>
      <c r="E2" s="141" t="s">
        <v>159</v>
      </c>
      <c r="F2" s="141" t="s">
        <v>160</v>
      </c>
      <c r="G2" s="141" t="s">
        <v>161</v>
      </c>
      <c r="H2" s="141" t="s">
        <v>162</v>
      </c>
      <c r="I2" s="143" t="s">
        <v>45</v>
      </c>
      <c r="J2" s="145" t="s">
        <v>163</v>
      </c>
    </row>
    <row r="3" spans="1:10">
      <c r="A3" s="147" t="str">
        <f>Det.Verde!A4</f>
        <v>Soda Caustica</v>
      </c>
      <c r="B3" s="147" t="s">
        <v>177</v>
      </c>
      <c r="C3" s="2">
        <f>Det.Verde!C4</f>
        <v>0.63</v>
      </c>
      <c r="D3" s="2">
        <f>Det.Econom!C4</f>
        <v>0.36</v>
      </c>
      <c r="E3" s="142">
        <f>'Det. Especial'!C4</f>
        <v>0.82500000000000007</v>
      </c>
      <c r="F3" s="142">
        <f>'Jabón Liq. Ropa'!C4</f>
        <v>1.2</v>
      </c>
      <c r="G3" s="2">
        <v>0</v>
      </c>
      <c r="H3" s="2">
        <v>0</v>
      </c>
      <c r="I3" s="148">
        <f>SUM(C3:H3)</f>
        <v>3.0149999999999997</v>
      </c>
      <c r="J3" s="149">
        <f>I3*Det.Verde!D4</f>
        <v>19597.499999999996</v>
      </c>
    </row>
    <row r="4" spans="1:10">
      <c r="A4" s="147" t="str">
        <f>Det.Verde!A5</f>
        <v>Lauril E. (Genapol)</v>
      </c>
      <c r="B4" s="147" t="s">
        <v>177</v>
      </c>
      <c r="C4" s="142">
        <f>Det.Verde!C5</f>
        <v>3.5999999999999996</v>
      </c>
      <c r="D4" s="142">
        <f>Det.Econom!C5</f>
        <v>3.2</v>
      </c>
      <c r="E4" s="142">
        <f>'Det. Especial'!C6</f>
        <v>2.5</v>
      </c>
      <c r="F4" s="142">
        <f>'Jabón Liq. Ropa'!C6</f>
        <v>11.4</v>
      </c>
      <c r="G4" s="2">
        <v>0</v>
      </c>
      <c r="H4" s="2">
        <v>0</v>
      </c>
      <c r="I4" s="148">
        <f t="shared" ref="I4:I21" si="0">SUM(C4:H4)</f>
        <v>20.700000000000003</v>
      </c>
      <c r="J4" s="149">
        <f>I4*Det.Verde!D5</f>
        <v>243846.00000000003</v>
      </c>
    </row>
    <row r="5" spans="1:10">
      <c r="A5" s="2" t="str">
        <f>Det.Verde!A6</f>
        <v>Tensan EPNF</v>
      </c>
      <c r="B5" s="2" t="s">
        <v>178</v>
      </c>
      <c r="C5" s="142">
        <f>Det.Verde!C6</f>
        <v>5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144">
        <f t="shared" si="0"/>
        <v>5</v>
      </c>
      <c r="J5" s="16">
        <f>I5*Det.Verde!D6</f>
        <v>52500</v>
      </c>
    </row>
    <row r="6" spans="1:10">
      <c r="A6" s="147" t="str">
        <f>Det.Verde!A7</f>
        <v>Cloruro de Sodio</v>
      </c>
      <c r="B6" s="147"/>
      <c r="C6" s="142">
        <f>Det.Verde!C7</f>
        <v>4.8</v>
      </c>
      <c r="D6" s="142">
        <f>Det.Econom!C6</f>
        <v>3.5999999999999996</v>
      </c>
      <c r="E6" s="142" t="e">
        <f>'Det. Especial'!#REF!</f>
        <v>#REF!</v>
      </c>
      <c r="F6" s="142">
        <f>'Jabón Liq. Ropa'!C7</f>
        <v>3.4000000000000004</v>
      </c>
      <c r="G6" s="2">
        <v>0</v>
      </c>
      <c r="H6" s="2">
        <v>0</v>
      </c>
      <c r="I6" s="148" t="e">
        <f t="shared" si="0"/>
        <v>#REF!</v>
      </c>
      <c r="J6" s="149" t="e">
        <f>I6*Det.Verde!D7</f>
        <v>#REF!</v>
      </c>
    </row>
    <row r="7" spans="1:10">
      <c r="A7" s="147" t="str">
        <f>Det.Verde!A8</f>
        <v xml:space="preserve">Formol </v>
      </c>
      <c r="B7" s="147" t="s">
        <v>179</v>
      </c>
      <c r="C7" s="142">
        <f>Det.Verde!C8</f>
        <v>0.4</v>
      </c>
      <c r="D7" s="142">
        <f>Det.Econom!C9</f>
        <v>0.4</v>
      </c>
      <c r="E7" s="142">
        <f>'Det. Especial'!C9</f>
        <v>0.3</v>
      </c>
      <c r="F7" s="142">
        <f>'Jabón Liq. Ropa'!C11</f>
        <v>0.4</v>
      </c>
      <c r="G7" s="2">
        <v>0</v>
      </c>
      <c r="H7" s="2">
        <v>0</v>
      </c>
      <c r="I7" s="148">
        <f t="shared" si="0"/>
        <v>1.5</v>
      </c>
      <c r="J7" s="149">
        <f>I7*Det.Verde!D8</f>
        <v>10616.536363636362</v>
      </c>
    </row>
    <row r="8" spans="1:10">
      <c r="A8" s="2" t="str">
        <f>Det.Verde!A12</f>
        <v xml:space="preserve">Color. Verde P. </v>
      </c>
      <c r="B8" s="2" t="s">
        <v>180</v>
      </c>
      <c r="C8" s="142">
        <f>Det.Verde!C12</f>
        <v>0.6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144">
        <f t="shared" si="0"/>
        <v>0.6</v>
      </c>
      <c r="J8" s="16">
        <f>I8*Det.Verde!D12</f>
        <v>1953</v>
      </c>
    </row>
    <row r="9" spans="1:10">
      <c r="A9" s="147" t="str">
        <f>Det.Verde!A9</f>
        <v>Acido Sulfonico</v>
      </c>
      <c r="B9" s="147" t="s">
        <v>177</v>
      </c>
      <c r="C9" s="142">
        <f>Det.Verde!C9</f>
        <v>4</v>
      </c>
      <c r="D9" s="142">
        <f>Det.Econom!C10</f>
        <v>2.8000000000000003</v>
      </c>
      <c r="E9" s="142">
        <f>'Det. Especial'!C10</f>
        <v>0.2</v>
      </c>
      <c r="F9" s="142">
        <f>'Jabón Liq. Ropa'!C12</f>
        <v>11</v>
      </c>
      <c r="G9" s="2">
        <v>0</v>
      </c>
      <c r="H9" s="2">
        <v>0</v>
      </c>
      <c r="I9" s="148">
        <f t="shared" si="0"/>
        <v>18</v>
      </c>
      <c r="J9" s="149">
        <f>I9*Det.Verde!D9</f>
        <v>224460</v>
      </c>
    </row>
    <row r="10" spans="1:10">
      <c r="A10" s="2" t="str">
        <f>Det.Econom!A7</f>
        <v>REXAMIDA 60</v>
      </c>
      <c r="B10" s="2" t="s">
        <v>179</v>
      </c>
      <c r="C10" s="2">
        <v>0</v>
      </c>
      <c r="D10" s="142">
        <f>Det.Econom!C7</f>
        <v>1.6</v>
      </c>
      <c r="E10" s="2">
        <v>0</v>
      </c>
      <c r="F10" s="2">
        <v>0</v>
      </c>
      <c r="G10" s="2">
        <v>0</v>
      </c>
      <c r="H10" s="2">
        <v>0</v>
      </c>
      <c r="I10" s="144">
        <f t="shared" si="0"/>
        <v>1.6</v>
      </c>
      <c r="J10" s="16">
        <f>I10*Det.Econom!D7</f>
        <v>33946.304000000004</v>
      </c>
    </row>
    <row r="11" spans="1:10">
      <c r="A11" s="2" t="str">
        <f>Det.Econom!A8</f>
        <v>COL. Naranja</v>
      </c>
      <c r="B11" s="2" t="s">
        <v>180</v>
      </c>
      <c r="C11" s="2">
        <v>0</v>
      </c>
      <c r="D11" s="142">
        <f>Det.Econom!C8</f>
        <v>0.6</v>
      </c>
      <c r="E11" s="2">
        <v>0</v>
      </c>
      <c r="F11" s="2">
        <v>0</v>
      </c>
      <c r="G11" s="2">
        <v>0</v>
      </c>
      <c r="H11" s="2">
        <v>0</v>
      </c>
      <c r="I11" s="144">
        <f t="shared" si="0"/>
        <v>0.6</v>
      </c>
      <c r="J11" s="16">
        <f>I11*Det.Econom!D8</f>
        <v>1995.84</v>
      </c>
    </row>
    <row r="12" spans="1:10">
      <c r="A12" s="2" t="str">
        <f>'Det. Especial'!A5</f>
        <v>Trietanolamina</v>
      </c>
      <c r="B12" s="2" t="s">
        <v>179</v>
      </c>
      <c r="C12" s="2">
        <v>0</v>
      </c>
      <c r="D12" s="2">
        <v>0</v>
      </c>
      <c r="E12" s="142">
        <f>'Det. Especial'!C5</f>
        <v>1</v>
      </c>
      <c r="F12" s="142">
        <f>'Jabón Liq. Ropa'!C5</f>
        <v>3</v>
      </c>
      <c r="G12" s="2">
        <v>0</v>
      </c>
      <c r="H12" s="2">
        <v>0</v>
      </c>
      <c r="I12" s="144">
        <f t="shared" si="0"/>
        <v>4</v>
      </c>
      <c r="J12" s="16">
        <f>I12*'Det. Especial'!D5</f>
        <v>57739.679999999993</v>
      </c>
    </row>
    <row r="13" spans="1:10">
      <c r="A13" s="2" t="str">
        <f>'Det. Especial'!A7</f>
        <v>Cloruro de Sodio</v>
      </c>
      <c r="B13" s="2" t="s">
        <v>181</v>
      </c>
      <c r="C13" s="2">
        <v>0</v>
      </c>
      <c r="D13" s="2">
        <v>0</v>
      </c>
      <c r="E13" s="2">
        <f>'Det. Especial'!C7</f>
        <v>1.7000000000000002</v>
      </c>
      <c r="F13" s="2">
        <v>0</v>
      </c>
      <c r="G13" s="2">
        <v>0</v>
      </c>
      <c r="H13" s="2">
        <v>0</v>
      </c>
      <c r="I13" s="144">
        <f t="shared" si="0"/>
        <v>1.7000000000000002</v>
      </c>
      <c r="J13" s="16">
        <f>I13*'Det. Especial'!D7</f>
        <v>1428.0000000000002</v>
      </c>
    </row>
    <row r="14" spans="1:10">
      <c r="A14" s="2" t="str">
        <f>'Det. Especial'!A8</f>
        <v>Fragancia Citronella</v>
      </c>
      <c r="B14" s="2" t="s">
        <v>180</v>
      </c>
      <c r="C14" s="2">
        <v>0</v>
      </c>
      <c r="D14" s="2">
        <v>0</v>
      </c>
      <c r="E14" s="142">
        <f>'Det. Especial'!C8</f>
        <v>0.03</v>
      </c>
      <c r="F14" s="2">
        <v>0</v>
      </c>
      <c r="G14" s="2">
        <v>0</v>
      </c>
      <c r="H14" s="2">
        <v>0</v>
      </c>
      <c r="I14" s="144">
        <f t="shared" si="0"/>
        <v>0.03</v>
      </c>
      <c r="J14" s="16">
        <f>I14*'Det. Especial'!D8</f>
        <v>4435.2</v>
      </c>
    </row>
    <row r="15" spans="1:10">
      <c r="A15" s="2" t="str">
        <f>'Jabón Liq. Ropa'!A8</f>
        <v>Fragancia ACE TEQUILA</v>
      </c>
      <c r="B15" s="2" t="s">
        <v>181</v>
      </c>
      <c r="C15" s="2">
        <v>0</v>
      </c>
      <c r="D15" s="2">
        <v>0</v>
      </c>
      <c r="E15" s="2">
        <v>0</v>
      </c>
      <c r="F15" s="142">
        <f>'Jabón Liq. Ropa'!C8</f>
        <v>1</v>
      </c>
      <c r="G15" s="2">
        <v>0</v>
      </c>
      <c r="H15" s="2">
        <v>0</v>
      </c>
      <c r="I15" s="144">
        <f t="shared" si="0"/>
        <v>1</v>
      </c>
      <c r="J15" s="16">
        <f>I15*'Jabón Liq. Ropa'!D8</f>
        <v>111375</v>
      </c>
    </row>
    <row r="16" spans="1:10">
      <c r="A16" s="2" t="str">
        <f>'Jabón Liq. Ropa'!A9</f>
        <v>Blanqueador BP3B</v>
      </c>
      <c r="B16" s="2" t="s">
        <v>179</v>
      </c>
      <c r="C16" s="2">
        <v>0</v>
      </c>
      <c r="D16" s="2">
        <v>0</v>
      </c>
      <c r="E16" s="2">
        <v>0</v>
      </c>
      <c r="F16" s="142">
        <f>'Jabón Liq. Ropa'!C9</f>
        <v>0.2</v>
      </c>
      <c r="G16" s="2">
        <v>0</v>
      </c>
      <c r="H16" s="2">
        <v>0</v>
      </c>
      <c r="I16" s="144">
        <f t="shared" si="0"/>
        <v>0.2</v>
      </c>
      <c r="J16" s="16">
        <f>I16*'Jabón Liq. Ropa'!D9</f>
        <v>3700</v>
      </c>
    </row>
    <row r="17" spans="1:10">
      <c r="A17" s="2" t="str">
        <f>'Jabón Liq. Ropa'!A10</f>
        <v>Color. Azul P.</v>
      </c>
      <c r="B17" s="2" t="s">
        <v>180</v>
      </c>
      <c r="C17" s="2">
        <v>0</v>
      </c>
      <c r="D17" s="2">
        <v>0</v>
      </c>
      <c r="E17" s="2">
        <v>0</v>
      </c>
      <c r="F17" s="142">
        <f>'Jabón Liq. Ropa'!C10</f>
        <v>0.2</v>
      </c>
      <c r="G17" s="2">
        <v>0</v>
      </c>
      <c r="H17" s="2">
        <v>0</v>
      </c>
      <c r="I17" s="144">
        <f t="shared" si="0"/>
        <v>0.2</v>
      </c>
      <c r="J17" s="16">
        <f>I17*'Jabón Liq. Ropa'!D10</f>
        <v>983.94</v>
      </c>
    </row>
    <row r="18" spans="1:10">
      <c r="A18" s="147" t="str">
        <f>'Suav. Confor'!A4</f>
        <v>Genamin</v>
      </c>
      <c r="B18" s="147" t="s">
        <v>182</v>
      </c>
      <c r="C18" s="2">
        <v>0</v>
      </c>
      <c r="D18" s="2">
        <v>0</v>
      </c>
      <c r="E18" s="2">
        <v>0</v>
      </c>
      <c r="F18" s="2">
        <v>0</v>
      </c>
      <c r="G18" s="142">
        <f>'Suav. Confor'!C4</f>
        <v>5.2</v>
      </c>
      <c r="H18" s="142">
        <f>'Suav. Natural'!C4</f>
        <v>5.2</v>
      </c>
      <c r="I18" s="148">
        <f t="shared" si="0"/>
        <v>10.4</v>
      </c>
      <c r="J18" s="149">
        <f>I18*'Suav. Confor'!D4</f>
        <v>265861.81818181818</v>
      </c>
    </row>
    <row r="19" spans="1:10">
      <c r="A19" s="2" t="str">
        <f>'Suav. Confor'!A5</f>
        <v>Fraga. Confort Color Plus</v>
      </c>
      <c r="B19" s="2" t="s">
        <v>183</v>
      </c>
      <c r="C19" s="2">
        <v>0</v>
      </c>
      <c r="D19" s="2">
        <v>0</v>
      </c>
      <c r="E19" s="2">
        <v>0</v>
      </c>
      <c r="F19" s="2">
        <v>0</v>
      </c>
      <c r="G19" s="142">
        <f>'Suav. Confor'!C5</f>
        <v>0.5</v>
      </c>
      <c r="H19" s="142">
        <v>0</v>
      </c>
      <c r="I19" s="144">
        <f t="shared" si="0"/>
        <v>0.5</v>
      </c>
      <c r="J19" s="16">
        <f>I19*'Suav. Confor'!D5</f>
        <v>76782</v>
      </c>
    </row>
    <row r="20" spans="1:10">
      <c r="A20" s="2" t="str">
        <f>'Suav. Confor'!A6</f>
        <v>Colorante Azul Colanil</v>
      </c>
      <c r="B20" s="2" t="s">
        <v>180</v>
      </c>
      <c r="C20" s="2">
        <v>0</v>
      </c>
      <c r="D20" s="2">
        <v>0</v>
      </c>
      <c r="E20" s="2">
        <v>0</v>
      </c>
      <c r="F20" s="2">
        <v>0</v>
      </c>
      <c r="G20" s="142">
        <f>'Suav. Confor'!C6</f>
        <v>0.2</v>
      </c>
      <c r="H20" s="142">
        <f>'Suav. Natural'!C6</f>
        <v>0.74</v>
      </c>
      <c r="I20" s="144">
        <f t="shared" si="0"/>
        <v>0.94</v>
      </c>
      <c r="J20" s="16">
        <f>I20*'Suav. Confor'!D6</f>
        <v>664.78679999999997</v>
      </c>
    </row>
    <row r="21" spans="1:10">
      <c r="A21" s="2" t="str">
        <f>'Suav. Natural'!A5</f>
        <v>Fraga. Naturaleza</v>
      </c>
      <c r="B21" s="2" t="s">
        <v>181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142">
        <f>'Suav. Natural'!C5</f>
        <v>0.70000000000000007</v>
      </c>
      <c r="I21" s="144">
        <f t="shared" si="0"/>
        <v>0.70000000000000007</v>
      </c>
      <c r="J21" s="16">
        <f>I21*'Suav. Natural'!D5</f>
        <v>78970.500000000015</v>
      </c>
    </row>
    <row r="22" spans="1:10">
      <c r="J22" s="146" t="e">
        <f>SUM(J3:J21)</f>
        <v>#REF!</v>
      </c>
    </row>
  </sheetData>
  <mergeCells count="1">
    <mergeCell ref="A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D9" sqref="D9"/>
    </sheetView>
  </sheetViews>
  <sheetFormatPr baseColWidth="10" defaultRowHeight="15"/>
  <cols>
    <col min="1" max="1" width="24.85546875" customWidth="1"/>
    <col min="3" max="3" width="12" bestFit="1" customWidth="1"/>
    <col min="4" max="4" width="13.140625" customWidth="1"/>
  </cols>
  <sheetData>
    <row r="1" spans="1:5">
      <c r="A1" t="s">
        <v>210</v>
      </c>
    </row>
    <row r="2" spans="1:5">
      <c r="A2" t="s">
        <v>211</v>
      </c>
      <c r="B2" t="s">
        <v>212</v>
      </c>
      <c r="C2" t="s">
        <v>213</v>
      </c>
      <c r="D2" t="s">
        <v>214</v>
      </c>
      <c r="E2" t="s">
        <v>220</v>
      </c>
    </row>
    <row r="3" spans="1:5">
      <c r="A3" t="s">
        <v>215</v>
      </c>
      <c r="B3" t="s">
        <v>216</v>
      </c>
      <c r="C3" t="s">
        <v>217</v>
      </c>
      <c r="D3" t="s">
        <v>218</v>
      </c>
    </row>
    <row r="4" spans="1:5">
      <c r="A4" t="s">
        <v>181</v>
      </c>
      <c r="B4" t="s">
        <v>222</v>
      </c>
      <c r="C4">
        <v>6160</v>
      </c>
      <c r="D4" t="s">
        <v>219</v>
      </c>
      <c r="E4" t="s">
        <v>221</v>
      </c>
    </row>
    <row r="5" spans="1:5">
      <c r="A5" t="s">
        <v>225</v>
      </c>
      <c r="B5" t="s">
        <v>223</v>
      </c>
      <c r="C5">
        <v>1127225</v>
      </c>
      <c r="D5" t="s">
        <v>224</v>
      </c>
    </row>
    <row r="6" spans="1:5">
      <c r="A6" t="s">
        <v>226</v>
      </c>
      <c r="B6" t="s">
        <v>223</v>
      </c>
      <c r="C6">
        <v>1065270</v>
      </c>
      <c r="D6" t="s">
        <v>227</v>
      </c>
    </row>
    <row r="7" spans="1:5">
      <c r="A7" t="s">
        <v>228</v>
      </c>
      <c r="B7" t="s">
        <v>216</v>
      </c>
      <c r="C7" t="s">
        <v>229</v>
      </c>
      <c r="D7" t="s">
        <v>230</v>
      </c>
    </row>
    <row r="8" spans="1:5">
      <c r="A8" t="s">
        <v>231</v>
      </c>
      <c r="B8" t="s">
        <v>216</v>
      </c>
      <c r="C8" t="s">
        <v>232</v>
      </c>
    </row>
    <row r="9" spans="1:5">
      <c r="A9" t="s">
        <v>343</v>
      </c>
      <c r="B9" t="s">
        <v>344</v>
      </c>
      <c r="C9">
        <v>46071996201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I19" sqref="I19"/>
    </sheetView>
  </sheetViews>
  <sheetFormatPr baseColWidth="10" defaultRowHeight="15"/>
  <cols>
    <col min="1" max="1" width="29.28515625" customWidth="1"/>
    <col min="3" max="3" width="11.42578125" customWidth="1"/>
    <col min="4" max="4" width="13.5703125" customWidth="1"/>
  </cols>
  <sheetData>
    <row r="1" spans="1:8" ht="18.75">
      <c r="A1" s="193" t="s">
        <v>111</v>
      </c>
      <c r="B1" s="193"/>
      <c r="C1" s="193"/>
      <c r="D1" s="193"/>
      <c r="E1" s="193"/>
    </row>
    <row r="2" spans="1:8" ht="18.75">
      <c r="A2" s="122" t="s">
        <v>12</v>
      </c>
      <c r="B2" s="122">
        <v>300</v>
      </c>
      <c r="C2" s="122"/>
      <c r="D2" s="122"/>
      <c r="E2" s="122"/>
    </row>
    <row r="3" spans="1:8">
      <c r="A3" s="1" t="s">
        <v>0</v>
      </c>
      <c r="B3" s="1" t="s">
        <v>10</v>
      </c>
      <c r="C3" s="1" t="s">
        <v>11</v>
      </c>
      <c r="D3" s="1" t="s">
        <v>1</v>
      </c>
      <c r="E3" s="1" t="s">
        <v>2</v>
      </c>
    </row>
    <row r="4" spans="1:8" ht="15.75">
      <c r="A4" s="4" t="s">
        <v>14</v>
      </c>
      <c r="B4" s="5">
        <v>3.0000000000000001E-3</v>
      </c>
      <c r="C4" s="5">
        <f>B2*B4</f>
        <v>0.9</v>
      </c>
      <c r="D4" s="3">
        <v>2640</v>
      </c>
      <c r="E4" s="3">
        <f>D4*C4</f>
        <v>2376</v>
      </c>
      <c r="G4" t="s">
        <v>41</v>
      </c>
      <c r="H4" s="56">
        <v>0.1</v>
      </c>
    </row>
    <row r="5" spans="1:8" ht="15.75">
      <c r="A5" s="4" t="s">
        <v>114</v>
      </c>
      <c r="B5" s="5">
        <v>0.33400000000000002</v>
      </c>
      <c r="C5" s="9">
        <f>B2*B5</f>
        <v>100.2</v>
      </c>
      <c r="D5" s="3">
        <v>3410</v>
      </c>
      <c r="E5" s="3">
        <f t="shared" ref="E5:E6" si="0">D5*C5</f>
        <v>341682</v>
      </c>
      <c r="G5" t="s">
        <v>42</v>
      </c>
      <c r="H5" s="56">
        <v>0</v>
      </c>
    </row>
    <row r="6" spans="1:8" ht="15.75">
      <c r="A6" s="4" t="s">
        <v>9</v>
      </c>
      <c r="B6" s="5">
        <v>0.66300000000000003</v>
      </c>
      <c r="C6" s="9">
        <f>B6*B2</f>
        <v>198.9</v>
      </c>
      <c r="D6" s="3">
        <v>2</v>
      </c>
      <c r="E6" s="3">
        <f t="shared" si="0"/>
        <v>397.8</v>
      </c>
      <c r="G6" t="s">
        <v>43</v>
      </c>
      <c r="H6" s="56">
        <v>0</v>
      </c>
    </row>
    <row r="7" spans="1:8" ht="15.75">
      <c r="A7" s="4"/>
      <c r="B7" s="5"/>
      <c r="C7" s="8"/>
      <c r="D7" s="3"/>
      <c r="E7" s="3"/>
      <c r="G7" t="s">
        <v>44</v>
      </c>
      <c r="H7" s="56">
        <v>0.35</v>
      </c>
    </row>
    <row r="8" spans="1:8" ht="15.75">
      <c r="A8" s="4"/>
      <c r="B8" s="5"/>
      <c r="C8" s="5"/>
      <c r="D8" s="3"/>
      <c r="E8" s="3"/>
      <c r="G8" s="61" t="s">
        <v>45</v>
      </c>
      <c r="H8" s="62">
        <f>SUM(H4:H7)</f>
        <v>0.44999999999999996</v>
      </c>
    </row>
    <row r="9" spans="1:8" ht="15.75">
      <c r="A9" s="4"/>
      <c r="B9" s="5"/>
      <c r="C9" s="5"/>
      <c r="D9" s="3"/>
      <c r="E9" s="3"/>
    </row>
    <row r="10" spans="1:8" ht="15.75">
      <c r="A10" s="4"/>
      <c r="B10" s="6"/>
      <c r="C10" s="8"/>
      <c r="D10" s="3"/>
      <c r="E10" s="3"/>
    </row>
    <row r="11" spans="1:8">
      <c r="A11" s="2"/>
      <c r="B11" s="2"/>
      <c r="C11" s="2"/>
      <c r="D11" s="3"/>
      <c r="E11" s="3"/>
    </row>
    <row r="12" spans="1:8" ht="15.75">
      <c r="A12" s="4"/>
      <c r="B12" s="5"/>
      <c r="C12" s="2"/>
      <c r="D12" s="3"/>
      <c r="E12" s="3"/>
    </row>
    <row r="13" spans="1:8">
      <c r="A13" s="2" t="s">
        <v>3</v>
      </c>
      <c r="B13" s="2">
        <v>1</v>
      </c>
      <c r="C13" s="2"/>
      <c r="D13" s="3">
        <v>30000</v>
      </c>
      <c r="E13" s="3">
        <v>0</v>
      </c>
    </row>
    <row r="14" spans="1:8">
      <c r="A14" s="2" t="s">
        <v>2</v>
      </c>
      <c r="B14" s="2"/>
      <c r="C14" s="2"/>
      <c r="D14" s="3"/>
      <c r="E14" s="3">
        <f>SUM(E4:E13)</f>
        <v>344455.8</v>
      </c>
    </row>
    <row r="15" spans="1:8" ht="23.25">
      <c r="A15" s="10" t="s">
        <v>1</v>
      </c>
      <c r="E15" s="11">
        <f>E14/B2</f>
        <v>1148.1859999999999</v>
      </c>
    </row>
    <row r="19" spans="2:10">
      <c r="B19" s="194" t="s">
        <v>46</v>
      </c>
      <c r="C19" s="195" t="s">
        <v>2</v>
      </c>
      <c r="D19" s="195"/>
      <c r="E19" s="198">
        <f>E15</f>
        <v>1148.1859999999999</v>
      </c>
      <c r="F19" s="198"/>
      <c r="G19" s="198">
        <f>E19</f>
        <v>1148.1859999999999</v>
      </c>
      <c r="H19" s="195"/>
      <c r="I19" s="127">
        <f>G19</f>
        <v>1148.1859999999999</v>
      </c>
      <c r="J19" s="200">
        <f>I19/I20</f>
        <v>2087.610909090909</v>
      </c>
    </row>
    <row r="20" spans="2:10">
      <c r="B20" s="194"/>
      <c r="C20" s="197" t="s">
        <v>47</v>
      </c>
      <c r="D20" s="197"/>
      <c r="E20" s="57" t="s">
        <v>48</v>
      </c>
      <c r="F20" s="58">
        <v>45</v>
      </c>
      <c r="G20" s="57" t="s">
        <v>48</v>
      </c>
      <c r="H20" s="58">
        <f>F20/F21</f>
        <v>0.45</v>
      </c>
      <c r="I20">
        <f>1-0.45</f>
        <v>0.55000000000000004</v>
      </c>
      <c r="J20" s="201"/>
    </row>
    <row r="21" spans="2:10">
      <c r="C21" s="196">
        <v>1</v>
      </c>
      <c r="D21" s="197"/>
      <c r="F21" s="58">
        <v>100</v>
      </c>
    </row>
    <row r="23" spans="2:10" ht="18.75">
      <c r="B23" s="59" t="s">
        <v>46</v>
      </c>
      <c r="C23" s="60">
        <f>J19</f>
        <v>2087.610909090909</v>
      </c>
    </row>
  </sheetData>
  <mergeCells count="8">
    <mergeCell ref="G19:H19"/>
    <mergeCell ref="J19:J20"/>
    <mergeCell ref="C20:D20"/>
    <mergeCell ref="C21:D21"/>
    <mergeCell ref="A1:E1"/>
    <mergeCell ref="B19:B20"/>
    <mergeCell ref="C19:D19"/>
    <mergeCell ref="E19:F19"/>
  </mergeCell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selection activeCell="E4" sqref="E4"/>
    </sheetView>
  </sheetViews>
  <sheetFormatPr baseColWidth="10" defaultRowHeight="15"/>
  <cols>
    <col min="3" max="3" width="13" customWidth="1"/>
    <col min="4" max="4" width="12" customWidth="1"/>
    <col min="5" max="5" width="12.5703125" customWidth="1"/>
  </cols>
  <sheetData>
    <row r="1" spans="1:5" ht="15.75">
      <c r="A1" s="217" t="s">
        <v>280</v>
      </c>
      <c r="B1" s="217"/>
      <c r="C1" s="217"/>
      <c r="D1" s="217"/>
      <c r="E1" s="217"/>
    </row>
    <row r="2" spans="1:5">
      <c r="A2" s="218" t="s">
        <v>65</v>
      </c>
      <c r="B2" s="218"/>
      <c r="C2" s="218"/>
      <c r="D2" s="160" t="s">
        <v>281</v>
      </c>
      <c r="E2" s="161" t="s">
        <v>282</v>
      </c>
    </row>
    <row r="3" spans="1:5">
      <c r="A3" s="213" t="s">
        <v>283</v>
      </c>
      <c r="B3" s="213"/>
      <c r="C3" s="213"/>
      <c r="D3" s="2"/>
      <c r="E3" s="162">
        <v>12470</v>
      </c>
    </row>
    <row r="4" spans="1:5">
      <c r="A4" s="213" t="s">
        <v>284</v>
      </c>
      <c r="B4" s="213"/>
      <c r="C4" s="213"/>
      <c r="D4" s="2"/>
      <c r="E4" s="162">
        <v>6500</v>
      </c>
    </row>
    <row r="5" spans="1:5">
      <c r="A5" s="213" t="s">
        <v>285</v>
      </c>
      <c r="B5" s="213"/>
      <c r="C5" s="213"/>
      <c r="D5" s="2">
        <f>35.73</f>
        <v>35.729999999999997</v>
      </c>
      <c r="E5" s="162">
        <f>D5*4040/10</f>
        <v>14434.919999999998</v>
      </c>
    </row>
    <row r="6" spans="1:5">
      <c r="A6" s="213" t="s">
        <v>286</v>
      </c>
      <c r="B6" s="213"/>
      <c r="C6" s="213"/>
      <c r="D6" s="2"/>
      <c r="E6" s="162">
        <v>11780</v>
      </c>
    </row>
    <row r="7" spans="1:5">
      <c r="A7" s="213" t="s">
        <v>287</v>
      </c>
      <c r="B7" s="213"/>
      <c r="C7" s="213"/>
      <c r="D7" s="2"/>
      <c r="E7" s="162">
        <v>840</v>
      </c>
    </row>
    <row r="8" spans="1:5">
      <c r="A8" s="213" t="s">
        <v>288</v>
      </c>
      <c r="B8" s="213"/>
      <c r="C8" s="213"/>
      <c r="D8" s="2">
        <f>0.128+4.23</f>
        <v>4.3580000000000005</v>
      </c>
      <c r="E8" s="162">
        <f>(D8*5*4180+15000)/5</f>
        <v>21216.440000000002</v>
      </c>
    </row>
    <row r="9" spans="1:5">
      <c r="A9" s="213" t="s">
        <v>289</v>
      </c>
      <c r="B9" s="213"/>
      <c r="C9" s="213"/>
      <c r="D9" s="2"/>
      <c r="E9" s="162">
        <v>8100</v>
      </c>
    </row>
    <row r="10" spans="1:5">
      <c r="A10" s="213" t="s">
        <v>290</v>
      </c>
      <c r="B10" s="213"/>
      <c r="C10" s="213"/>
      <c r="D10" s="2">
        <v>33</v>
      </c>
      <c r="E10" s="162">
        <v>147840</v>
      </c>
    </row>
    <row r="11" spans="1:5">
      <c r="A11" s="213" t="s">
        <v>291</v>
      </c>
      <c r="B11" s="213"/>
      <c r="C11" s="213"/>
      <c r="D11" s="2">
        <v>242.22</v>
      </c>
      <c r="E11" s="162">
        <f>D11*4480*0.0021</f>
        <v>2278.8057600000002</v>
      </c>
    </row>
    <row r="12" spans="1:5">
      <c r="A12" s="213" t="s">
        <v>292</v>
      </c>
      <c r="B12" s="213"/>
      <c r="C12" s="213"/>
      <c r="D12" s="2"/>
      <c r="E12" s="162">
        <v>6000</v>
      </c>
    </row>
    <row r="13" spans="1:5">
      <c r="A13" s="213" t="s">
        <v>233</v>
      </c>
      <c r="B13" s="213"/>
      <c r="C13" s="213"/>
      <c r="D13" s="2">
        <v>1.38</v>
      </c>
      <c r="E13" s="162">
        <f>D13*4470+30000/33</f>
        <v>7077.6909090909085</v>
      </c>
    </row>
    <row r="14" spans="1:5">
      <c r="A14" s="213" t="s">
        <v>293</v>
      </c>
      <c r="B14" s="213"/>
      <c r="C14" s="213"/>
      <c r="D14" s="2"/>
      <c r="E14" s="162">
        <f>(2000*200+100000)/200</f>
        <v>2500</v>
      </c>
    </row>
    <row r="15" spans="1:5">
      <c r="A15" s="213" t="s">
        <v>294</v>
      </c>
      <c r="B15" s="213"/>
      <c r="C15" s="213"/>
      <c r="D15" s="2"/>
      <c r="E15" s="162">
        <f>(24200*11+15000)/11</f>
        <v>25563.636363636364</v>
      </c>
    </row>
    <row r="16" spans="1:5">
      <c r="A16" s="213" t="s">
        <v>295</v>
      </c>
      <c r="B16" s="213"/>
      <c r="C16" s="213"/>
      <c r="D16" s="2"/>
      <c r="E16" s="162">
        <v>153564</v>
      </c>
    </row>
    <row r="17" spans="1:5">
      <c r="A17" s="213" t="s">
        <v>296</v>
      </c>
      <c r="B17" s="215"/>
      <c r="C17" s="216"/>
      <c r="D17" s="2">
        <f>0.112+3.65</f>
        <v>3.762</v>
      </c>
      <c r="E17" s="162">
        <f>D17*4470+10000/5</f>
        <v>18816.14</v>
      </c>
    </row>
    <row r="18" spans="1:5">
      <c r="A18" s="213" t="s">
        <v>297</v>
      </c>
      <c r="B18" s="215"/>
      <c r="C18" s="216"/>
      <c r="D18" s="2"/>
      <c r="E18" s="162">
        <f>109065+3750</f>
        <v>112815</v>
      </c>
    </row>
    <row r="19" spans="1:5">
      <c r="A19" s="213" t="s">
        <v>298</v>
      </c>
      <c r="B19" s="215"/>
      <c r="C19" s="216"/>
      <c r="D19" s="2">
        <v>22</v>
      </c>
      <c r="E19" s="162">
        <f>D19*4480</f>
        <v>98560</v>
      </c>
    </row>
    <row r="20" spans="1:5">
      <c r="A20" s="213" t="s">
        <v>299</v>
      </c>
      <c r="B20" s="213"/>
      <c r="C20" s="213"/>
      <c r="D20" s="2">
        <f>66555+4167</f>
        <v>70722</v>
      </c>
      <c r="E20" s="162">
        <f>D20*0.01</f>
        <v>707.22</v>
      </c>
    </row>
    <row r="21" spans="1:5">
      <c r="A21" s="213" t="s">
        <v>300</v>
      </c>
      <c r="B21" s="213"/>
      <c r="C21" s="213"/>
      <c r="D21" s="2">
        <f>95380+4167</f>
        <v>99547</v>
      </c>
      <c r="E21" s="162">
        <f>D21*0.01</f>
        <v>995.47</v>
      </c>
    </row>
    <row r="22" spans="1:5">
      <c r="A22" s="213" t="s">
        <v>301</v>
      </c>
      <c r="B22" s="213"/>
      <c r="C22" s="213"/>
      <c r="D22" s="2">
        <v>49.5</v>
      </c>
      <c r="E22" s="162">
        <f>D22*4480*0.015</f>
        <v>3326.4</v>
      </c>
    </row>
    <row r="23" spans="1:5">
      <c r="A23" s="213" t="s">
        <v>310</v>
      </c>
      <c r="B23" s="213"/>
      <c r="C23" s="213"/>
      <c r="D23" s="2">
        <f>98250+4166</f>
        <v>102416</v>
      </c>
      <c r="E23" s="162">
        <f>D23*0.01</f>
        <v>1024.1600000000001</v>
      </c>
    </row>
    <row r="24" spans="1:5">
      <c r="A24" s="213" t="s">
        <v>302</v>
      </c>
      <c r="B24" s="213"/>
      <c r="C24" s="213"/>
      <c r="D24" s="2">
        <f>209500+7500</f>
        <v>217000</v>
      </c>
      <c r="E24" s="162">
        <f>D24*0.015</f>
        <v>3255</v>
      </c>
    </row>
    <row r="25" spans="1:5">
      <c r="A25" s="213" t="s">
        <v>303</v>
      </c>
      <c r="B25" s="213"/>
      <c r="C25" s="213"/>
      <c r="D25" s="2">
        <f>320480+7500</f>
        <v>327980</v>
      </c>
      <c r="E25" s="162">
        <f>D25*0.015</f>
        <v>4919.7</v>
      </c>
    </row>
    <row r="26" spans="1:5">
      <c r="A26" s="213" t="s">
        <v>304</v>
      </c>
      <c r="B26" s="213"/>
      <c r="C26" s="213"/>
      <c r="D26" s="2"/>
      <c r="E26" s="162">
        <v>18500</v>
      </c>
    </row>
    <row r="27" spans="1:5">
      <c r="A27" s="214" t="s">
        <v>305</v>
      </c>
      <c r="B27" s="215"/>
      <c r="C27" s="216"/>
      <c r="D27" s="2"/>
      <c r="E27" s="162">
        <v>10500</v>
      </c>
    </row>
    <row r="28" spans="1:5">
      <c r="A28" s="214" t="s">
        <v>309</v>
      </c>
      <c r="B28" s="215"/>
      <c r="C28" s="216"/>
      <c r="D28" s="2">
        <v>27.5</v>
      </c>
      <c r="E28" s="162">
        <f>D28*4050</f>
        <v>111375</v>
      </c>
    </row>
    <row r="29" spans="1:5">
      <c r="A29" s="214" t="s">
        <v>258</v>
      </c>
      <c r="B29" s="215"/>
      <c r="C29" s="216"/>
      <c r="D29" s="2">
        <v>17.93</v>
      </c>
      <c r="E29" s="162">
        <f>D29*4470</f>
        <v>80147.100000000006</v>
      </c>
    </row>
    <row r="30" spans="1:5">
      <c r="A30" s="214" t="s">
        <v>306</v>
      </c>
      <c r="B30" s="215"/>
      <c r="C30" s="216"/>
      <c r="D30" s="2">
        <f>0.115+3.85</f>
        <v>3.9650000000000003</v>
      </c>
      <c r="E30" s="162">
        <f>(D30*4470*10+15000)/10</f>
        <v>19223.550000000003</v>
      </c>
    </row>
    <row r="31" spans="1:5">
      <c r="A31" s="213" t="s">
        <v>307</v>
      </c>
      <c r="B31" s="213"/>
      <c r="C31" s="213"/>
      <c r="D31" s="2"/>
      <c r="E31" s="163">
        <f>(17930*10+7500)/10</f>
        <v>18680</v>
      </c>
    </row>
    <row r="32" spans="1:5">
      <c r="A32" s="213" t="s">
        <v>308</v>
      </c>
      <c r="B32" s="213"/>
      <c r="C32" s="213"/>
      <c r="D32" s="2"/>
      <c r="E32" s="163">
        <f>120857+3750</f>
        <v>124607</v>
      </c>
    </row>
    <row r="33" spans="1:5">
      <c r="A33" s="213" t="s">
        <v>311</v>
      </c>
      <c r="B33" s="213"/>
      <c r="C33" s="213"/>
      <c r="D33" s="2"/>
      <c r="E33" s="163">
        <f>(3255*0.34)+(4920*0.66)</f>
        <v>4353.9000000000005</v>
      </c>
    </row>
    <row r="34" spans="1:5">
      <c r="A34" s="213" t="s">
        <v>312</v>
      </c>
      <c r="B34" s="213"/>
      <c r="C34" s="213"/>
      <c r="D34" s="2">
        <v>2814</v>
      </c>
      <c r="E34" s="163">
        <f>(E11*0.5)+D34</f>
        <v>3953.4028800000001</v>
      </c>
    </row>
    <row r="35" spans="1:5">
      <c r="A35" s="213" t="s">
        <v>256</v>
      </c>
      <c r="B35" s="213"/>
      <c r="C35" s="213"/>
      <c r="D35" s="2">
        <f>0.115+2.81</f>
        <v>2.9250000000000003</v>
      </c>
      <c r="E35" s="3">
        <f>(D35*4470*10+15000)/10</f>
        <v>14574.75</v>
      </c>
    </row>
  </sheetData>
  <mergeCells count="35">
    <mergeCell ref="A6:C6"/>
    <mergeCell ref="A35:C35"/>
    <mergeCell ref="A1:E1"/>
    <mergeCell ref="A2:C2"/>
    <mergeCell ref="A3:C3"/>
    <mergeCell ref="A4:C4"/>
    <mergeCell ref="A5:C5"/>
    <mergeCell ref="A7:C7"/>
    <mergeCell ref="A8:C8"/>
    <mergeCell ref="A9:C9"/>
    <mergeCell ref="A10:C10"/>
    <mergeCell ref="A11:C11"/>
    <mergeCell ref="A12:C12"/>
    <mergeCell ref="A13:C13"/>
    <mergeCell ref="A14:C14"/>
    <mergeCell ref="A23:C23"/>
    <mergeCell ref="A15:C15"/>
    <mergeCell ref="A16:C16"/>
    <mergeCell ref="A17:C17"/>
    <mergeCell ref="A18:C18"/>
    <mergeCell ref="A19:C19"/>
    <mergeCell ref="A20:C20"/>
    <mergeCell ref="A21:C21"/>
    <mergeCell ref="A22:C22"/>
    <mergeCell ref="A24:C24"/>
    <mergeCell ref="A25:C25"/>
    <mergeCell ref="A31:C31"/>
    <mergeCell ref="A32:C32"/>
    <mergeCell ref="A33:C33"/>
    <mergeCell ref="A34:C34"/>
    <mergeCell ref="A26:C26"/>
    <mergeCell ref="A27:C27"/>
    <mergeCell ref="A28:C28"/>
    <mergeCell ref="A29:C29"/>
    <mergeCell ref="A30:C3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40"/>
  <sheetViews>
    <sheetView tabSelected="1"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F41" sqref="F41"/>
    </sheetView>
  </sheetViews>
  <sheetFormatPr baseColWidth="10" defaultRowHeight="15"/>
  <cols>
    <col min="1" max="1" width="36.85546875" customWidth="1"/>
    <col min="2" max="2" width="12" customWidth="1"/>
    <col min="3" max="14" width="9.140625" customWidth="1"/>
    <col min="15" max="15" width="11.85546875" bestFit="1" customWidth="1"/>
  </cols>
  <sheetData>
    <row r="1" spans="1:15" ht="15.75">
      <c r="A1" s="217" t="s">
        <v>333</v>
      </c>
      <c r="B1" s="217"/>
      <c r="C1" s="217"/>
    </row>
    <row r="2" spans="1:15" ht="26.25" customHeight="1">
      <c r="A2" s="169" t="s">
        <v>65</v>
      </c>
      <c r="B2" s="164" t="s">
        <v>324</v>
      </c>
      <c r="C2" s="172" t="s">
        <v>325</v>
      </c>
      <c r="D2" s="173" t="s">
        <v>326</v>
      </c>
      <c r="E2" s="173" t="s">
        <v>327</v>
      </c>
      <c r="F2" s="173" t="s">
        <v>328</v>
      </c>
      <c r="G2" s="173" t="s">
        <v>161</v>
      </c>
      <c r="H2" s="173" t="s">
        <v>329</v>
      </c>
      <c r="I2" s="173" t="s">
        <v>162</v>
      </c>
      <c r="J2" s="173" t="s">
        <v>330</v>
      </c>
      <c r="K2" s="173" t="s">
        <v>151</v>
      </c>
      <c r="L2" s="173" t="s">
        <v>331</v>
      </c>
      <c r="M2" s="173" t="s">
        <v>337</v>
      </c>
      <c r="N2" s="173" t="s">
        <v>338</v>
      </c>
      <c r="O2" s="173" t="s">
        <v>332</v>
      </c>
    </row>
    <row r="3" spans="1:15">
      <c r="A3" s="168" t="s">
        <v>283</v>
      </c>
      <c r="B3" s="16">
        <f>100+40+3+35</f>
        <v>178</v>
      </c>
      <c r="C3" s="166">
        <f>2.8+2.8+2.8</f>
        <v>8.3999999999999986</v>
      </c>
      <c r="D3" s="3">
        <f>4+12+16+16+2+4</f>
        <v>54</v>
      </c>
      <c r="E3" s="3">
        <v>14</v>
      </c>
      <c r="F3" s="3">
        <v>13</v>
      </c>
      <c r="G3" s="165">
        <v>0</v>
      </c>
      <c r="H3" s="165">
        <v>0</v>
      </c>
      <c r="I3" s="165">
        <v>0</v>
      </c>
      <c r="J3" s="165">
        <f>11+22+22+2.75</f>
        <v>57.75</v>
      </c>
      <c r="K3" s="165">
        <v>0</v>
      </c>
      <c r="L3" s="165">
        <v>0</v>
      </c>
      <c r="M3" s="165"/>
      <c r="N3" s="165"/>
      <c r="O3" s="176">
        <f t="shared" ref="O3:O37" si="0">B3-C3-D3-E3-F3-G3-H3-I3-J3-K3-L3-M3-N3</f>
        <v>30.849999999999994</v>
      </c>
    </row>
    <row r="4" spans="1:15">
      <c r="A4" s="168" t="s">
        <v>256</v>
      </c>
      <c r="B4" s="165">
        <v>5</v>
      </c>
      <c r="C4" s="165">
        <v>0</v>
      </c>
      <c r="D4" s="165">
        <v>0</v>
      </c>
      <c r="E4" s="165">
        <v>0</v>
      </c>
      <c r="F4" s="165">
        <v>0</v>
      </c>
      <c r="G4" s="165">
        <v>0</v>
      </c>
      <c r="H4" s="165">
        <v>0</v>
      </c>
      <c r="I4" s="165">
        <v>0</v>
      </c>
      <c r="J4" s="165">
        <v>0</v>
      </c>
      <c r="K4" s="165">
        <f>0.2+0.2+0.2</f>
        <v>0.60000000000000009</v>
      </c>
      <c r="L4" s="165">
        <v>0</v>
      </c>
      <c r="M4" s="165"/>
      <c r="N4" s="165"/>
      <c r="O4" s="165">
        <f t="shared" si="0"/>
        <v>4.4000000000000004</v>
      </c>
    </row>
    <row r="5" spans="1:15">
      <c r="A5" s="168" t="s">
        <v>255</v>
      </c>
      <c r="B5" s="165">
        <f>5.2+10</f>
        <v>15.2</v>
      </c>
      <c r="C5" s="166">
        <v>0</v>
      </c>
      <c r="D5" s="165">
        <v>0</v>
      </c>
      <c r="E5" s="165">
        <v>0</v>
      </c>
      <c r="F5" s="165">
        <v>0</v>
      </c>
      <c r="G5" s="165">
        <v>0</v>
      </c>
      <c r="H5" s="165">
        <v>0</v>
      </c>
      <c r="I5" s="165">
        <v>0</v>
      </c>
      <c r="J5" s="165">
        <v>0</v>
      </c>
      <c r="K5" s="165">
        <f>0.5+0.5+0.5</f>
        <v>1.5</v>
      </c>
      <c r="L5" s="165">
        <f>1+2.5+0.5+0.5</f>
        <v>4.5</v>
      </c>
      <c r="M5" s="165">
        <f>0.4+4+0.8</f>
        <v>5.2</v>
      </c>
      <c r="N5" s="165">
        <f>0.4+0.8</f>
        <v>1.2000000000000002</v>
      </c>
      <c r="O5" s="165">
        <f t="shared" si="0"/>
        <v>2.7999999999999989</v>
      </c>
    </row>
    <row r="6" spans="1:15">
      <c r="A6" s="168" t="s">
        <v>294</v>
      </c>
      <c r="B6" s="165">
        <f>25+11</f>
        <v>36</v>
      </c>
      <c r="C6" s="166">
        <v>0</v>
      </c>
      <c r="D6" s="165">
        <v>0</v>
      </c>
      <c r="E6" s="165">
        <v>0</v>
      </c>
      <c r="F6" s="165">
        <v>0</v>
      </c>
      <c r="G6" s="165">
        <f>5.5+6</f>
        <v>11.5</v>
      </c>
      <c r="H6" s="165">
        <f>5.2+2.75+5</f>
        <v>12.95</v>
      </c>
      <c r="I6" s="165">
        <v>2.75</v>
      </c>
      <c r="J6" s="165">
        <v>0</v>
      </c>
      <c r="K6" s="165">
        <v>0</v>
      </c>
      <c r="L6" s="165">
        <v>0</v>
      </c>
      <c r="M6" s="165"/>
      <c r="N6" s="165"/>
      <c r="O6" s="165">
        <f t="shared" si="0"/>
        <v>8.8000000000000007</v>
      </c>
    </row>
    <row r="7" spans="1:15">
      <c r="A7" s="168" t="s">
        <v>304</v>
      </c>
      <c r="B7" s="165">
        <f>0.5+1</f>
        <v>1.5</v>
      </c>
      <c r="C7" s="166">
        <v>0</v>
      </c>
      <c r="D7" s="165">
        <v>0</v>
      </c>
      <c r="E7" s="165">
        <v>0</v>
      </c>
      <c r="F7" s="165">
        <v>0</v>
      </c>
      <c r="G7" s="165">
        <v>0</v>
      </c>
      <c r="H7" s="165">
        <v>0</v>
      </c>
      <c r="I7" s="165">
        <v>0</v>
      </c>
      <c r="J7" s="165">
        <f>0.2+0.4+0.4+0.1</f>
        <v>1.1000000000000001</v>
      </c>
      <c r="K7" s="165">
        <v>0</v>
      </c>
      <c r="L7" s="165">
        <v>0</v>
      </c>
      <c r="M7" s="165"/>
      <c r="N7" s="165"/>
      <c r="O7" s="165">
        <f t="shared" si="0"/>
        <v>0.39999999999999991</v>
      </c>
    </row>
    <row r="8" spans="1:15">
      <c r="A8" s="168" t="s">
        <v>306</v>
      </c>
      <c r="B8" s="165">
        <v>5</v>
      </c>
      <c r="C8" s="166">
        <v>0</v>
      </c>
      <c r="D8" s="165">
        <v>0</v>
      </c>
      <c r="E8" s="165">
        <v>0</v>
      </c>
      <c r="F8" s="165">
        <v>0</v>
      </c>
      <c r="G8" s="165">
        <v>0</v>
      </c>
      <c r="H8" s="165">
        <v>0</v>
      </c>
      <c r="I8" s="165">
        <v>0</v>
      </c>
      <c r="J8" s="165">
        <v>0</v>
      </c>
      <c r="K8" s="165">
        <f>0.4+0.4+0.4</f>
        <v>1.2000000000000002</v>
      </c>
      <c r="L8" s="165">
        <v>0</v>
      </c>
      <c r="M8" s="165"/>
      <c r="N8" s="165"/>
      <c r="O8" s="165">
        <f t="shared" si="0"/>
        <v>3.8</v>
      </c>
    </row>
    <row r="9" spans="1:15">
      <c r="A9" s="168" t="s">
        <v>336</v>
      </c>
      <c r="B9" s="165">
        <v>15</v>
      </c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>
        <f t="shared" si="0"/>
        <v>15</v>
      </c>
    </row>
    <row r="10" spans="1:15">
      <c r="A10" s="168" t="s">
        <v>335</v>
      </c>
      <c r="B10" s="165">
        <f>15-1.5</f>
        <v>13.5</v>
      </c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>
        <f t="shared" si="0"/>
        <v>13.5</v>
      </c>
    </row>
    <row r="11" spans="1:15">
      <c r="A11" s="168" t="s">
        <v>293</v>
      </c>
      <c r="B11" s="165">
        <v>200</v>
      </c>
      <c r="C11" s="166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>
        <f t="shared" si="0"/>
        <v>200</v>
      </c>
    </row>
    <row r="12" spans="1:15">
      <c r="A12" s="168" t="s">
        <v>299</v>
      </c>
      <c r="B12" s="165">
        <v>10</v>
      </c>
      <c r="C12" s="166">
        <v>0</v>
      </c>
      <c r="D12" s="165">
        <v>0</v>
      </c>
      <c r="E12" s="165">
        <v>0</v>
      </c>
      <c r="F12" s="165">
        <v>0</v>
      </c>
      <c r="G12" s="165">
        <f>0.2+0.2+0.2+0.2+0.08</f>
        <v>0.88</v>
      </c>
      <c r="H12" s="165">
        <v>0</v>
      </c>
      <c r="I12" s="165">
        <v>0</v>
      </c>
      <c r="J12" s="165">
        <v>0</v>
      </c>
      <c r="K12" s="165">
        <v>0</v>
      </c>
      <c r="L12" s="165">
        <v>0</v>
      </c>
      <c r="M12" s="165"/>
      <c r="N12" s="165"/>
      <c r="O12" s="165">
        <f t="shared" si="0"/>
        <v>9.1199999999999992</v>
      </c>
    </row>
    <row r="13" spans="1:15">
      <c r="A13" s="168" t="s">
        <v>303</v>
      </c>
      <c r="B13" s="165">
        <v>20</v>
      </c>
      <c r="C13" s="166">
        <v>0</v>
      </c>
      <c r="D13" s="165">
        <v>0</v>
      </c>
      <c r="E13" s="165">
        <v>1</v>
      </c>
      <c r="F13" s="165">
        <v>3.3</v>
      </c>
      <c r="G13" s="165">
        <v>0</v>
      </c>
      <c r="H13" s="165">
        <v>0</v>
      </c>
      <c r="I13" s="165">
        <v>0</v>
      </c>
      <c r="J13" s="165">
        <f>0.2+0.4+0.4+0.05</f>
        <v>1.05</v>
      </c>
      <c r="K13" s="165">
        <v>0</v>
      </c>
      <c r="L13" s="165">
        <f>0.02+0.05+0.01+0.01</f>
        <v>0.09</v>
      </c>
      <c r="M13" s="165"/>
      <c r="N13" s="165"/>
      <c r="O13" s="165">
        <f t="shared" si="0"/>
        <v>14.559999999999999</v>
      </c>
    </row>
    <row r="14" spans="1:15">
      <c r="A14" s="168" t="s">
        <v>301</v>
      </c>
      <c r="B14" s="165">
        <v>16.5</v>
      </c>
      <c r="C14" s="166">
        <f>0.6+0.6+0.6</f>
        <v>1.7999999999999998</v>
      </c>
      <c r="D14" s="165">
        <v>0</v>
      </c>
      <c r="E14" s="165">
        <v>0</v>
      </c>
      <c r="F14" s="165">
        <v>0</v>
      </c>
      <c r="G14" s="165">
        <v>0</v>
      </c>
      <c r="H14" s="165">
        <v>0</v>
      </c>
      <c r="I14" s="165">
        <v>0</v>
      </c>
      <c r="J14" s="165">
        <v>0</v>
      </c>
      <c r="K14" s="165">
        <f>0.02+0.02+0.02</f>
        <v>0.06</v>
      </c>
      <c r="L14" s="165">
        <v>0</v>
      </c>
      <c r="M14" s="165"/>
      <c r="N14" s="165"/>
      <c r="O14" s="165">
        <f t="shared" si="0"/>
        <v>14.639999999999999</v>
      </c>
    </row>
    <row r="15" spans="1:15">
      <c r="A15" s="168" t="s">
        <v>291</v>
      </c>
      <c r="B15" s="165">
        <v>0.25</v>
      </c>
      <c r="C15" s="166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>
        <f t="shared" si="0"/>
        <v>0.25</v>
      </c>
    </row>
    <row r="16" spans="1:15">
      <c r="A16" s="168" t="s">
        <v>310</v>
      </c>
      <c r="B16" s="165">
        <v>10</v>
      </c>
      <c r="C16" s="166">
        <v>0</v>
      </c>
      <c r="D16" s="165">
        <v>0</v>
      </c>
      <c r="E16" s="165">
        <v>0</v>
      </c>
      <c r="F16" s="165">
        <v>0</v>
      </c>
      <c r="G16" s="165">
        <v>0</v>
      </c>
      <c r="H16" s="165">
        <f>0.1+0.2+0.2+0.2</f>
        <v>0.7</v>
      </c>
      <c r="I16" s="165">
        <v>0</v>
      </c>
      <c r="J16" s="165">
        <v>0</v>
      </c>
      <c r="K16" s="165">
        <v>0</v>
      </c>
      <c r="L16" s="165">
        <v>0</v>
      </c>
      <c r="M16" s="165"/>
      <c r="N16" s="165"/>
      <c r="O16" s="165">
        <f t="shared" si="0"/>
        <v>9.3000000000000007</v>
      </c>
    </row>
    <row r="17" spans="1:15">
      <c r="A17" s="168" t="s">
        <v>300</v>
      </c>
      <c r="B17" s="165">
        <v>10</v>
      </c>
      <c r="C17" s="166">
        <v>0</v>
      </c>
      <c r="D17" s="165">
        <v>0</v>
      </c>
      <c r="E17" s="165">
        <v>0</v>
      </c>
      <c r="F17" s="165">
        <v>0</v>
      </c>
      <c r="G17" s="165">
        <v>0</v>
      </c>
      <c r="H17" s="165">
        <v>0</v>
      </c>
      <c r="I17" s="165">
        <f>0.37+0.5+0.2</f>
        <v>1.07</v>
      </c>
      <c r="J17" s="165">
        <v>0</v>
      </c>
      <c r="K17" s="165">
        <v>0</v>
      </c>
      <c r="L17" s="165">
        <v>0</v>
      </c>
      <c r="M17" s="165"/>
      <c r="N17" s="165"/>
      <c r="O17" s="165">
        <f t="shared" si="0"/>
        <v>8.93</v>
      </c>
    </row>
    <row r="18" spans="1:15">
      <c r="A18" s="168" t="s">
        <v>311</v>
      </c>
      <c r="B18" s="165">
        <v>1</v>
      </c>
      <c r="C18" s="165">
        <v>0</v>
      </c>
      <c r="D18" s="165">
        <v>0</v>
      </c>
      <c r="E18" s="165">
        <v>0</v>
      </c>
      <c r="F18" s="165">
        <v>0.6</v>
      </c>
      <c r="G18" s="165">
        <v>0</v>
      </c>
      <c r="H18" s="165">
        <v>0</v>
      </c>
      <c r="I18" s="165">
        <v>0</v>
      </c>
      <c r="J18" s="165">
        <v>0</v>
      </c>
      <c r="K18" s="165">
        <v>0</v>
      </c>
      <c r="L18" s="165">
        <v>0</v>
      </c>
      <c r="M18" s="165"/>
      <c r="N18" s="165"/>
      <c r="O18" s="165">
        <f t="shared" si="0"/>
        <v>0.4</v>
      </c>
    </row>
    <row r="19" spans="1:15">
      <c r="A19" s="168" t="s">
        <v>302</v>
      </c>
      <c r="B19" s="165">
        <v>20</v>
      </c>
      <c r="C19" s="166">
        <v>0</v>
      </c>
      <c r="D19" s="165">
        <f>0.6+1.8+2.4+2.4+0.3+0.6</f>
        <v>8.1</v>
      </c>
      <c r="E19" s="165">
        <v>0</v>
      </c>
      <c r="F19" s="165">
        <v>1.7</v>
      </c>
      <c r="G19" s="165">
        <v>0</v>
      </c>
      <c r="H19" s="165">
        <v>0</v>
      </c>
      <c r="I19" s="165">
        <v>0</v>
      </c>
      <c r="J19" s="165">
        <v>0</v>
      </c>
      <c r="K19" s="165">
        <v>0</v>
      </c>
      <c r="L19" s="165">
        <v>0</v>
      </c>
      <c r="M19" s="165"/>
      <c r="N19" s="165"/>
      <c r="O19" s="165">
        <f t="shared" si="0"/>
        <v>10.200000000000001</v>
      </c>
    </row>
    <row r="20" spans="1:15">
      <c r="A20" s="168" t="s">
        <v>312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7">
        <f t="shared" si="0"/>
        <v>0</v>
      </c>
    </row>
    <row r="21" spans="1:15">
      <c r="A21" s="168" t="s">
        <v>233</v>
      </c>
      <c r="B21" s="165">
        <v>33</v>
      </c>
      <c r="C21" s="166">
        <f>0.4+0.4+0.4</f>
        <v>1.2000000000000002</v>
      </c>
      <c r="D21" s="165">
        <f>0.4+1.2+1.6+1.6+0.2+0.4</f>
        <v>5.4000000000000012</v>
      </c>
      <c r="E21" s="165">
        <v>0.4</v>
      </c>
      <c r="F21" s="165">
        <v>0.4</v>
      </c>
      <c r="G21" s="165">
        <v>0</v>
      </c>
      <c r="H21" s="165">
        <v>0</v>
      </c>
      <c r="I21" s="165">
        <v>0</v>
      </c>
      <c r="J21" s="165">
        <f>0.4+0.8+0.8+0.1</f>
        <v>2.1</v>
      </c>
      <c r="K21" s="165">
        <v>0</v>
      </c>
      <c r="L21" s="165">
        <v>0</v>
      </c>
      <c r="M21" s="165"/>
      <c r="N21" s="165"/>
      <c r="O21" s="165">
        <f t="shared" si="0"/>
        <v>23.5</v>
      </c>
    </row>
    <row r="22" spans="1:15">
      <c r="A22" s="168" t="s">
        <v>309</v>
      </c>
      <c r="B22" s="165">
        <f>5+3</f>
        <v>8</v>
      </c>
      <c r="C22" s="166">
        <v>0</v>
      </c>
      <c r="D22" s="165">
        <v>0</v>
      </c>
      <c r="E22" s="165">
        <v>0</v>
      </c>
      <c r="F22" s="165">
        <v>0</v>
      </c>
      <c r="G22" s="165">
        <v>0</v>
      </c>
      <c r="H22" s="165">
        <v>0</v>
      </c>
      <c r="I22" s="165">
        <v>0</v>
      </c>
      <c r="J22" s="165">
        <f>1+2+2+0.3</f>
        <v>5.3</v>
      </c>
      <c r="K22" s="165">
        <v>0</v>
      </c>
      <c r="L22" s="165">
        <v>0</v>
      </c>
      <c r="M22" s="165"/>
      <c r="N22" s="165"/>
      <c r="O22" s="166">
        <f t="shared" si="0"/>
        <v>2.7</v>
      </c>
    </row>
    <row r="23" spans="1:15">
      <c r="A23" s="168" t="s">
        <v>290</v>
      </c>
      <c r="B23" s="165">
        <v>0.9</v>
      </c>
      <c r="C23" s="166">
        <v>0</v>
      </c>
      <c r="D23" s="165">
        <v>0</v>
      </c>
      <c r="E23" s="165">
        <v>0</v>
      </c>
      <c r="F23" s="165">
        <v>0.06</v>
      </c>
      <c r="G23" s="165">
        <v>0</v>
      </c>
      <c r="H23" s="165">
        <v>0</v>
      </c>
      <c r="I23" s="165">
        <v>0</v>
      </c>
      <c r="J23" s="165">
        <v>0</v>
      </c>
      <c r="K23" s="165">
        <v>0</v>
      </c>
      <c r="L23" s="165">
        <v>0</v>
      </c>
      <c r="M23" s="165"/>
      <c r="N23" s="165"/>
      <c r="O23" s="165">
        <f t="shared" si="0"/>
        <v>0.84000000000000008</v>
      </c>
    </row>
    <row r="24" spans="1:15">
      <c r="A24" s="168" t="s">
        <v>295</v>
      </c>
      <c r="B24" s="165">
        <v>4</v>
      </c>
      <c r="C24" s="166">
        <v>0</v>
      </c>
      <c r="D24" s="165">
        <v>0</v>
      </c>
      <c r="E24" s="165">
        <v>0</v>
      </c>
      <c r="F24" s="165">
        <v>0</v>
      </c>
      <c r="G24" s="165">
        <f>0.5+0.5+0.5+0.5+0.2</f>
        <v>2.2000000000000002</v>
      </c>
      <c r="H24" s="165">
        <v>0</v>
      </c>
      <c r="I24" s="165">
        <v>0</v>
      </c>
      <c r="J24" s="165">
        <v>0</v>
      </c>
      <c r="K24" s="165">
        <v>0</v>
      </c>
      <c r="L24" s="165">
        <v>0</v>
      </c>
      <c r="M24" s="165">
        <f>0.08+0.8+0.16</f>
        <v>1.04</v>
      </c>
      <c r="N24" s="165"/>
      <c r="O24" s="165">
        <f t="shared" si="0"/>
        <v>0.75999999999999979</v>
      </c>
    </row>
    <row r="25" spans="1:15">
      <c r="A25" s="168" t="s">
        <v>258</v>
      </c>
      <c r="B25" s="165">
        <v>1</v>
      </c>
      <c r="C25" s="166">
        <v>0</v>
      </c>
      <c r="D25" s="165">
        <v>0</v>
      </c>
      <c r="E25" s="165">
        <v>0</v>
      </c>
      <c r="F25" s="165">
        <v>0</v>
      </c>
      <c r="G25" s="165">
        <v>0</v>
      </c>
      <c r="H25" s="165">
        <v>0</v>
      </c>
      <c r="I25" s="165">
        <v>0</v>
      </c>
      <c r="J25" s="165">
        <v>0</v>
      </c>
      <c r="K25" s="165">
        <f>0.04+0.04+0.04</f>
        <v>0.12</v>
      </c>
      <c r="L25" s="165">
        <v>0</v>
      </c>
      <c r="M25" s="165"/>
      <c r="N25" s="165"/>
      <c r="O25" s="165">
        <f t="shared" si="0"/>
        <v>0.88</v>
      </c>
    </row>
    <row r="26" spans="1:15">
      <c r="A26" s="168" t="s">
        <v>298</v>
      </c>
      <c r="B26" s="165">
        <v>1</v>
      </c>
      <c r="C26" s="166">
        <v>0</v>
      </c>
      <c r="D26" s="165">
        <v>0</v>
      </c>
      <c r="E26" s="165">
        <v>0</v>
      </c>
      <c r="F26" s="165">
        <v>0</v>
      </c>
      <c r="G26" s="165">
        <v>0</v>
      </c>
      <c r="H26" s="165">
        <v>0</v>
      </c>
      <c r="I26" s="165">
        <v>0</v>
      </c>
      <c r="J26" s="165">
        <v>0</v>
      </c>
      <c r="K26" s="165">
        <v>0</v>
      </c>
      <c r="L26" s="165">
        <f>0.02+0.05+0.01+0.01</f>
        <v>0.09</v>
      </c>
      <c r="M26" s="165"/>
      <c r="N26" s="165"/>
      <c r="O26" s="165">
        <f t="shared" si="0"/>
        <v>0.91</v>
      </c>
    </row>
    <row r="27" spans="1:15">
      <c r="A27" s="170" t="s">
        <v>297</v>
      </c>
      <c r="B27" s="165">
        <f>0.8+0.8</f>
        <v>1.6</v>
      </c>
      <c r="C27" s="166">
        <v>0</v>
      </c>
      <c r="D27" s="165">
        <v>0</v>
      </c>
      <c r="E27" s="165">
        <v>0</v>
      </c>
      <c r="F27" s="165">
        <v>0</v>
      </c>
      <c r="G27" s="165">
        <v>0</v>
      </c>
      <c r="H27" s="165">
        <v>0</v>
      </c>
      <c r="I27" s="165">
        <f>0.35+0.21</f>
        <v>0.55999999999999994</v>
      </c>
      <c r="J27" s="165">
        <v>0</v>
      </c>
      <c r="K27" s="165">
        <v>0</v>
      </c>
      <c r="L27" s="165">
        <v>0</v>
      </c>
      <c r="M27" s="165"/>
      <c r="N27" s="165">
        <f>0.08+0.16</f>
        <v>0.24</v>
      </c>
      <c r="O27" s="167">
        <f t="shared" si="0"/>
        <v>0.8</v>
      </c>
    </row>
    <row r="28" spans="1:15">
      <c r="A28" s="170" t="s">
        <v>308</v>
      </c>
      <c r="B28" s="165">
        <f>1.6+0.8</f>
        <v>2.4000000000000004</v>
      </c>
      <c r="C28" s="165">
        <v>0</v>
      </c>
      <c r="D28" s="165">
        <v>0</v>
      </c>
      <c r="E28" s="165">
        <v>0</v>
      </c>
      <c r="F28" s="165">
        <v>0</v>
      </c>
      <c r="G28" s="165">
        <v>0</v>
      </c>
      <c r="H28" s="165">
        <f>0.3+0.5+0.8+0.8</f>
        <v>2.4000000000000004</v>
      </c>
      <c r="I28" s="165">
        <v>0</v>
      </c>
      <c r="J28" s="165">
        <v>0</v>
      </c>
      <c r="K28" s="165">
        <v>0</v>
      </c>
      <c r="L28" s="165">
        <v>0</v>
      </c>
      <c r="M28" s="165"/>
      <c r="N28" s="165"/>
      <c r="O28" s="167">
        <f t="shared" si="0"/>
        <v>0</v>
      </c>
    </row>
    <row r="29" spans="1:15">
      <c r="A29" s="170" t="s">
        <v>307</v>
      </c>
      <c r="B29" s="165">
        <v>10</v>
      </c>
      <c r="C29" s="165">
        <v>0</v>
      </c>
      <c r="D29" s="165">
        <v>0</v>
      </c>
      <c r="E29" s="165">
        <v>0</v>
      </c>
      <c r="F29" s="165">
        <v>0</v>
      </c>
      <c r="G29" s="165">
        <v>0</v>
      </c>
      <c r="H29" s="165">
        <v>0</v>
      </c>
      <c r="I29" s="165">
        <v>0</v>
      </c>
      <c r="J29" s="165">
        <v>0</v>
      </c>
      <c r="K29" s="165">
        <v>0</v>
      </c>
      <c r="L29" s="165">
        <f>0.04+0.1+0.02+0.02</f>
        <v>0.18</v>
      </c>
      <c r="M29" s="165"/>
      <c r="N29" s="165"/>
      <c r="O29" s="165">
        <f t="shared" si="0"/>
        <v>9.82</v>
      </c>
    </row>
    <row r="30" spans="1:15">
      <c r="A30" s="170" t="s">
        <v>286</v>
      </c>
      <c r="B30" s="165">
        <f>50+50+40+45</f>
        <v>185</v>
      </c>
      <c r="C30" s="166">
        <f>3.2+3.2+3.2</f>
        <v>9.6000000000000014</v>
      </c>
      <c r="D30" s="165">
        <f>3.6+10.8+14.4+14.4+3.5+7</f>
        <v>53.7</v>
      </c>
      <c r="E30" s="165">
        <v>0</v>
      </c>
      <c r="F30" s="165">
        <v>5</v>
      </c>
      <c r="G30" s="165">
        <v>0</v>
      </c>
      <c r="H30" s="165">
        <v>0</v>
      </c>
      <c r="I30" s="165">
        <v>0</v>
      </c>
      <c r="J30" s="165">
        <f>14.4+22.8+22.8+2.85</f>
        <v>62.85</v>
      </c>
      <c r="K30" s="165">
        <f>0.1+0.1+0.1</f>
        <v>0.30000000000000004</v>
      </c>
      <c r="L30" s="165">
        <f>0.2+0.5+0.1+0.1</f>
        <v>0.89999999999999991</v>
      </c>
      <c r="M30" s="165">
        <f>0.08+0.8+0.16</f>
        <v>1.04</v>
      </c>
      <c r="N30" s="165">
        <v>0.08</v>
      </c>
      <c r="O30" s="165">
        <f t="shared" si="0"/>
        <v>51.530000000000008</v>
      </c>
    </row>
    <row r="31" spans="1:15">
      <c r="A31" s="168" t="s">
        <v>289</v>
      </c>
      <c r="B31" s="165">
        <v>2.2000000000000002</v>
      </c>
      <c r="C31" s="166">
        <v>0</v>
      </c>
      <c r="D31" s="165">
        <v>0</v>
      </c>
      <c r="E31" s="165">
        <v>2.2000000000000002</v>
      </c>
      <c r="F31" s="165">
        <v>0</v>
      </c>
      <c r="G31" s="165">
        <v>0</v>
      </c>
      <c r="H31" s="165">
        <v>0</v>
      </c>
      <c r="I31" s="165">
        <v>0</v>
      </c>
      <c r="J31" s="165">
        <v>0</v>
      </c>
      <c r="K31" s="165">
        <v>0</v>
      </c>
      <c r="L31" s="165">
        <v>0</v>
      </c>
      <c r="M31" s="165"/>
      <c r="N31" s="165"/>
      <c r="O31" s="167">
        <f t="shared" si="0"/>
        <v>0</v>
      </c>
    </row>
    <row r="32" spans="1:15">
      <c r="A32" s="168" t="s">
        <v>296</v>
      </c>
      <c r="B32" s="165">
        <v>5</v>
      </c>
      <c r="C32" s="166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>
        <f>0.16</f>
        <v>0.16</v>
      </c>
      <c r="O32" s="165">
        <f t="shared" si="0"/>
        <v>4.84</v>
      </c>
    </row>
    <row r="33" spans="1:15">
      <c r="A33" s="168" t="s">
        <v>288</v>
      </c>
      <c r="B33" s="165">
        <v>5</v>
      </c>
      <c r="C33" s="166">
        <f>1.6+1.6+1.6</f>
        <v>4.8000000000000007</v>
      </c>
      <c r="D33" s="165">
        <v>0</v>
      </c>
      <c r="E33" s="165">
        <v>0</v>
      </c>
      <c r="F33" s="165">
        <v>0</v>
      </c>
      <c r="G33" s="165">
        <v>0</v>
      </c>
      <c r="H33" s="165">
        <v>0</v>
      </c>
      <c r="I33" s="165">
        <v>0</v>
      </c>
      <c r="J33" s="165">
        <v>0</v>
      </c>
      <c r="K33" s="165">
        <v>0</v>
      </c>
      <c r="L33" s="165">
        <v>0</v>
      </c>
      <c r="M33" s="165"/>
      <c r="N33" s="165"/>
      <c r="O33" s="165">
        <f t="shared" si="0"/>
        <v>0.19999999999999929</v>
      </c>
    </row>
    <row r="34" spans="1:15">
      <c r="A34" s="168" t="s">
        <v>287</v>
      </c>
      <c r="B34" s="165">
        <f>28+25</f>
        <v>53</v>
      </c>
      <c r="C34" s="166">
        <f>3.6+3.6+3.6</f>
        <v>10.8</v>
      </c>
      <c r="D34" s="165">
        <f>4.8+2.4+4.8</f>
        <v>12</v>
      </c>
      <c r="E34" s="165">
        <v>1.6</v>
      </c>
      <c r="F34" s="165">
        <v>3.4</v>
      </c>
      <c r="G34" s="165">
        <v>0</v>
      </c>
      <c r="H34" s="165">
        <v>0</v>
      </c>
      <c r="I34" s="165">
        <v>0</v>
      </c>
      <c r="J34" s="165">
        <f>3.4+0.85</f>
        <v>4.25</v>
      </c>
      <c r="K34" s="165">
        <v>0</v>
      </c>
      <c r="L34" s="165">
        <v>0</v>
      </c>
      <c r="M34" s="165"/>
      <c r="N34" s="165"/>
      <c r="O34" s="165">
        <f t="shared" si="0"/>
        <v>20.950000000000003</v>
      </c>
    </row>
    <row r="35" spans="1:15">
      <c r="A35" s="168" t="s">
        <v>284</v>
      </c>
      <c r="B35" s="165">
        <f>25+20</f>
        <v>45</v>
      </c>
      <c r="C35" s="166">
        <f>0.36+0.36+0.36</f>
        <v>1.08</v>
      </c>
      <c r="D35" s="165">
        <f>0.63+1.89+2.52+2.52+0.327+0.63</f>
        <v>8.5170000000000012</v>
      </c>
      <c r="E35" s="165">
        <v>1.6</v>
      </c>
      <c r="F35" s="165">
        <v>1.65</v>
      </c>
      <c r="G35" s="165">
        <v>0</v>
      </c>
      <c r="H35" s="165">
        <v>0</v>
      </c>
      <c r="I35" s="165">
        <v>0</v>
      </c>
      <c r="J35" s="165">
        <f>1.2+2.4+2.4+0.3</f>
        <v>6.3</v>
      </c>
      <c r="K35" s="165">
        <v>0</v>
      </c>
      <c r="L35" s="165">
        <v>0</v>
      </c>
      <c r="M35" s="165"/>
      <c r="N35" s="165"/>
      <c r="O35" s="165">
        <f t="shared" si="0"/>
        <v>25.852999999999998</v>
      </c>
    </row>
    <row r="36" spans="1:15">
      <c r="A36" s="168" t="s">
        <v>305</v>
      </c>
      <c r="B36" s="165">
        <v>5</v>
      </c>
      <c r="C36" s="166">
        <v>0</v>
      </c>
      <c r="D36" s="165">
        <v>5</v>
      </c>
      <c r="E36" s="165">
        <v>0</v>
      </c>
      <c r="F36" s="165">
        <v>0</v>
      </c>
      <c r="G36" s="165">
        <v>0</v>
      </c>
      <c r="H36" s="165">
        <v>0</v>
      </c>
      <c r="I36" s="165">
        <v>0</v>
      </c>
      <c r="J36" s="165">
        <v>0</v>
      </c>
      <c r="K36" s="165">
        <v>0</v>
      </c>
      <c r="L36" s="165">
        <v>0</v>
      </c>
      <c r="M36" s="165"/>
      <c r="N36" s="165"/>
      <c r="O36" s="167">
        <f t="shared" si="0"/>
        <v>0</v>
      </c>
    </row>
    <row r="37" spans="1:15">
      <c r="A37" s="168" t="s">
        <v>285</v>
      </c>
      <c r="B37" s="165">
        <f>10+5+2+4</f>
        <v>21</v>
      </c>
      <c r="C37" s="166">
        <v>0</v>
      </c>
      <c r="D37" s="165">
        <v>0</v>
      </c>
      <c r="E37" s="165">
        <v>0</v>
      </c>
      <c r="F37" s="165">
        <v>2</v>
      </c>
      <c r="G37" s="165">
        <v>0</v>
      </c>
      <c r="H37" s="165">
        <v>0</v>
      </c>
      <c r="I37" s="165">
        <v>0</v>
      </c>
      <c r="J37" s="165">
        <f>3+6+6+0.75</f>
        <v>15.75</v>
      </c>
      <c r="K37" s="165">
        <v>0</v>
      </c>
      <c r="L37" s="165">
        <v>0</v>
      </c>
      <c r="M37" s="165"/>
      <c r="N37" s="165"/>
      <c r="O37" s="166">
        <f t="shared" si="0"/>
        <v>3.25</v>
      </c>
    </row>
    <row r="38" spans="1:15">
      <c r="A38" s="171"/>
    </row>
    <row r="39" spans="1:15">
      <c r="A39" s="171"/>
    </row>
    <row r="40" spans="1:15">
      <c r="A40" s="171"/>
    </row>
  </sheetData>
  <sortState ref="A3:O37">
    <sortCondition ref="A3"/>
  </sortState>
  <mergeCells count="1"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B3" sqref="B3"/>
    </sheetView>
  </sheetViews>
  <sheetFormatPr baseColWidth="10" defaultRowHeight="15"/>
  <cols>
    <col min="1" max="1" width="29.28515625" customWidth="1"/>
    <col min="3" max="3" width="11.42578125" customWidth="1"/>
    <col min="4" max="4" width="13.5703125" customWidth="1"/>
  </cols>
  <sheetData>
    <row r="1" spans="1:8" ht="18.75">
      <c r="A1" s="193" t="s">
        <v>13</v>
      </c>
      <c r="B1" s="193"/>
      <c r="C1" s="193"/>
      <c r="D1" s="193"/>
      <c r="E1" s="193"/>
    </row>
    <row r="2" spans="1:8" ht="18.75">
      <c r="A2" s="7" t="s">
        <v>12</v>
      </c>
      <c r="B2" s="7">
        <v>200</v>
      </c>
      <c r="C2" s="7"/>
      <c r="D2" s="7"/>
      <c r="E2" s="7"/>
    </row>
    <row r="3" spans="1:8">
      <c r="A3" s="1" t="s">
        <v>0</v>
      </c>
      <c r="B3" s="1" t="s">
        <v>10</v>
      </c>
      <c r="C3" s="1" t="s">
        <v>11</v>
      </c>
      <c r="D3" s="1" t="s">
        <v>1</v>
      </c>
      <c r="E3" s="1" t="s">
        <v>2</v>
      </c>
    </row>
    <row r="4" spans="1:8" ht="15.75">
      <c r="A4" s="4" t="s">
        <v>4</v>
      </c>
      <c r="B4" s="5">
        <v>3.15E-3</v>
      </c>
      <c r="C4" s="5">
        <f>B2*B4</f>
        <v>0.63</v>
      </c>
      <c r="D4" s="3">
        <f>COSTO!E4</f>
        <v>6500</v>
      </c>
      <c r="E4" s="3">
        <f>D4*C4</f>
        <v>4095</v>
      </c>
      <c r="G4" t="s">
        <v>41</v>
      </c>
      <c r="H4" s="56">
        <v>0.1</v>
      </c>
    </row>
    <row r="5" spans="1:8" ht="15.75">
      <c r="A5" s="4" t="s">
        <v>123</v>
      </c>
      <c r="B5" s="5">
        <v>1.7999999999999999E-2</v>
      </c>
      <c r="C5" s="9">
        <f>B2*B5</f>
        <v>3.5999999999999996</v>
      </c>
      <c r="D5" s="3">
        <f>COSTO!E6</f>
        <v>11780</v>
      </c>
      <c r="E5" s="3">
        <f t="shared" ref="E5:E12" si="0">D5*C5</f>
        <v>42407.999999999993</v>
      </c>
      <c r="G5" t="s">
        <v>42</v>
      </c>
      <c r="H5" s="56">
        <v>0.05</v>
      </c>
    </row>
    <row r="6" spans="1:8" ht="15.75">
      <c r="A6" s="4" t="s">
        <v>5</v>
      </c>
      <c r="B6" s="5">
        <v>2.5000000000000001E-2</v>
      </c>
      <c r="C6" s="9">
        <f>B2*B6</f>
        <v>5</v>
      </c>
      <c r="D6" s="3">
        <f>COSTO!E27</f>
        <v>10500</v>
      </c>
      <c r="E6" s="3">
        <f t="shared" si="0"/>
        <v>52500</v>
      </c>
      <c r="G6" t="s">
        <v>43</v>
      </c>
      <c r="H6" s="56">
        <v>0</v>
      </c>
    </row>
    <row r="7" spans="1:8" ht="15.75">
      <c r="A7" s="4" t="s">
        <v>6</v>
      </c>
      <c r="B7" s="5">
        <v>2.4E-2</v>
      </c>
      <c r="C7" s="8">
        <f>B2*B7</f>
        <v>4.8</v>
      </c>
      <c r="D7" s="3">
        <f>COSTO!E7</f>
        <v>840</v>
      </c>
      <c r="E7" s="3">
        <f t="shared" si="0"/>
        <v>4032</v>
      </c>
      <c r="G7" t="s">
        <v>44</v>
      </c>
      <c r="H7" s="56">
        <v>0.35</v>
      </c>
    </row>
    <row r="8" spans="1:8" ht="15.75">
      <c r="A8" s="4" t="s">
        <v>7</v>
      </c>
      <c r="B8" s="5">
        <v>2E-3</v>
      </c>
      <c r="C8" s="5">
        <f>B2*B8</f>
        <v>0.4</v>
      </c>
      <c r="D8" s="3">
        <f>COSTO!E13</f>
        <v>7077.6909090909085</v>
      </c>
      <c r="E8" s="3">
        <f t="shared" si="0"/>
        <v>2831.0763636363636</v>
      </c>
      <c r="G8" s="61" t="s">
        <v>45</v>
      </c>
      <c r="H8" s="62">
        <f>SUM(H4:H7)</f>
        <v>0.5</v>
      </c>
    </row>
    <row r="9" spans="1:8" ht="15.75">
      <c r="A9" s="4" t="s">
        <v>8</v>
      </c>
      <c r="B9" s="5">
        <v>0.02</v>
      </c>
      <c r="C9" s="5">
        <f>B2*B9</f>
        <v>4</v>
      </c>
      <c r="D9" s="3">
        <f>COSTO!E3</f>
        <v>12470</v>
      </c>
      <c r="E9" s="3">
        <f t="shared" si="0"/>
        <v>49880</v>
      </c>
    </row>
    <row r="10" spans="1:8" ht="15.75">
      <c r="A10" s="4" t="s">
        <v>9</v>
      </c>
      <c r="B10" s="6">
        <v>0.90985000000000005</v>
      </c>
      <c r="C10" s="8">
        <f>B2*B10</f>
        <v>181.97</v>
      </c>
      <c r="D10" s="3">
        <v>0</v>
      </c>
      <c r="E10" s="3">
        <f t="shared" si="0"/>
        <v>0</v>
      </c>
    </row>
    <row r="11" spans="1:8">
      <c r="A11" s="2"/>
      <c r="B11" s="2">
        <f>SUM(B4:B10)</f>
        <v>1.002</v>
      </c>
      <c r="C11" s="2"/>
      <c r="D11" s="3"/>
      <c r="E11" s="3">
        <f t="shared" si="0"/>
        <v>0</v>
      </c>
    </row>
    <row r="12" spans="1:8" ht="15.75">
      <c r="A12" s="4" t="s">
        <v>14</v>
      </c>
      <c r="B12" s="5">
        <v>3.0000000000000001E-3</v>
      </c>
      <c r="C12" s="2">
        <f>B2*B12</f>
        <v>0.6</v>
      </c>
      <c r="D12" s="3">
        <f>COSTO!E24</f>
        <v>3255</v>
      </c>
      <c r="E12" s="3">
        <f t="shared" si="0"/>
        <v>1953</v>
      </c>
    </row>
    <row r="13" spans="1:8">
      <c r="A13" s="2" t="s">
        <v>3</v>
      </c>
      <c r="B13" s="2">
        <v>1</v>
      </c>
      <c r="C13" s="2">
        <v>1</v>
      </c>
      <c r="D13" s="3">
        <v>0</v>
      </c>
      <c r="E13" s="3">
        <f>D13*C13</f>
        <v>0</v>
      </c>
    </row>
    <row r="14" spans="1:8">
      <c r="A14" s="2" t="s">
        <v>2</v>
      </c>
      <c r="B14" s="2"/>
      <c r="C14" s="2"/>
      <c r="D14" s="3"/>
      <c r="E14" s="3">
        <f>SUM(E4:E13)</f>
        <v>157699.07636363636</v>
      </c>
    </row>
    <row r="15" spans="1:8" ht="23.25">
      <c r="A15" s="10" t="s">
        <v>1</v>
      </c>
      <c r="E15" s="11">
        <f>E14/B2</f>
        <v>788.49538181818173</v>
      </c>
    </row>
    <row r="16" spans="1:8">
      <c r="C16">
        <v>876</v>
      </c>
    </row>
    <row r="19" spans="2:10">
      <c r="B19" s="194" t="s">
        <v>46</v>
      </c>
      <c r="C19" s="195" t="s">
        <v>2</v>
      </c>
      <c r="D19" s="195"/>
      <c r="E19" s="198">
        <f>E15</f>
        <v>788.49538181818173</v>
      </c>
      <c r="F19" s="198"/>
      <c r="G19" s="198">
        <f>E19</f>
        <v>788.49538181818173</v>
      </c>
      <c r="H19" s="195"/>
      <c r="I19" s="127">
        <f>G19</f>
        <v>788.49538181818173</v>
      </c>
      <c r="J19" s="200">
        <f>I19/I20</f>
        <v>1576.9907636363635</v>
      </c>
    </row>
    <row r="20" spans="2:10">
      <c r="B20" s="194"/>
      <c r="C20" s="197" t="s">
        <v>47</v>
      </c>
      <c r="D20" s="197"/>
      <c r="E20" s="57" t="s">
        <v>48</v>
      </c>
      <c r="F20" s="58">
        <v>50</v>
      </c>
      <c r="G20" s="57" t="s">
        <v>48</v>
      </c>
      <c r="H20" s="58">
        <f>F20/F21</f>
        <v>0.5</v>
      </c>
      <c r="I20">
        <f>1-H20</f>
        <v>0.5</v>
      </c>
      <c r="J20" s="201"/>
    </row>
    <row r="21" spans="2:10">
      <c r="C21" s="196">
        <v>1</v>
      </c>
      <c r="D21" s="197"/>
      <c r="F21" s="58">
        <v>100</v>
      </c>
    </row>
    <row r="23" spans="2:10" ht="18.75">
      <c r="B23" s="59" t="s">
        <v>46</v>
      </c>
      <c r="C23" s="60">
        <f>J19</f>
        <v>1576.9907636363635</v>
      </c>
    </row>
  </sheetData>
  <mergeCells count="8">
    <mergeCell ref="C21:D21"/>
    <mergeCell ref="J19:J20"/>
    <mergeCell ref="A1:E1"/>
    <mergeCell ref="B19:B20"/>
    <mergeCell ref="C19:D19"/>
    <mergeCell ref="E19:F19"/>
    <mergeCell ref="G19:H19"/>
    <mergeCell ref="C20:D20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D9" sqref="D9"/>
    </sheetView>
  </sheetViews>
  <sheetFormatPr baseColWidth="10" defaultRowHeight="15"/>
  <cols>
    <col min="1" max="1" width="29.28515625" customWidth="1"/>
    <col min="3" max="3" width="11.42578125" customWidth="1"/>
    <col min="4" max="4" width="13.5703125" customWidth="1"/>
  </cols>
  <sheetData>
    <row r="1" spans="1:8" ht="18.75">
      <c r="A1" s="193" t="s">
        <v>13</v>
      </c>
      <c r="B1" s="193"/>
      <c r="C1" s="193"/>
      <c r="D1" s="193"/>
      <c r="E1" s="193"/>
    </row>
    <row r="2" spans="1:8" ht="18.75">
      <c r="A2" s="174" t="s">
        <v>12</v>
      </c>
      <c r="B2" s="174">
        <v>200</v>
      </c>
      <c r="C2" s="174"/>
      <c r="D2" s="174"/>
      <c r="E2" s="174"/>
    </row>
    <row r="3" spans="1:8">
      <c r="A3" s="1" t="s">
        <v>0</v>
      </c>
      <c r="B3" s="1" t="s">
        <v>10</v>
      </c>
      <c r="C3" s="1" t="s">
        <v>11</v>
      </c>
      <c r="D3" s="1" t="s">
        <v>1</v>
      </c>
      <c r="E3" s="1" t="s">
        <v>2</v>
      </c>
    </row>
    <row r="4" spans="1:8" ht="15.75">
      <c r="A4" s="4" t="s">
        <v>4</v>
      </c>
      <c r="B4" s="5">
        <v>3.2699999999999999E-3</v>
      </c>
      <c r="C4" s="5">
        <f>B2*B4</f>
        <v>0.65400000000000003</v>
      </c>
      <c r="D4" s="3">
        <f>COSTO!E4</f>
        <v>6500</v>
      </c>
      <c r="E4" s="3">
        <f>D4*C4</f>
        <v>4251</v>
      </c>
      <c r="G4" t="s">
        <v>41</v>
      </c>
      <c r="H4" s="56">
        <v>0.1</v>
      </c>
    </row>
    <row r="5" spans="1:8" ht="15.75">
      <c r="A5" s="4" t="s">
        <v>123</v>
      </c>
      <c r="B5" s="5">
        <v>3.5000000000000003E-2</v>
      </c>
      <c r="C5" s="18">
        <f>B2*B5</f>
        <v>7.0000000000000009</v>
      </c>
      <c r="D5" s="3">
        <f>COSTO!E6</f>
        <v>11780</v>
      </c>
      <c r="E5" s="3">
        <f t="shared" ref="E5:E12" si="0">D5*C5</f>
        <v>82460.000000000015</v>
      </c>
      <c r="G5" t="s">
        <v>42</v>
      </c>
      <c r="H5" s="56">
        <v>0.05</v>
      </c>
    </row>
    <row r="6" spans="1:8" ht="15.75">
      <c r="A6" s="4" t="s">
        <v>5</v>
      </c>
      <c r="B6" s="5">
        <v>0</v>
      </c>
      <c r="C6" s="9">
        <f>B2*B6</f>
        <v>0</v>
      </c>
      <c r="D6" s="3">
        <f>COSTO!E27</f>
        <v>10500</v>
      </c>
      <c r="E6" s="3">
        <f t="shared" si="0"/>
        <v>0</v>
      </c>
      <c r="G6" t="s">
        <v>43</v>
      </c>
      <c r="H6" s="56">
        <v>0</v>
      </c>
    </row>
    <row r="7" spans="1:8" ht="15.75">
      <c r="A7" s="4" t="s">
        <v>6</v>
      </c>
      <c r="B7" s="5">
        <v>2.4E-2</v>
      </c>
      <c r="C7" s="18">
        <f>B2*B7</f>
        <v>4.8</v>
      </c>
      <c r="D7" s="3">
        <f>COSTO!E7</f>
        <v>840</v>
      </c>
      <c r="E7" s="3">
        <f t="shared" si="0"/>
        <v>4032</v>
      </c>
      <c r="G7" t="s">
        <v>44</v>
      </c>
      <c r="H7" s="56">
        <v>0.35</v>
      </c>
    </row>
    <row r="8" spans="1:8" ht="15.75">
      <c r="A8" s="4" t="s">
        <v>7</v>
      </c>
      <c r="B8" s="5">
        <v>2E-3</v>
      </c>
      <c r="C8" s="18">
        <f>B2*B8</f>
        <v>0.4</v>
      </c>
      <c r="D8" s="3">
        <f>COSTO!E13</f>
        <v>7077.6909090909085</v>
      </c>
      <c r="E8" s="3">
        <f t="shared" si="0"/>
        <v>2831.0763636363636</v>
      </c>
      <c r="G8" s="61" t="s">
        <v>45</v>
      </c>
      <c r="H8" s="62">
        <f>SUM(H4:H7)</f>
        <v>0.5</v>
      </c>
    </row>
    <row r="9" spans="1:8" ht="15.75">
      <c r="A9" s="4" t="s">
        <v>8</v>
      </c>
      <c r="B9" s="5">
        <v>0.02</v>
      </c>
      <c r="C9" s="9">
        <f>B2*B9</f>
        <v>4</v>
      </c>
      <c r="D9" s="3">
        <f>COSTO!E3</f>
        <v>12470</v>
      </c>
      <c r="E9" s="3">
        <f t="shared" si="0"/>
        <v>49880</v>
      </c>
    </row>
    <row r="10" spans="1:8" ht="15.75">
      <c r="A10" s="4" t="s">
        <v>9</v>
      </c>
      <c r="B10" s="6">
        <v>0.90985000000000005</v>
      </c>
      <c r="C10" s="8">
        <f>B2*B10</f>
        <v>181.97</v>
      </c>
      <c r="D10" s="3">
        <v>0</v>
      </c>
      <c r="E10" s="3">
        <f t="shared" si="0"/>
        <v>0</v>
      </c>
    </row>
    <row r="11" spans="1:8">
      <c r="A11" s="2"/>
      <c r="B11" s="2">
        <f>SUM(B4:B10)</f>
        <v>0.99412000000000011</v>
      </c>
      <c r="C11" s="2"/>
      <c r="D11" s="3"/>
      <c r="E11" s="3">
        <f t="shared" si="0"/>
        <v>0</v>
      </c>
    </row>
    <row r="12" spans="1:8" ht="15.75">
      <c r="A12" s="4" t="s">
        <v>14</v>
      </c>
      <c r="B12" s="5">
        <v>3.0000000000000001E-3</v>
      </c>
      <c r="C12" s="175">
        <f>B2*B12</f>
        <v>0.6</v>
      </c>
      <c r="D12" s="3">
        <f>COSTO!E24</f>
        <v>3255</v>
      </c>
      <c r="E12" s="3">
        <f t="shared" si="0"/>
        <v>1953</v>
      </c>
    </row>
    <row r="13" spans="1:8">
      <c r="A13" s="2" t="s">
        <v>3</v>
      </c>
      <c r="B13" s="2">
        <v>1</v>
      </c>
      <c r="C13" s="2">
        <v>1</v>
      </c>
      <c r="D13" s="3">
        <v>0</v>
      </c>
      <c r="E13" s="3">
        <f>D13*C13</f>
        <v>0</v>
      </c>
    </row>
    <row r="14" spans="1:8">
      <c r="A14" s="2" t="s">
        <v>2</v>
      </c>
      <c r="B14" s="2"/>
      <c r="C14" s="2"/>
      <c r="D14" s="3"/>
      <c r="E14" s="3">
        <f>SUM(E4:E13)</f>
        <v>145407.07636363638</v>
      </c>
    </row>
    <row r="15" spans="1:8" ht="23.25">
      <c r="A15" s="10" t="s">
        <v>1</v>
      </c>
      <c r="E15" s="11">
        <f>E14/B2</f>
        <v>727.03538181818192</v>
      </c>
    </row>
    <row r="16" spans="1:8">
      <c r="C16">
        <v>876</v>
      </c>
    </row>
    <row r="19" spans="2:10">
      <c r="B19" s="194" t="s">
        <v>46</v>
      </c>
      <c r="C19" s="195" t="s">
        <v>2</v>
      </c>
      <c r="D19" s="195"/>
      <c r="E19" s="198">
        <f>E15</f>
        <v>727.03538181818192</v>
      </c>
      <c r="F19" s="198"/>
      <c r="G19" s="198">
        <f>E19</f>
        <v>727.03538181818192</v>
      </c>
      <c r="H19" s="195"/>
      <c r="I19" s="127">
        <f>G19</f>
        <v>727.03538181818192</v>
      </c>
      <c r="J19" s="200">
        <f>I19/I20</f>
        <v>1454.0707636363638</v>
      </c>
    </row>
    <row r="20" spans="2:10">
      <c r="B20" s="194"/>
      <c r="C20" s="197" t="s">
        <v>47</v>
      </c>
      <c r="D20" s="197"/>
      <c r="E20" s="57" t="s">
        <v>48</v>
      </c>
      <c r="F20" s="58">
        <v>50</v>
      </c>
      <c r="G20" s="57" t="s">
        <v>48</v>
      </c>
      <c r="H20" s="58">
        <f>F20/F21</f>
        <v>0.5</v>
      </c>
      <c r="I20">
        <f>1-H20</f>
        <v>0.5</v>
      </c>
      <c r="J20" s="201"/>
    </row>
    <row r="21" spans="2:10">
      <c r="C21" s="196">
        <v>1</v>
      </c>
      <c r="D21" s="197"/>
      <c r="F21" s="58">
        <v>100</v>
      </c>
    </row>
    <row r="23" spans="2:10" ht="18.75">
      <c r="B23" s="59" t="s">
        <v>46</v>
      </c>
      <c r="C23" s="60">
        <f>J19</f>
        <v>1454.0707636363638</v>
      </c>
    </row>
  </sheetData>
  <mergeCells count="8">
    <mergeCell ref="G19:H19"/>
    <mergeCell ref="J19:J20"/>
    <mergeCell ref="C20:D20"/>
    <mergeCell ref="C21:D21"/>
    <mergeCell ref="A1:E1"/>
    <mergeCell ref="B19:B20"/>
    <mergeCell ref="C19:D19"/>
    <mergeCell ref="E19:F19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D10" sqref="D10"/>
    </sheetView>
  </sheetViews>
  <sheetFormatPr baseColWidth="10" defaultRowHeight="15"/>
  <cols>
    <col min="1" max="1" width="29.28515625" customWidth="1"/>
    <col min="3" max="3" width="11.42578125" customWidth="1"/>
    <col min="4" max="4" width="13.5703125" customWidth="1"/>
  </cols>
  <sheetData>
    <row r="1" spans="1:8" ht="18.75">
      <c r="A1" s="193" t="s">
        <v>152</v>
      </c>
      <c r="B1" s="193"/>
      <c r="C1" s="193"/>
      <c r="D1" s="193"/>
      <c r="E1" s="193"/>
    </row>
    <row r="2" spans="1:8" ht="18.75">
      <c r="A2" s="134" t="s">
        <v>12</v>
      </c>
      <c r="B2" s="134">
        <v>200</v>
      </c>
      <c r="C2" s="134"/>
      <c r="D2" s="134"/>
      <c r="E2" s="134"/>
    </row>
    <row r="3" spans="1:8">
      <c r="A3" s="1" t="s">
        <v>0</v>
      </c>
      <c r="B3" s="1" t="s">
        <v>10</v>
      </c>
      <c r="C3" s="1" t="s">
        <v>11</v>
      </c>
      <c r="D3" s="1" t="s">
        <v>1</v>
      </c>
      <c r="E3" s="1" t="s">
        <v>2</v>
      </c>
    </row>
    <row r="4" spans="1:8" ht="15.75">
      <c r="A4" s="4" t="s">
        <v>4</v>
      </c>
      <c r="B4" s="5">
        <v>1.8E-3</v>
      </c>
      <c r="C4" s="5">
        <f>B2*B4</f>
        <v>0.36</v>
      </c>
      <c r="D4" s="3">
        <f>COSTO!E4</f>
        <v>6500</v>
      </c>
      <c r="E4" s="3">
        <f>D4*C4</f>
        <v>2340</v>
      </c>
      <c r="G4" t="s">
        <v>41</v>
      </c>
      <c r="H4" s="56">
        <v>0.1</v>
      </c>
    </row>
    <row r="5" spans="1:8" ht="15.75">
      <c r="A5" s="4" t="s">
        <v>195</v>
      </c>
      <c r="B5" s="5">
        <v>1.6E-2</v>
      </c>
      <c r="C5" s="9">
        <f>B2*B5</f>
        <v>3.2</v>
      </c>
      <c r="D5" s="3">
        <f>COSTO!E6</f>
        <v>11780</v>
      </c>
      <c r="E5" s="3">
        <f t="shared" ref="E5:E12" si="0">D5*C5</f>
        <v>37696</v>
      </c>
      <c r="G5" t="s">
        <v>42</v>
      </c>
      <c r="H5" s="56">
        <v>0.05</v>
      </c>
    </row>
    <row r="6" spans="1:8" ht="15.75">
      <c r="A6" s="4" t="s">
        <v>6</v>
      </c>
      <c r="B6" s="5">
        <v>1.7999999999999999E-2</v>
      </c>
      <c r="C6" s="9">
        <f>B2*B6</f>
        <v>3.5999999999999996</v>
      </c>
      <c r="D6" s="3">
        <f>COSTO!E7</f>
        <v>840</v>
      </c>
      <c r="E6" s="3">
        <f t="shared" si="0"/>
        <v>3023.9999999999995</v>
      </c>
      <c r="G6" t="s">
        <v>43</v>
      </c>
      <c r="H6" s="56">
        <v>0</v>
      </c>
    </row>
    <row r="7" spans="1:8" ht="15.75">
      <c r="A7" s="4" t="s">
        <v>124</v>
      </c>
      <c r="B7" s="5">
        <v>8.0000000000000002E-3</v>
      </c>
      <c r="C7" s="8">
        <f>B2*B7</f>
        <v>1.6</v>
      </c>
      <c r="D7" s="3">
        <f>COSTO!E8</f>
        <v>21216.440000000002</v>
      </c>
      <c r="E7" s="3">
        <f t="shared" si="0"/>
        <v>33946.304000000004</v>
      </c>
      <c r="G7" t="s">
        <v>44</v>
      </c>
      <c r="H7" s="56">
        <v>0.35</v>
      </c>
    </row>
    <row r="8" spans="1:8" ht="15.75">
      <c r="A8" s="4" t="s">
        <v>125</v>
      </c>
      <c r="B8" s="5">
        <v>3.0000000000000001E-3</v>
      </c>
      <c r="C8" s="5">
        <f>B2*B8</f>
        <v>0.6</v>
      </c>
      <c r="D8" s="3">
        <f>COSTO!E22</f>
        <v>3326.4</v>
      </c>
      <c r="E8" s="3">
        <f t="shared" si="0"/>
        <v>1995.84</v>
      </c>
      <c r="G8" s="61" t="s">
        <v>45</v>
      </c>
      <c r="H8" s="62">
        <f>SUM(H4:H7)</f>
        <v>0.5</v>
      </c>
    </row>
    <row r="9" spans="1:8" ht="15.75">
      <c r="A9" s="4" t="s">
        <v>7</v>
      </c>
      <c r="B9" s="5">
        <v>2E-3</v>
      </c>
      <c r="C9" s="5">
        <f>B2*B9</f>
        <v>0.4</v>
      </c>
      <c r="D9" s="3">
        <f>COSTO!E13</f>
        <v>7077.6909090909085</v>
      </c>
      <c r="E9" s="3">
        <f t="shared" si="0"/>
        <v>2831.0763636363636</v>
      </c>
    </row>
    <row r="10" spans="1:8" ht="15.75">
      <c r="A10" s="12" t="s">
        <v>8</v>
      </c>
      <c r="B10" s="13">
        <v>1.4E-2</v>
      </c>
      <c r="C10" s="8">
        <f>B2*B10</f>
        <v>2.8000000000000003</v>
      </c>
      <c r="D10" s="3">
        <f>COSTO!E3</f>
        <v>12470</v>
      </c>
      <c r="E10" s="3">
        <f t="shared" si="0"/>
        <v>34916</v>
      </c>
    </row>
    <row r="11" spans="1:8" ht="15.75">
      <c r="A11" s="12" t="s">
        <v>9</v>
      </c>
      <c r="B11" s="156">
        <v>0.93899999999999995</v>
      </c>
      <c r="C11" s="2"/>
      <c r="D11" s="3"/>
      <c r="E11" s="3">
        <f t="shared" si="0"/>
        <v>0</v>
      </c>
    </row>
    <row r="12" spans="1:8" ht="15.75">
      <c r="A12" s="4"/>
      <c r="B12" s="5"/>
      <c r="C12" s="2">
        <f>B2*B12</f>
        <v>0</v>
      </c>
      <c r="D12" s="3">
        <v>3850</v>
      </c>
      <c r="E12" s="3">
        <f t="shared" si="0"/>
        <v>0</v>
      </c>
    </row>
    <row r="13" spans="1:8">
      <c r="A13" s="2" t="s">
        <v>3</v>
      </c>
      <c r="B13" s="2">
        <v>1</v>
      </c>
      <c r="C13" s="2">
        <v>1</v>
      </c>
      <c r="D13" s="3">
        <v>0</v>
      </c>
      <c r="E13" s="3">
        <f>D13*C13</f>
        <v>0</v>
      </c>
    </row>
    <row r="14" spans="1:8">
      <c r="A14" s="2" t="s">
        <v>2</v>
      </c>
      <c r="B14" s="2"/>
      <c r="C14" s="2"/>
      <c r="D14" s="3"/>
      <c r="E14" s="3">
        <f>SUM(E4:E13)</f>
        <v>116749.22036363637</v>
      </c>
    </row>
    <row r="15" spans="1:8" ht="23.25">
      <c r="A15" s="10" t="s">
        <v>1</v>
      </c>
      <c r="E15" s="11">
        <f>E14/B2</f>
        <v>583.74610181818184</v>
      </c>
    </row>
    <row r="16" spans="1:8">
      <c r="C16">
        <v>514</v>
      </c>
    </row>
    <row r="19" spans="2:10">
      <c r="B19" s="194" t="s">
        <v>46</v>
      </c>
      <c r="C19" s="195" t="s">
        <v>2</v>
      </c>
      <c r="D19" s="195"/>
      <c r="E19" s="198">
        <f>E15</f>
        <v>583.74610181818184</v>
      </c>
      <c r="F19" s="198"/>
      <c r="G19" s="198">
        <f>E19</f>
        <v>583.74610181818184</v>
      </c>
      <c r="H19" s="195"/>
      <c r="I19" s="127">
        <f>G19</f>
        <v>583.74610181818184</v>
      </c>
      <c r="J19" s="200">
        <f>I19/I20</f>
        <v>1167.4922036363637</v>
      </c>
    </row>
    <row r="20" spans="2:10">
      <c r="B20" s="194"/>
      <c r="C20" s="197" t="s">
        <v>47</v>
      </c>
      <c r="D20" s="197"/>
      <c r="E20" s="57" t="s">
        <v>48</v>
      </c>
      <c r="F20" s="58">
        <v>50</v>
      </c>
      <c r="G20" s="57" t="s">
        <v>48</v>
      </c>
      <c r="H20" s="58">
        <f>F20/F21</f>
        <v>0.5</v>
      </c>
      <c r="I20">
        <f>1-H20</f>
        <v>0.5</v>
      </c>
      <c r="J20" s="201"/>
    </row>
    <row r="21" spans="2:10">
      <c r="C21" s="196">
        <v>1</v>
      </c>
      <c r="D21" s="197"/>
      <c r="F21" s="58">
        <v>100</v>
      </c>
    </row>
    <row r="23" spans="2:10" ht="18.75">
      <c r="B23" s="59" t="s">
        <v>46</v>
      </c>
      <c r="C23" s="60">
        <f>J19</f>
        <v>1167.4922036363637</v>
      </c>
    </row>
  </sheetData>
  <mergeCells count="8">
    <mergeCell ref="G19:H19"/>
    <mergeCell ref="J19:J20"/>
    <mergeCell ref="C20:D20"/>
    <mergeCell ref="C21:D21"/>
    <mergeCell ref="A1:E1"/>
    <mergeCell ref="B19:B20"/>
    <mergeCell ref="C19:D19"/>
    <mergeCell ref="E19:F19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C8" sqref="C8"/>
    </sheetView>
  </sheetViews>
  <sheetFormatPr baseColWidth="10" defaultRowHeight="15"/>
  <cols>
    <col min="1" max="1" width="29.28515625" customWidth="1"/>
    <col min="3" max="3" width="11.42578125" customWidth="1"/>
    <col min="4" max="4" width="13.5703125" customWidth="1"/>
    <col min="5" max="5" width="15.28515625" bestFit="1" customWidth="1"/>
  </cols>
  <sheetData>
    <row r="1" spans="1:8" ht="18.75">
      <c r="A1" s="193" t="s">
        <v>153</v>
      </c>
      <c r="B1" s="193"/>
      <c r="C1" s="193"/>
      <c r="D1" s="193"/>
      <c r="E1" s="193"/>
    </row>
    <row r="2" spans="1:8" ht="18.75">
      <c r="A2" s="134" t="s">
        <v>12</v>
      </c>
      <c r="B2" s="134">
        <v>100</v>
      </c>
      <c r="C2" s="134"/>
      <c r="D2" s="134"/>
      <c r="E2" s="134"/>
    </row>
    <row r="3" spans="1:8">
      <c r="A3" s="1" t="s">
        <v>0</v>
      </c>
      <c r="B3" s="1" t="s">
        <v>10</v>
      </c>
      <c r="C3" s="1" t="s">
        <v>11</v>
      </c>
      <c r="D3" s="1" t="s">
        <v>1</v>
      </c>
      <c r="E3" s="1" t="s">
        <v>2</v>
      </c>
    </row>
    <row r="4" spans="1:8" ht="15.75">
      <c r="A4" s="4" t="s">
        <v>4</v>
      </c>
      <c r="B4" s="5">
        <v>8.2500000000000004E-3</v>
      </c>
      <c r="C4" s="18">
        <f>B2*B4</f>
        <v>0.82500000000000007</v>
      </c>
      <c r="D4" s="3">
        <f>COSTO!E4</f>
        <v>6500</v>
      </c>
      <c r="E4" s="3">
        <f>D4*C4</f>
        <v>5362.5</v>
      </c>
    </row>
    <row r="5" spans="1:8" ht="15.75">
      <c r="A5" s="4" t="s">
        <v>15</v>
      </c>
      <c r="B5" s="5">
        <v>0.01</v>
      </c>
      <c r="C5" s="9">
        <f>B2*B5</f>
        <v>1</v>
      </c>
      <c r="D5" s="3">
        <f>COSTO!E5</f>
        <v>14434.919999999998</v>
      </c>
      <c r="E5" s="3">
        <f>D5*C5</f>
        <v>14434.919999999998</v>
      </c>
      <c r="G5" t="s">
        <v>42</v>
      </c>
      <c r="H5" s="56">
        <v>0.05</v>
      </c>
    </row>
    <row r="6" spans="1:8" ht="15.75">
      <c r="A6" s="4" t="s">
        <v>16</v>
      </c>
      <c r="B6" s="5">
        <v>2.5000000000000001E-2</v>
      </c>
      <c r="C6" s="9">
        <f>B2*B6</f>
        <v>2.5</v>
      </c>
      <c r="D6" s="3">
        <f>COSTO!E6</f>
        <v>11780</v>
      </c>
      <c r="E6" s="3">
        <f>D6*C6</f>
        <v>29450</v>
      </c>
      <c r="G6" t="s">
        <v>41</v>
      </c>
      <c r="H6" s="56">
        <v>0.1</v>
      </c>
    </row>
    <row r="7" spans="1:8" ht="15.75">
      <c r="A7" s="4" t="s">
        <v>6</v>
      </c>
      <c r="B7" s="5">
        <v>1.7000000000000001E-2</v>
      </c>
      <c r="C7" s="8">
        <f>B2*B7</f>
        <v>1.7000000000000002</v>
      </c>
      <c r="D7" s="3">
        <f>COSTO!E7</f>
        <v>840</v>
      </c>
      <c r="E7" s="3">
        <f t="shared" ref="E7:E13" si="0">D7*C7</f>
        <v>1428.0000000000002</v>
      </c>
      <c r="G7" t="s">
        <v>44</v>
      </c>
      <c r="H7" s="56">
        <v>0.35</v>
      </c>
    </row>
    <row r="8" spans="1:8" ht="15.75">
      <c r="A8" s="4" t="s">
        <v>126</v>
      </c>
      <c r="B8" s="5">
        <v>2.9999999999999997E-4</v>
      </c>
      <c r="C8" s="18">
        <f>B2*B8</f>
        <v>0.03</v>
      </c>
      <c r="D8" s="3">
        <f>COSTO!E10</f>
        <v>147840</v>
      </c>
      <c r="E8" s="3">
        <f t="shared" si="0"/>
        <v>4435.2</v>
      </c>
      <c r="G8" s="61" t="s">
        <v>45</v>
      </c>
      <c r="H8" s="62">
        <f>SUM(H5:H7)</f>
        <v>0.5</v>
      </c>
    </row>
    <row r="9" spans="1:8" ht="15.75">
      <c r="A9" s="4" t="s">
        <v>127</v>
      </c>
      <c r="B9" s="5">
        <v>3.0000000000000001E-3</v>
      </c>
      <c r="C9" s="129">
        <f>B9*B2</f>
        <v>0.3</v>
      </c>
      <c r="D9" s="3">
        <f>COSTO!E33</f>
        <v>4353.9000000000005</v>
      </c>
      <c r="E9" s="3">
        <f t="shared" si="0"/>
        <v>1306.17</v>
      </c>
    </row>
    <row r="10" spans="1:8" ht="15.75">
      <c r="A10" s="4" t="s">
        <v>7</v>
      </c>
      <c r="B10" s="5">
        <v>2E-3</v>
      </c>
      <c r="C10" s="129">
        <f>B2*B10</f>
        <v>0.2</v>
      </c>
      <c r="D10" s="3">
        <f>COSTO!E13</f>
        <v>7077.6909090909085</v>
      </c>
      <c r="E10" s="3">
        <f t="shared" si="0"/>
        <v>1415.5381818181818</v>
      </c>
    </row>
    <row r="11" spans="1:8" ht="15.75">
      <c r="A11" s="12" t="s">
        <v>19</v>
      </c>
      <c r="B11" s="13">
        <v>6.5000000000000002E-2</v>
      </c>
      <c r="C11" s="130">
        <f>B11*B2</f>
        <v>6.5</v>
      </c>
      <c r="D11" s="3">
        <f>COSTO!E3</f>
        <v>12470</v>
      </c>
      <c r="E11" s="3">
        <f t="shared" si="0"/>
        <v>81055</v>
      </c>
    </row>
    <row r="12" spans="1:8" ht="15.75">
      <c r="A12" s="5" t="s">
        <v>9</v>
      </c>
      <c r="B12" s="14">
        <v>0.84250000000000003</v>
      </c>
      <c r="C12" s="131">
        <f>B12*B2</f>
        <v>84.25</v>
      </c>
      <c r="D12" s="16"/>
      <c r="E12" s="16">
        <f t="shared" si="0"/>
        <v>0</v>
      </c>
    </row>
    <row r="13" spans="1:8" ht="15.75">
      <c r="A13" s="5" t="s">
        <v>20</v>
      </c>
      <c r="B13" s="19">
        <v>1</v>
      </c>
      <c r="C13" s="132">
        <v>1</v>
      </c>
      <c r="D13" s="3">
        <v>0</v>
      </c>
      <c r="E13" s="16">
        <f t="shared" si="0"/>
        <v>0</v>
      </c>
    </row>
    <row r="14" spans="1:8" ht="23.25">
      <c r="A14" s="20" t="s">
        <v>2</v>
      </c>
      <c r="B14" s="14"/>
      <c r="C14" s="2"/>
      <c r="D14" s="3"/>
      <c r="E14" s="3">
        <f>SUM(E4:E13)</f>
        <v>138887.32818181819</v>
      </c>
    </row>
    <row r="15" spans="1:8" ht="23.25">
      <c r="A15" s="21" t="s">
        <v>1</v>
      </c>
      <c r="E15" s="22">
        <f>E14/B2</f>
        <v>1388.8732818181818</v>
      </c>
    </row>
    <row r="16" spans="1:8">
      <c r="C16">
        <v>1572</v>
      </c>
    </row>
    <row r="18" spans="2:10">
      <c r="B18" s="194" t="s">
        <v>46</v>
      </c>
      <c r="C18" s="195" t="s">
        <v>2</v>
      </c>
      <c r="D18" s="195"/>
      <c r="E18" s="204">
        <f>E15</f>
        <v>1388.8732818181818</v>
      </c>
      <c r="F18" s="204"/>
      <c r="G18" s="198">
        <f>E18</f>
        <v>1388.8732818181818</v>
      </c>
      <c r="H18" s="195"/>
      <c r="I18" s="121">
        <f>G18</f>
        <v>1388.8732818181818</v>
      </c>
      <c r="J18" s="202">
        <f>I18/I19</f>
        <v>2777.7465636363636</v>
      </c>
    </row>
    <row r="19" spans="2:10">
      <c r="B19" s="194"/>
      <c r="C19" s="197" t="s">
        <v>47</v>
      </c>
      <c r="D19" s="197"/>
      <c r="E19" s="57" t="s">
        <v>48</v>
      </c>
      <c r="F19" s="58">
        <v>50</v>
      </c>
      <c r="G19" s="57" t="s">
        <v>48</v>
      </c>
      <c r="H19" s="58">
        <f>F19/F20</f>
        <v>0.5</v>
      </c>
      <c r="I19" s="126">
        <f>1-H19</f>
        <v>0.5</v>
      </c>
      <c r="J19" s="203"/>
    </row>
    <row r="20" spans="2:10">
      <c r="C20" s="196">
        <v>1</v>
      </c>
      <c r="D20" s="197"/>
      <c r="F20" s="58">
        <v>100</v>
      </c>
    </row>
    <row r="22" spans="2:10" ht="18.75">
      <c r="B22" s="59" t="s">
        <v>46</v>
      </c>
      <c r="C22" s="60">
        <f>J18</f>
        <v>2777.7465636363636</v>
      </c>
    </row>
  </sheetData>
  <mergeCells count="8">
    <mergeCell ref="G18:H18"/>
    <mergeCell ref="J18:J19"/>
    <mergeCell ref="C19:D19"/>
    <mergeCell ref="C20:D20"/>
    <mergeCell ref="A1:E1"/>
    <mergeCell ref="B18:B19"/>
    <mergeCell ref="C18:D18"/>
    <mergeCell ref="E18:F18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B3" sqref="B3"/>
    </sheetView>
  </sheetViews>
  <sheetFormatPr baseColWidth="10" defaultRowHeight="15"/>
  <cols>
    <col min="1" max="1" width="29.28515625" customWidth="1"/>
    <col min="3" max="3" width="11.42578125" customWidth="1"/>
    <col min="4" max="4" width="13.5703125" customWidth="1"/>
  </cols>
  <sheetData>
    <row r="1" spans="1:8" ht="18.75">
      <c r="A1" s="193" t="s">
        <v>184</v>
      </c>
      <c r="B1" s="193"/>
      <c r="C1" s="193"/>
      <c r="D1" s="193"/>
      <c r="E1" s="193"/>
    </row>
    <row r="2" spans="1:8" ht="18.75">
      <c r="A2" s="151" t="s">
        <v>12</v>
      </c>
      <c r="B2" s="151">
        <v>200</v>
      </c>
      <c r="C2" s="151"/>
      <c r="D2" s="151"/>
      <c r="E2" s="151"/>
    </row>
    <row r="3" spans="1:8">
      <c r="A3" s="1" t="s">
        <v>0</v>
      </c>
      <c r="B3" s="1" t="s">
        <v>10</v>
      </c>
      <c r="C3" s="1" t="s">
        <v>11</v>
      </c>
      <c r="D3" s="1" t="s">
        <v>1</v>
      </c>
      <c r="E3" s="1" t="s">
        <v>2</v>
      </c>
    </row>
    <row r="4" spans="1:8" ht="15.75">
      <c r="A4" s="4" t="s">
        <v>187</v>
      </c>
      <c r="B4" s="5">
        <v>7.0000000000000007E-2</v>
      </c>
      <c r="C4" s="5">
        <f>B2*B4</f>
        <v>14.000000000000002</v>
      </c>
      <c r="D4" s="3">
        <f>COSTO!E3</f>
        <v>12470</v>
      </c>
      <c r="E4" s="3">
        <f>D4*C4</f>
        <v>174580.00000000003</v>
      </c>
      <c r="G4" t="s">
        <v>41</v>
      </c>
      <c r="H4" s="56">
        <v>0.1</v>
      </c>
    </row>
    <row r="5" spans="1:8" ht="15.75">
      <c r="A5" s="4" t="s">
        <v>185</v>
      </c>
      <c r="B5" s="5">
        <v>1.0999999999999999E-2</v>
      </c>
      <c r="C5" s="9">
        <f>B2*B5</f>
        <v>2.1999999999999997</v>
      </c>
      <c r="D5" s="3">
        <f>COSTO!E9</f>
        <v>8100</v>
      </c>
      <c r="E5" s="3">
        <f t="shared" ref="E5:E12" si="0">D5*C5</f>
        <v>17819.999999999996</v>
      </c>
      <c r="G5" t="s">
        <v>42</v>
      </c>
      <c r="H5" s="56">
        <v>0.05</v>
      </c>
    </row>
    <row r="6" spans="1:8" ht="15.75">
      <c r="A6" s="4" t="s">
        <v>188</v>
      </c>
      <c r="B6" s="5">
        <v>8.0000000000000002E-3</v>
      </c>
      <c r="C6" s="9">
        <f>B2*B6</f>
        <v>1.6</v>
      </c>
      <c r="D6" s="3">
        <f>COSTO!E4</f>
        <v>6500</v>
      </c>
      <c r="E6" s="3">
        <f t="shared" si="0"/>
        <v>10400</v>
      </c>
      <c r="G6" t="s">
        <v>43</v>
      </c>
      <c r="H6" s="56">
        <v>0</v>
      </c>
    </row>
    <row r="7" spans="1:8" ht="15.75">
      <c r="A7" s="4" t="s">
        <v>189</v>
      </c>
      <c r="B7" s="5">
        <v>0.01</v>
      </c>
      <c r="C7" s="8">
        <f>B2*B7</f>
        <v>2</v>
      </c>
      <c r="D7" s="3">
        <f>COSTO!E7</f>
        <v>840</v>
      </c>
      <c r="E7" s="3">
        <f t="shared" si="0"/>
        <v>1680</v>
      </c>
      <c r="G7" t="s">
        <v>44</v>
      </c>
      <c r="H7" s="56">
        <v>0.35</v>
      </c>
    </row>
    <row r="8" spans="1:8" ht="15.75">
      <c r="A8" s="4" t="s">
        <v>186</v>
      </c>
      <c r="B8" s="5">
        <v>5.0000000000000001E-3</v>
      </c>
      <c r="C8" s="5">
        <f>B2*B8</f>
        <v>1</v>
      </c>
      <c r="D8" s="3">
        <f>COSTO!E25</f>
        <v>4919.7</v>
      </c>
      <c r="E8" s="3">
        <f t="shared" si="0"/>
        <v>4919.7</v>
      </c>
      <c r="G8" s="61" t="s">
        <v>45</v>
      </c>
      <c r="H8" s="62">
        <f>SUM(H4:H7)</f>
        <v>0.5</v>
      </c>
    </row>
    <row r="9" spans="1:8" ht="15.75">
      <c r="A9" s="4" t="s">
        <v>233</v>
      </c>
      <c r="B9" s="5">
        <v>2E-3</v>
      </c>
      <c r="C9" s="5">
        <f>B2*B9</f>
        <v>0.4</v>
      </c>
      <c r="D9" s="3">
        <f>COSTO!E13</f>
        <v>7077.6909090909085</v>
      </c>
      <c r="E9" s="3">
        <f t="shared" si="0"/>
        <v>2831.0763636363636</v>
      </c>
    </row>
    <row r="10" spans="1:8" ht="15.75">
      <c r="A10" s="4" t="s">
        <v>28</v>
      </c>
      <c r="B10" s="5">
        <v>0.90800000000000003</v>
      </c>
      <c r="C10" s="8">
        <f>B2*B10</f>
        <v>181.6</v>
      </c>
      <c r="D10" s="3">
        <v>0</v>
      </c>
      <c r="E10" s="3">
        <f t="shared" si="0"/>
        <v>0</v>
      </c>
    </row>
    <row r="11" spans="1:8">
      <c r="A11" s="2"/>
      <c r="B11" s="2">
        <f>SUM(B4:B10)</f>
        <v>1.014</v>
      </c>
      <c r="C11" s="2"/>
      <c r="D11" s="3"/>
      <c r="E11" s="3">
        <f t="shared" si="0"/>
        <v>0</v>
      </c>
    </row>
    <row r="12" spans="1:8" ht="15.75">
      <c r="A12" s="4"/>
      <c r="B12" s="5"/>
      <c r="C12" s="2">
        <f>B2*B12</f>
        <v>0</v>
      </c>
      <c r="D12" s="3">
        <v>3850</v>
      </c>
      <c r="E12" s="3">
        <f t="shared" si="0"/>
        <v>0</v>
      </c>
    </row>
    <row r="13" spans="1:8">
      <c r="A13" s="2" t="s">
        <v>3</v>
      </c>
      <c r="B13" s="2">
        <v>1</v>
      </c>
      <c r="C13" s="2">
        <v>1</v>
      </c>
      <c r="D13" s="3">
        <v>0</v>
      </c>
      <c r="E13" s="3">
        <f>D13*C13</f>
        <v>0</v>
      </c>
    </row>
    <row r="14" spans="1:8">
      <c r="A14" s="2" t="s">
        <v>2</v>
      </c>
      <c r="B14" s="2"/>
      <c r="C14" s="2"/>
      <c r="D14" s="3"/>
      <c r="E14" s="3">
        <f>SUM(E4:E13)</f>
        <v>212230.7763636364</v>
      </c>
    </row>
    <row r="15" spans="1:8" ht="23.25">
      <c r="A15" s="10" t="s">
        <v>1</v>
      </c>
      <c r="E15" s="11">
        <f>E14/B2</f>
        <v>1061.1538818181821</v>
      </c>
    </row>
    <row r="16" spans="1:8">
      <c r="C16">
        <v>514</v>
      </c>
    </row>
    <row r="19" spans="2:10">
      <c r="B19" s="194" t="s">
        <v>46</v>
      </c>
      <c r="C19" s="195" t="s">
        <v>2</v>
      </c>
      <c r="D19" s="195"/>
      <c r="E19" s="198">
        <f>E15</f>
        <v>1061.1538818181821</v>
      </c>
      <c r="F19" s="198"/>
      <c r="G19" s="198">
        <f>E19</f>
        <v>1061.1538818181821</v>
      </c>
      <c r="H19" s="195"/>
      <c r="I19" s="127">
        <f>G19</f>
        <v>1061.1538818181821</v>
      </c>
      <c r="J19" s="200">
        <f>I19/I20</f>
        <v>2122.3077636363641</v>
      </c>
    </row>
    <row r="20" spans="2:10">
      <c r="B20" s="194"/>
      <c r="C20" s="197" t="s">
        <v>47</v>
      </c>
      <c r="D20" s="197"/>
      <c r="E20" s="57" t="s">
        <v>48</v>
      </c>
      <c r="F20" s="58">
        <v>50</v>
      </c>
      <c r="G20" s="57" t="s">
        <v>48</v>
      </c>
      <c r="H20" s="58">
        <f>F20/F21</f>
        <v>0.5</v>
      </c>
      <c r="I20">
        <f>1-H20</f>
        <v>0.5</v>
      </c>
      <c r="J20" s="201"/>
    </row>
    <row r="21" spans="2:10">
      <c r="C21" s="196">
        <v>1</v>
      </c>
      <c r="D21" s="197"/>
      <c r="F21" s="58">
        <v>100</v>
      </c>
    </row>
    <row r="23" spans="2:10" ht="18.75">
      <c r="B23" s="59" t="s">
        <v>46</v>
      </c>
      <c r="C23" s="60">
        <f>J19</f>
        <v>2122.3077636363641</v>
      </c>
    </row>
  </sheetData>
  <mergeCells count="8">
    <mergeCell ref="G19:H19"/>
    <mergeCell ref="J19:J20"/>
    <mergeCell ref="C20:D20"/>
    <mergeCell ref="C21:D21"/>
    <mergeCell ref="A1:E1"/>
    <mergeCell ref="B19:B20"/>
    <mergeCell ref="C19:D19"/>
    <mergeCell ref="E19:F19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J19" sqref="J19:J20"/>
    </sheetView>
  </sheetViews>
  <sheetFormatPr baseColWidth="10" defaultRowHeight="15"/>
  <cols>
    <col min="1" max="1" width="30.42578125" customWidth="1"/>
    <col min="2" max="2" width="13" customWidth="1"/>
    <col min="3" max="4" width="13.28515625" customWidth="1"/>
    <col min="5" max="5" width="14.5703125" customWidth="1"/>
    <col min="6" max="6" width="11.42578125" customWidth="1"/>
  </cols>
  <sheetData>
    <row r="1" spans="1:8" ht="18.75">
      <c r="A1" s="193" t="s">
        <v>21</v>
      </c>
      <c r="B1" s="193"/>
      <c r="C1" s="193"/>
      <c r="D1" s="193"/>
      <c r="E1" s="193"/>
    </row>
    <row r="2" spans="1:8" ht="18.75">
      <c r="A2" s="7" t="s">
        <v>12</v>
      </c>
      <c r="B2" s="7">
        <v>200</v>
      </c>
      <c r="C2" s="7"/>
      <c r="D2" s="7"/>
      <c r="E2" s="7"/>
    </row>
    <row r="3" spans="1:8">
      <c r="A3" s="1" t="s">
        <v>0</v>
      </c>
      <c r="B3" s="1" t="s">
        <v>10</v>
      </c>
      <c r="C3" s="1" t="s">
        <v>11</v>
      </c>
      <c r="D3" s="1" t="s">
        <v>1</v>
      </c>
      <c r="E3" s="1" t="s">
        <v>2</v>
      </c>
    </row>
    <row r="4" spans="1:8" ht="15.75">
      <c r="A4" s="4" t="s">
        <v>4</v>
      </c>
      <c r="B4" s="5">
        <v>6.0000000000000001E-3</v>
      </c>
      <c r="C4" s="18">
        <f>B2*B4</f>
        <v>1.2</v>
      </c>
      <c r="D4" s="3">
        <f>COSTO!E4</f>
        <v>6500</v>
      </c>
      <c r="E4" s="3">
        <f>D4*C4</f>
        <v>7800</v>
      </c>
    </row>
    <row r="5" spans="1:8" ht="15.75">
      <c r="A5" s="4" t="s">
        <v>15</v>
      </c>
      <c r="B5" s="5">
        <v>1.4999999999999999E-2</v>
      </c>
      <c r="C5" s="9">
        <f>B2*B5</f>
        <v>3</v>
      </c>
      <c r="D5" s="3">
        <f>COSTO!E5</f>
        <v>14434.919999999998</v>
      </c>
      <c r="E5" s="3">
        <f>D5*C5</f>
        <v>43304.759999999995</v>
      </c>
    </row>
    <row r="6" spans="1:8" ht="15.75">
      <c r="A6" s="4" t="s">
        <v>120</v>
      </c>
      <c r="B6" s="5">
        <v>5.7000000000000002E-2</v>
      </c>
      <c r="C6" s="9">
        <f>B2*B6</f>
        <v>11.4</v>
      </c>
      <c r="D6" s="3">
        <f>COSTO!E6</f>
        <v>11780</v>
      </c>
      <c r="E6" s="3">
        <f>D6*C6</f>
        <v>134292</v>
      </c>
      <c r="G6" t="s">
        <v>41</v>
      </c>
      <c r="H6" s="56">
        <v>0.1</v>
      </c>
    </row>
    <row r="7" spans="1:8" ht="15.75">
      <c r="A7" s="4" t="s">
        <v>121</v>
      </c>
      <c r="B7" s="5">
        <v>1.7000000000000001E-2</v>
      </c>
      <c r="C7" s="5">
        <f>B2*B7</f>
        <v>3.4000000000000004</v>
      </c>
      <c r="D7" s="3">
        <f>COSTO!E7</f>
        <v>840</v>
      </c>
      <c r="E7" s="3">
        <f t="shared" ref="E7:E14" si="0">D7*C7</f>
        <v>2856.0000000000005</v>
      </c>
      <c r="G7" t="s">
        <v>42</v>
      </c>
      <c r="H7" s="56">
        <v>0.05</v>
      </c>
    </row>
    <row r="8" spans="1:8" ht="15.75">
      <c r="A8" s="4" t="s">
        <v>234</v>
      </c>
      <c r="B8" s="5">
        <v>5.0000000000000001E-3</v>
      </c>
      <c r="C8" s="8">
        <f>B2*B8</f>
        <v>1</v>
      </c>
      <c r="D8" s="3">
        <f>COSTO!E28</f>
        <v>111375</v>
      </c>
      <c r="E8" s="3">
        <f t="shared" si="0"/>
        <v>111375</v>
      </c>
      <c r="G8" t="s">
        <v>44</v>
      </c>
      <c r="H8" s="56">
        <v>0.35</v>
      </c>
    </row>
    <row r="9" spans="1:8" ht="15.75">
      <c r="A9" s="4" t="s">
        <v>17</v>
      </c>
      <c r="B9" s="5">
        <v>1E-3</v>
      </c>
      <c r="C9" s="8">
        <f>B2*B9</f>
        <v>0.2</v>
      </c>
      <c r="D9" s="3">
        <f>COSTO!E26</f>
        <v>18500</v>
      </c>
      <c r="E9" s="3">
        <f t="shared" si="0"/>
        <v>3700</v>
      </c>
      <c r="G9" s="61" t="s">
        <v>45</v>
      </c>
      <c r="H9" s="62">
        <f>SUM(H6:H8)</f>
        <v>0.5</v>
      </c>
    </row>
    <row r="10" spans="1:8" ht="15.75">
      <c r="A10" s="4" t="s">
        <v>18</v>
      </c>
      <c r="B10" s="5">
        <v>1E-3</v>
      </c>
      <c r="C10" s="129">
        <f>B10*B2</f>
        <v>0.2</v>
      </c>
      <c r="D10" s="3">
        <f>COSTO!E25</f>
        <v>4919.7</v>
      </c>
      <c r="E10" s="3">
        <f t="shared" si="0"/>
        <v>983.94</v>
      </c>
    </row>
    <row r="11" spans="1:8" ht="15.75">
      <c r="A11" s="4" t="s">
        <v>7</v>
      </c>
      <c r="B11" s="5">
        <v>2E-3</v>
      </c>
      <c r="C11" s="129">
        <f>B2*B11</f>
        <v>0.4</v>
      </c>
      <c r="D11" s="3">
        <f>COSTO!E13</f>
        <v>7077.6909090909085</v>
      </c>
      <c r="E11" s="3">
        <f t="shared" si="0"/>
        <v>2831.0763636363636</v>
      </c>
    </row>
    <row r="12" spans="1:8" ht="15.75">
      <c r="A12" s="12" t="s">
        <v>19</v>
      </c>
      <c r="B12" s="13">
        <v>5.5E-2</v>
      </c>
      <c r="C12" s="130">
        <f>B12*B2</f>
        <v>11</v>
      </c>
      <c r="D12" s="3">
        <f>COSTO!E3</f>
        <v>12470</v>
      </c>
      <c r="E12" s="3">
        <f t="shared" si="0"/>
        <v>137170</v>
      </c>
    </row>
    <row r="13" spans="1:8" ht="15.75">
      <c r="A13" s="5" t="s">
        <v>9</v>
      </c>
      <c r="B13" s="14">
        <v>0.84250000000000003</v>
      </c>
      <c r="C13" s="131">
        <f>B13*B2</f>
        <v>168.5</v>
      </c>
      <c r="D13" s="16"/>
      <c r="E13" s="16">
        <f t="shared" si="0"/>
        <v>0</v>
      </c>
    </row>
    <row r="14" spans="1:8" ht="15.75">
      <c r="A14" s="5" t="s">
        <v>20</v>
      </c>
      <c r="B14" s="19">
        <v>1</v>
      </c>
      <c r="C14" s="132">
        <v>1</v>
      </c>
      <c r="D14" s="3">
        <v>0</v>
      </c>
      <c r="E14" s="16">
        <f t="shared" si="0"/>
        <v>0</v>
      </c>
    </row>
    <row r="15" spans="1:8" ht="23.25">
      <c r="A15" s="20" t="s">
        <v>2</v>
      </c>
      <c r="B15" s="14"/>
      <c r="C15" s="2"/>
      <c r="D15" s="3"/>
      <c r="E15" s="3">
        <f>SUM(E4:E14)</f>
        <v>444312.77636363637</v>
      </c>
    </row>
    <row r="16" spans="1:8" ht="23.25">
      <c r="A16" s="21" t="s">
        <v>1</v>
      </c>
      <c r="E16" s="22">
        <f>E15/B2</f>
        <v>2221.5638818181819</v>
      </c>
    </row>
    <row r="17" spans="2:10">
      <c r="C17">
        <v>2500</v>
      </c>
    </row>
    <row r="19" spans="2:10">
      <c r="B19" s="194" t="s">
        <v>46</v>
      </c>
      <c r="C19" s="195" t="s">
        <v>2</v>
      </c>
      <c r="D19" s="195"/>
      <c r="E19" s="204">
        <f>E16</f>
        <v>2221.5638818181819</v>
      </c>
      <c r="F19" s="204"/>
      <c r="G19" s="198">
        <f>E19</f>
        <v>2221.5638818181819</v>
      </c>
      <c r="H19" s="195"/>
      <c r="I19" s="121">
        <f>G19</f>
        <v>2221.5638818181819</v>
      </c>
      <c r="J19" s="202">
        <f>I19/I20</f>
        <v>4443.1277636363639</v>
      </c>
    </row>
    <row r="20" spans="2:10">
      <c r="B20" s="194"/>
      <c r="C20" s="197" t="s">
        <v>47</v>
      </c>
      <c r="D20" s="197"/>
      <c r="E20" s="57" t="s">
        <v>48</v>
      </c>
      <c r="F20" s="58">
        <v>50</v>
      </c>
      <c r="G20" s="57" t="s">
        <v>48</v>
      </c>
      <c r="H20" s="58">
        <f>F20/F21</f>
        <v>0.5</v>
      </c>
      <c r="I20" s="126">
        <f>1-H20</f>
        <v>0.5</v>
      </c>
      <c r="J20" s="203"/>
    </row>
    <row r="21" spans="2:10">
      <c r="C21" s="196">
        <v>1</v>
      </c>
      <c r="D21" s="197"/>
      <c r="F21" s="58">
        <v>100</v>
      </c>
    </row>
    <row r="23" spans="2:10" ht="18.75">
      <c r="B23" s="59" t="s">
        <v>46</v>
      </c>
      <c r="C23" s="60">
        <f>J19</f>
        <v>4443.1277636363639</v>
      </c>
    </row>
  </sheetData>
  <mergeCells count="8">
    <mergeCell ref="C21:D21"/>
    <mergeCell ref="J19:J20"/>
    <mergeCell ref="A1:E1"/>
    <mergeCell ref="B19:B20"/>
    <mergeCell ref="C19:D19"/>
    <mergeCell ref="E19:F19"/>
    <mergeCell ref="G19:H19"/>
    <mergeCell ref="C20:D20"/>
  </mergeCells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Det.Neut.</vt:lpstr>
      <vt:lpstr>Det.Neut. sin tensan</vt:lpstr>
      <vt:lpstr>Det.Verde 30%</vt:lpstr>
      <vt:lpstr>Det.Verde</vt:lpstr>
      <vt:lpstr>Det.Verde sin tensan</vt:lpstr>
      <vt:lpstr>Det.Econom</vt:lpstr>
      <vt:lpstr>Det. Especial</vt:lpstr>
      <vt:lpstr>Det.Alcalino</vt:lpstr>
      <vt:lpstr>Jabón Liq. Ropa</vt:lpstr>
      <vt:lpstr>Jabón Liq.Mano</vt:lpstr>
      <vt:lpstr>Suav. Confor</vt:lpstr>
      <vt:lpstr>Suav. Natural</vt:lpstr>
      <vt:lpstr>Suav. Viveré</vt:lpstr>
      <vt:lpstr>Perfume Ropa Natur</vt:lpstr>
      <vt:lpstr>Perfume Ropa Conf</vt:lpstr>
      <vt:lpstr>Apresto</vt:lpstr>
      <vt:lpstr>Multiuso</vt:lpstr>
      <vt:lpstr>Limpia Vidrio</vt:lpstr>
      <vt:lpstr>Desod. Lav</vt:lpstr>
      <vt:lpstr>Desod. Citron</vt:lpstr>
      <vt:lpstr>Desod. Primavera</vt:lpstr>
      <vt:lpstr>Cloro</vt:lpstr>
      <vt:lpstr>Ventas</vt:lpstr>
      <vt:lpstr>Marg</vt:lpstr>
      <vt:lpstr>Gas F</vt:lpstr>
      <vt:lpstr>Inv. Inic.</vt:lpstr>
      <vt:lpstr>Result</vt:lpstr>
      <vt:lpstr>Cant.Mate Pr</vt:lpstr>
      <vt:lpstr>Proveed</vt:lpstr>
      <vt:lpstr>COSTO</vt:lpstr>
      <vt:lpstr>STOCK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2013-04-29T15:40:53Z</cp:lastPrinted>
  <dcterms:created xsi:type="dcterms:W3CDTF">2011-08-28T00:32:33Z</dcterms:created>
  <dcterms:modified xsi:type="dcterms:W3CDTF">2013-05-11T17:56:46Z</dcterms:modified>
</cp:coreProperties>
</file>