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3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/>
  </bookViews>
  <sheets>
    <sheet name="Sheet1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B191" i="1"/>
  <c r="C190"/>
  <c r="C185"/>
  <c r="B187"/>
  <c r="C187" s="1"/>
  <c r="C191" s="1"/>
  <c r="B186"/>
  <c r="C186" s="1"/>
  <c r="B185"/>
  <c r="B189"/>
  <c r="C189" s="1"/>
  <c r="B188"/>
  <c r="C188" s="1"/>
  <c r="G185"/>
  <c r="C179"/>
  <c r="B176"/>
  <c r="C176" s="1"/>
  <c r="B175"/>
  <c r="C175" s="1"/>
  <c r="B174"/>
  <c r="C174" s="1"/>
  <c r="G174"/>
  <c r="B178" s="1"/>
  <c r="B52"/>
  <c r="C52" s="1"/>
  <c r="B51"/>
  <c r="C51" s="1"/>
  <c r="B50"/>
  <c r="G50"/>
  <c r="B54" s="1"/>
  <c r="C54" s="1"/>
  <c r="C50"/>
  <c r="B94"/>
  <c r="C94" s="1"/>
  <c r="B93"/>
  <c r="C93" s="1"/>
  <c r="B95"/>
  <c r="C95" s="1"/>
  <c r="G93"/>
  <c r="B98" s="1"/>
  <c r="C98" s="1"/>
  <c r="B21"/>
  <c r="C21" s="1"/>
  <c r="B9"/>
  <c r="B20"/>
  <c r="C20" s="1"/>
  <c r="B19"/>
  <c r="C19" s="1"/>
  <c r="G19"/>
  <c r="B22" s="1"/>
  <c r="C22" s="1"/>
  <c r="H185" l="1"/>
  <c r="I185" s="1"/>
  <c r="B177"/>
  <c r="C177" s="1"/>
  <c r="C178"/>
  <c r="B55"/>
  <c r="C55" s="1"/>
  <c r="B53"/>
  <c r="B97"/>
  <c r="C97" s="1"/>
  <c r="B96"/>
  <c r="B23"/>
  <c r="C23" s="1"/>
  <c r="C24" s="1"/>
  <c r="H19" s="1"/>
  <c r="I19" s="1"/>
  <c r="C180" l="1"/>
  <c r="B180"/>
  <c r="C53"/>
  <c r="C56" s="1"/>
  <c r="H50" s="1"/>
  <c r="I50" s="1"/>
  <c r="B56"/>
  <c r="C96"/>
  <c r="C99" s="1"/>
  <c r="H93" s="1"/>
  <c r="I93" s="1"/>
  <c r="B99"/>
  <c r="B24"/>
  <c r="H174" l="1"/>
  <c r="I174" s="1"/>
  <c r="C149"/>
  <c r="B146"/>
  <c r="C146" s="1"/>
  <c r="B145"/>
  <c r="C145" s="1"/>
  <c r="B144"/>
  <c r="C144" s="1"/>
  <c r="G144"/>
  <c r="B147" s="1"/>
  <c r="C147" s="1"/>
  <c r="B166"/>
  <c r="B165"/>
  <c r="B164"/>
  <c r="B156"/>
  <c r="B155"/>
  <c r="B154"/>
  <c r="B136"/>
  <c r="B135"/>
  <c r="B134"/>
  <c r="B126"/>
  <c r="B125"/>
  <c r="B124"/>
  <c r="B116"/>
  <c r="B115"/>
  <c r="B114"/>
  <c r="B106"/>
  <c r="B105"/>
  <c r="B104"/>
  <c r="B74"/>
  <c r="B85"/>
  <c r="B84"/>
  <c r="B83"/>
  <c r="B73"/>
  <c r="B72"/>
  <c r="B64"/>
  <c r="B63"/>
  <c r="B62"/>
  <c r="B42"/>
  <c r="B41"/>
  <c r="B40"/>
  <c r="B31"/>
  <c r="B30"/>
  <c r="B29"/>
  <c r="B10"/>
  <c r="B8"/>
  <c r="B148" l="1"/>
  <c r="C31"/>
  <c r="C30"/>
  <c r="C29"/>
  <c r="G29"/>
  <c r="C9"/>
  <c r="C8"/>
  <c r="C10"/>
  <c r="G8"/>
  <c r="B12" s="1"/>
  <c r="C42"/>
  <c r="C166"/>
  <c r="C164"/>
  <c r="C165"/>
  <c r="G164"/>
  <c r="C156"/>
  <c r="C155"/>
  <c r="C154"/>
  <c r="G154"/>
  <c r="C136"/>
  <c r="C135"/>
  <c r="C134"/>
  <c r="G134"/>
  <c r="C126"/>
  <c r="C125"/>
  <c r="C124"/>
  <c r="G124"/>
  <c r="C116"/>
  <c r="C114"/>
  <c r="C115"/>
  <c r="G114"/>
  <c r="C106"/>
  <c r="G72"/>
  <c r="C105"/>
  <c r="C104"/>
  <c r="G104"/>
  <c r="C85"/>
  <c r="C84"/>
  <c r="G83"/>
  <c r="C83"/>
  <c r="G62"/>
  <c r="G40"/>
  <c r="C73"/>
  <c r="C41"/>
  <c r="C40"/>
  <c r="C74"/>
  <c r="C64"/>
  <c r="M64"/>
  <c r="C63"/>
  <c r="C62"/>
  <c r="C148" l="1"/>
  <c r="C150" s="1"/>
  <c r="B150"/>
  <c r="B168"/>
  <c r="C168" s="1"/>
  <c r="B108"/>
  <c r="C108" s="1"/>
  <c r="B128"/>
  <c r="C128" s="1"/>
  <c r="B44"/>
  <c r="C44" s="1"/>
  <c r="B138"/>
  <c r="C138" s="1"/>
  <c r="B158"/>
  <c r="C158" s="1"/>
  <c r="B117"/>
  <c r="C117" s="1"/>
  <c r="B118"/>
  <c r="C118" s="1"/>
  <c r="B86"/>
  <c r="C86" s="1"/>
  <c r="B87"/>
  <c r="C87" s="1"/>
  <c r="B75"/>
  <c r="C75" s="1"/>
  <c r="B76"/>
  <c r="C76" s="1"/>
  <c r="B66"/>
  <c r="C66" s="1"/>
  <c r="B34"/>
  <c r="C34" s="1"/>
  <c r="B33"/>
  <c r="C33" s="1"/>
  <c r="C12"/>
  <c r="B32"/>
  <c r="C32" s="1"/>
  <c r="B13"/>
  <c r="C13" s="1"/>
  <c r="B77"/>
  <c r="C77" s="1"/>
  <c r="B11"/>
  <c r="B65"/>
  <c r="C65" s="1"/>
  <c r="B167"/>
  <c r="C167" s="1"/>
  <c r="B157"/>
  <c r="C157" s="1"/>
  <c r="B137"/>
  <c r="C137" s="1"/>
  <c r="B127"/>
  <c r="B107"/>
  <c r="C107" s="1"/>
  <c r="B43"/>
  <c r="C43" s="1"/>
  <c r="C72"/>
  <c r="C169" l="1"/>
  <c r="H164" s="1"/>
  <c r="I164" s="1"/>
  <c r="C139"/>
  <c r="H134" s="1"/>
  <c r="I134" s="1"/>
  <c r="C159"/>
  <c r="H154" s="1"/>
  <c r="I154" s="1"/>
  <c r="C67"/>
  <c r="H62" s="1"/>
  <c r="I62" s="1"/>
  <c r="B14"/>
  <c r="C35"/>
  <c r="H29" s="1"/>
  <c r="I29" s="1"/>
  <c r="B35"/>
  <c r="C11"/>
  <c r="C127"/>
  <c r="C129" s="1"/>
  <c r="H124" s="1"/>
  <c r="I124" s="1"/>
  <c r="B139"/>
  <c r="B78"/>
  <c r="C78"/>
  <c r="H72" s="1"/>
  <c r="I72" s="1"/>
  <c r="B67"/>
  <c r="B169"/>
  <c r="B159"/>
  <c r="B129"/>
  <c r="C119"/>
  <c r="H114" s="1"/>
  <c r="I114" s="1"/>
  <c r="B119"/>
  <c r="B109"/>
  <c r="C109"/>
  <c r="H104" s="1"/>
  <c r="I104" s="1"/>
  <c r="B45"/>
  <c r="C45"/>
  <c r="H40" s="1"/>
  <c r="I40" s="1"/>
  <c r="C88"/>
  <c r="H83" s="1"/>
  <c r="I83" s="1"/>
  <c r="B88"/>
  <c r="H144" l="1"/>
  <c r="I144" s="1"/>
  <c r="C14"/>
  <c r="H8" s="1"/>
  <c r="I8" s="1"/>
</calcChain>
</file>

<file path=xl/sharedStrings.xml><?xml version="1.0" encoding="utf-8"?>
<sst xmlns="http://schemas.openxmlformats.org/spreadsheetml/2006/main" count="302" uniqueCount="40">
  <si>
    <t>Abu batu</t>
  </si>
  <si>
    <t>0,5 + pasir</t>
  </si>
  <si>
    <t>Semen</t>
  </si>
  <si>
    <t>Onker</t>
  </si>
  <si>
    <t>listrik</t>
  </si>
  <si>
    <t>Bahan</t>
  </si>
  <si>
    <t>Jumlah</t>
  </si>
  <si>
    <t>Hasil Produksi per Hari</t>
  </si>
  <si>
    <t>Hasil Prod / hari</t>
  </si>
  <si>
    <t>Hpp per pcs</t>
  </si>
  <si>
    <t>Hpp per mtr</t>
  </si>
  <si>
    <t>Biaya per zak</t>
  </si>
  <si>
    <t>Biaya per hari</t>
  </si>
  <si>
    <t>Tabur</t>
  </si>
  <si>
    <t>Hasil Prod / zak</t>
  </si>
  <si>
    <t>Hasil Prod /zak</t>
  </si>
  <si>
    <t>Hpp T6 K-300 (1:15) = 173</t>
  </si>
  <si>
    <t>Hpp T6 K-275 (1:18) = 205</t>
  </si>
  <si>
    <t>Hpp T8 K-400 Halus (1:11) = 98</t>
  </si>
  <si>
    <t>Hpp T8 K-400 (1:11) = 98</t>
  </si>
  <si>
    <t>Hpp T8 K-300 (1:15) = 130</t>
  </si>
  <si>
    <t>Hpp T8 K-275 (1:18) = 154</t>
  </si>
  <si>
    <t>Hpp TU 8 cm (1:15) = 74</t>
  </si>
  <si>
    <t>Hpp TU 6 cm (1:15) = 94</t>
  </si>
  <si>
    <t>Hpp Kanstin 10x20x40 (1:15) = 29</t>
  </si>
  <si>
    <t>Hpp Kanstin 15x25x40 (1:16) = 17</t>
  </si>
  <si>
    <t>perempuan</t>
  </si>
  <si>
    <t>Hpp T6 K-400 Halus (1:11) = 130</t>
  </si>
  <si>
    <t>Hpp T6 K-300 Halus (1:15) = 173</t>
  </si>
  <si>
    <t xml:space="preserve"> </t>
  </si>
  <si>
    <t>Harga Abu batu /kg   :</t>
  </si>
  <si>
    <t>Harga Semen /zak     :</t>
  </si>
  <si>
    <t>Harga 0,5 + Pasir/kg  :</t>
  </si>
  <si>
    <t>Hpp TU 6 Merah cm (1:15) = 94</t>
  </si>
  <si>
    <t>Pixmen</t>
  </si>
  <si>
    <t>Hpp T6 K-400  (1:11) = 130</t>
  </si>
  <si>
    <t>Hpp T8 K-300 Halus (1:15) = 130</t>
  </si>
  <si>
    <t>Hpp T6 K-275 Halus  (1:18) = 205</t>
  </si>
  <si>
    <t>Hpp T6 K-300 Merah (1:15) = 173</t>
  </si>
  <si>
    <t>Hpp T6 K-275 Merah (1:18) = 205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</si>
</sst>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</numFmts>
  <fonts count="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41" fontId="0" fillId="0" borderId="0" xfId="1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center"/>
    </xf>
    <xf numFmtId="164" fontId="0" fillId="0" borderId="0" xfId="1" applyNumberFormat="1" applyFont="1" applyProtection="1"/>
    <xf numFmtId="164" fontId="0" fillId="0" borderId="0" xfId="0" applyNumberFormat="1" applyProtection="1"/>
    <xf numFmtId="164" fontId="0" fillId="2" borderId="0" xfId="1" applyNumberFormat="1" applyFont="1" applyFill="1" applyProtection="1"/>
    <xf numFmtId="43" fontId="0" fillId="0" borderId="0" xfId="0" applyNumberFormat="1" applyProtection="1"/>
    <xf numFmtId="0" fontId="0" fillId="3" borderId="0" xfId="0" applyFill="1" applyProtection="1"/>
    <xf numFmtId="164" fontId="3" fillId="3" borderId="0" xfId="1" applyNumberFormat="1" applyFont="1" applyFill="1" applyProtection="1"/>
    <xf numFmtId="41" fontId="0" fillId="0" borderId="0" xfId="1" applyFont="1" applyProtection="1"/>
    <xf numFmtId="41" fontId="0" fillId="0" borderId="0" xfId="0" applyNumberFormat="1" applyProtection="1"/>
  </cellXfs>
  <cellStyles count="2">
    <cellStyle name="Comma [0]" xfId="1" builtinId="6"/>
    <cellStyle name="Normal" xfId="0" builtinId="0"/>
  </cellStyles>
  <dxfs count="216">
    <dxf>
      <numFmt numFmtId="164" formatCode="_(* #,##0.00_);_(* \(#,##0.00\);_(* &quot;-&quot;_);_(@_)"/>
      <fill>
        <patternFill patternType="solid">
          <fgColor indexed="64"/>
          <bgColor rgb="FF92D050"/>
        </patternFill>
      </fill>
      <protection locked="1" hidden="0"/>
    </dxf>
    <dxf>
      <numFmt numFmtId="164" formatCode="_(* #,##0.00_);_(* \(#,##0.00\);_(* &quot;-&quot;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_);_(@_)"/>
      <protection locked="1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64" formatCode="_(* #,##0.00_);_(* \(#,##0.00\);_(* &quot;-&quot;_);_(@_)"/>
      <fill>
        <patternFill patternType="solid">
          <fgColor indexed="64"/>
          <bgColor rgb="FF92D050"/>
        </patternFill>
      </fill>
      <protection locked="1" hidden="0"/>
    </dxf>
    <dxf>
      <numFmt numFmtId="164" formatCode="_(* #,##0.00_);_(* \(#,##0.00\);_(* &quot;-&quot;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_);_(@_)"/>
      <protection locked="1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64" formatCode="_(* #,##0.00_);_(* \(#,##0.00\);_(* &quot;-&quot;_);_(@_)"/>
      <fill>
        <patternFill patternType="solid">
          <fgColor indexed="64"/>
          <bgColor rgb="FF92D050"/>
        </patternFill>
      </fill>
      <protection locked="1" hidden="0"/>
    </dxf>
    <dxf>
      <numFmt numFmtId="164" formatCode="_(* #,##0.00_);_(* \(#,##0.00\);_(* &quot;-&quot;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_);_(@_)"/>
      <protection locked="1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64" formatCode="_(* #,##0.00_);_(* \(#,##0.00\);_(* &quot;-&quot;_);_(@_)"/>
      <fill>
        <patternFill patternType="solid">
          <fgColor indexed="64"/>
          <bgColor rgb="FF92D050"/>
        </patternFill>
      </fill>
      <protection locked="1" hidden="0"/>
    </dxf>
    <dxf>
      <numFmt numFmtId="164" formatCode="_(* #,##0.00_);_(* \(#,##0.00\);_(* &quot;-&quot;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_);_(@_)"/>
      <protection locked="1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64" formatCode="_(* #,##0.00_);_(* \(#,##0.00\);_(* &quot;-&quot;_);_(@_)"/>
      <fill>
        <patternFill patternType="solid">
          <fgColor indexed="64"/>
          <bgColor rgb="FF92D050"/>
        </patternFill>
      </fill>
      <protection locked="1" hidden="0"/>
    </dxf>
    <dxf>
      <numFmt numFmtId="164" formatCode="_(* #,##0.00_);_(* \(#,##0.00\);_(* &quot;-&quot;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_);_(@_)"/>
      <protection locked="1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64" formatCode="_(* #,##0.00_);_(* \(#,##0.00\);_(* &quot;-&quot;_);_(@_)"/>
      <fill>
        <patternFill patternType="solid">
          <fgColor indexed="64"/>
          <bgColor rgb="FF92D050"/>
        </patternFill>
      </fill>
      <protection locked="1" hidden="0"/>
    </dxf>
    <dxf>
      <numFmt numFmtId="164" formatCode="_(* #,##0.00_);_(* \(#,##0.00\);_(* &quot;-&quot;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_);_(@_)"/>
      <protection locked="1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64" formatCode="_(* #,##0.00_);_(* \(#,##0.00\);_(* &quot;-&quot;_);_(@_)"/>
      <fill>
        <patternFill patternType="solid">
          <fgColor indexed="64"/>
          <bgColor rgb="FF92D050"/>
        </patternFill>
      </fill>
      <protection locked="1" hidden="0"/>
    </dxf>
    <dxf>
      <numFmt numFmtId="164" formatCode="_(* #,##0.00_);_(* \(#,##0.00\);_(* &quot;-&quot;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_);_(@_)"/>
      <protection locked="1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64" formatCode="_(* #,##0.00_);_(* \(#,##0.00\);_(* &quot;-&quot;_);_(@_)"/>
      <fill>
        <patternFill patternType="solid">
          <fgColor indexed="64"/>
          <bgColor rgb="FF92D050"/>
        </patternFill>
      </fill>
      <protection locked="1" hidden="0"/>
    </dxf>
    <dxf>
      <numFmt numFmtId="164" formatCode="_(* #,##0.00_);_(* \(#,##0.00\);_(* &quot;-&quot;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_);_(@_)"/>
      <protection locked="1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64" formatCode="_(* #,##0.00_);_(* \(#,##0.00\);_(* &quot;-&quot;_);_(@_)"/>
      <fill>
        <patternFill patternType="solid">
          <fgColor indexed="64"/>
          <bgColor rgb="FF92D050"/>
        </patternFill>
      </fill>
      <protection locked="1" hidden="0"/>
    </dxf>
    <dxf>
      <numFmt numFmtId="164" formatCode="_(* #,##0.00_);_(* \(#,##0.00\);_(* &quot;-&quot;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_);_(@_)"/>
      <protection locked="1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64" formatCode="_(* #,##0.00_);_(* \(#,##0.00\);_(* &quot;-&quot;_);_(@_)"/>
      <fill>
        <patternFill patternType="solid">
          <fgColor indexed="64"/>
          <bgColor rgb="FF92D050"/>
        </patternFill>
      </fill>
      <protection locked="1" hidden="0"/>
    </dxf>
    <dxf>
      <numFmt numFmtId="164" formatCode="_(* #,##0.00_);_(* \(#,##0.00\);_(* &quot;-&quot;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_);_(@_)"/>
      <protection locked="1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64" formatCode="_(* #,##0.00_);_(* \(#,##0.00\);_(* &quot;-&quot;_);_(@_)"/>
      <fill>
        <patternFill patternType="solid">
          <fgColor indexed="64"/>
          <bgColor rgb="FF92D050"/>
        </patternFill>
      </fill>
      <protection locked="1" hidden="0"/>
    </dxf>
    <dxf>
      <numFmt numFmtId="164" formatCode="_(* #,##0.00_);_(* \(#,##0.00\);_(* &quot;-&quot;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_);_(@_)"/>
      <protection locked="1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64" formatCode="_(* #,##0.00_);_(* \(#,##0.00\);_(* &quot;-&quot;_);_(@_)"/>
      <fill>
        <patternFill patternType="solid">
          <fgColor indexed="64"/>
          <bgColor rgb="FF92D050"/>
        </patternFill>
      </fill>
      <protection locked="1" hidden="0"/>
    </dxf>
    <dxf>
      <numFmt numFmtId="164" formatCode="_(* #,##0.00_);_(* \(#,##0.00\);_(* &quot;-&quot;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_);_(@_)"/>
      <protection locked="1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64" formatCode="_(* #,##0.00_);_(* \(#,##0.00\);_(* &quot;-&quot;_);_(@_)"/>
      <fill>
        <patternFill patternType="solid">
          <fgColor indexed="64"/>
          <bgColor rgb="FF92D050"/>
        </patternFill>
      </fill>
      <protection locked="1" hidden="0"/>
    </dxf>
    <dxf>
      <numFmt numFmtId="164" formatCode="_(* #,##0.00_);_(* \(#,##0.00\);_(* &quot;-&quot;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_);_(@_)"/>
      <protection locked="1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64" formatCode="_(* #,##0.00_);_(* \(#,##0.00\);_(* &quot;-&quot;_);_(@_)"/>
      <fill>
        <patternFill patternType="solid">
          <fgColor indexed="64"/>
          <bgColor rgb="FF92D050"/>
        </patternFill>
      </fill>
      <protection locked="1" hidden="0"/>
    </dxf>
    <dxf>
      <numFmt numFmtId="164" formatCode="_(* #,##0.00_);_(* \(#,##0.00\);_(* &quot;-&quot;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_);_(@_)"/>
      <protection locked="1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64" formatCode="_(* #,##0.00_);_(* \(#,##0.00\);_(* &quot;-&quot;_);_(@_)"/>
      <fill>
        <patternFill patternType="solid">
          <fgColor indexed="64"/>
          <bgColor rgb="FF92D050"/>
        </patternFill>
      </fill>
      <protection locked="1" hidden="0"/>
    </dxf>
    <dxf>
      <numFmt numFmtId="164" formatCode="_(* #,##0.00_);_(* \(#,##0.00\);_(* &quot;-&quot;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_);_(@_)"/>
      <protection locked="1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64" formatCode="_(* #,##0.00_);_(* \(#,##0.00\);_(* &quot;-&quot;_);_(@_)"/>
      <fill>
        <patternFill patternType="solid">
          <fgColor indexed="64"/>
          <bgColor rgb="FF92D050"/>
        </patternFill>
      </fill>
      <protection locked="1" hidden="0"/>
    </dxf>
    <dxf>
      <numFmt numFmtId="164" formatCode="_(* #,##0.00_);_(* \(#,##0.00\);_(* &quot;-&quot;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_);_(@_)"/>
      <protection locked="1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64" formatCode="_(* #,##0.00_);_(* \(#,##0.00\);_(* &quot;-&quot;_);_(@_)"/>
      <fill>
        <patternFill patternType="solid">
          <fgColor indexed="64"/>
          <bgColor rgb="FF92D050"/>
        </patternFill>
      </fill>
      <protection locked="1" hidden="0"/>
    </dxf>
    <dxf>
      <numFmt numFmtId="164" formatCode="_(* #,##0.00_);_(* \(#,##0.00\);_(* &quot;-&quot;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_);_(@_)"/>
      <protection locked="1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64" formatCode="_(* #,##0.00_);_(* \(#,##0.00\);_(* &quot;-&quot;_);_(@_)"/>
      <fill>
        <patternFill patternType="solid">
          <fgColor indexed="64"/>
          <bgColor rgb="FF92D050"/>
        </patternFill>
      </fill>
      <protection locked="1" hidden="0"/>
    </dxf>
    <dxf>
      <numFmt numFmtId="164" formatCode="_(* #,##0.00_);_(* \(#,##0.00\);_(* &quot;-&quot;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_);_(@_)"/>
      <protection locked="1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61:C67" totalsRowShown="0" headerRowDxfId="215" dataDxfId="214">
  <autoFilter ref="A61:C67"/>
  <tableColumns count="3">
    <tableColumn id="1" name="Bahan" dataDxfId="213"/>
    <tableColumn id="2" name="Biaya per zak" dataDxfId="212"/>
    <tableColumn id="3" name="Biaya per hari" dataDxfId="211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3" name="Table361214" displayName="Table361214" ref="E103:I104" totalsRowShown="0" headerRowDxfId="162" dataDxfId="161">
  <autoFilter ref="E103:I104"/>
  <tableColumns count="5">
    <tableColumn id="1" name="Semen" dataDxfId="160"/>
    <tableColumn id="2" name="Hasil Prod / hari" dataDxfId="159" dataCellStyle="Comma [0]"/>
    <tableColumn id="5" name="Hasil Prod / zak" dataDxfId="158" dataCellStyle="Comma [0]">
      <calculatedColumnFormula>[Hasil Prod / hari]/[Semen]</calculatedColumnFormula>
    </tableColumn>
    <tableColumn id="3" name="Hpp per pcs" dataDxfId="157" dataCellStyle="Comma [0]">
      <calculatedColumnFormula>C109/Table361214[[#This Row],[Hasil Prod / hari]]</calculatedColumnFormula>
    </tableColumn>
    <tableColumn id="4" name="Hpp per mtr" dataDxfId="156" dataCellStyle="Comma [0]">
      <calculatedColumnFormula>Table361214[[#This Row],[Hpp per pcs]]*43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4" name="Table15111315" displayName="Table15111315" ref="A113:C119" totalsRowShown="0" headerRowDxfId="155" dataDxfId="154">
  <autoFilter ref="A113:C119"/>
  <tableColumns count="3">
    <tableColumn id="1" name="Bahan" dataDxfId="153"/>
    <tableColumn id="2" name="Biaya per zak" dataDxfId="152"/>
    <tableColumn id="3" name="Biaya per hari" dataDxfId="151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5" name="Table36121416" displayName="Table36121416" ref="E113:I114" totalsRowShown="0" headerRowDxfId="150" dataDxfId="149">
  <autoFilter ref="E113:I114"/>
  <tableColumns count="5">
    <tableColumn id="1" name="Semen" dataDxfId="148"/>
    <tableColumn id="2" name="Hasil Prod / hari" dataDxfId="147" dataCellStyle="Comma [0]"/>
    <tableColumn id="5" name="Hasil Prod / zak" dataDxfId="146" dataCellStyle="Comma [0]">
      <calculatedColumnFormula>[Hasil Prod / hari]/[Semen]</calculatedColumnFormula>
    </tableColumn>
    <tableColumn id="3" name="Hpp per pcs" dataDxfId="145" dataCellStyle="Comma [0]">
      <calculatedColumnFormula>C119/Table36121416[[#This Row],[Hasil Prod / hari]]</calculatedColumnFormula>
    </tableColumn>
    <tableColumn id="4" name="Hpp per mtr" dataDxfId="144" dataCellStyle="Comma [0]">
      <calculatedColumnFormula>Table36121416[[#This Row],[Hpp per pcs]]*43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6" name="Table151113157" displayName="Table151113157" ref="A123:C129" totalsRowShown="0" headerRowDxfId="143" dataDxfId="142">
  <autoFilter ref="A123:C129"/>
  <tableColumns count="3">
    <tableColumn id="1" name="Bahan" dataDxfId="141"/>
    <tableColumn id="2" name="Biaya per zak" dataDxfId="140"/>
    <tableColumn id="3" name="Biaya per hari" dataDxfId="139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7" name="Table361214168" displayName="Table361214168" ref="E123:I124" totalsRowShown="0" headerRowDxfId="138" dataDxfId="137">
  <autoFilter ref="E123:I124"/>
  <tableColumns count="5">
    <tableColumn id="1" name="Semen" dataDxfId="136"/>
    <tableColumn id="2" name="Hasil Prod / hari" dataDxfId="135" dataCellStyle="Comma [0]"/>
    <tableColumn id="5" name="Hasil Prod / zak" dataDxfId="134" dataCellStyle="Comma [0]">
      <calculatedColumnFormula>[Hasil Prod / hari]/[Semen]</calculatedColumnFormula>
    </tableColumn>
    <tableColumn id="3" name="Hpp per pcs" dataDxfId="133" dataCellStyle="Comma [0]">
      <calculatedColumnFormula>C129/Table361214168[[#This Row],[Hasil Prod / hari]]</calculatedColumnFormula>
    </tableColumn>
    <tableColumn id="4" name="Hpp per mtr" dataDxfId="132" dataCellStyle="Comma [0]">
      <calculatedColumnFormula>Table361214168[[#This Row],[Hpp per pcs]]*24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6" name="Table15111315717" displayName="Table15111315717" ref="A133:C139" totalsRowShown="0" headerRowDxfId="131" dataDxfId="130">
  <autoFilter ref="A133:C139"/>
  <tableColumns count="3">
    <tableColumn id="1" name="Bahan" dataDxfId="129"/>
    <tableColumn id="2" name="Biaya per zak" dataDxfId="128"/>
    <tableColumn id="3" name="Biaya per hari" dataDxfId="127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7" name="Table36121416818" displayName="Table36121416818" ref="E133:I134" totalsRowShown="0" headerRowDxfId="126" dataDxfId="125">
  <autoFilter ref="E133:I134"/>
  <tableColumns count="5">
    <tableColumn id="1" name="Semen" dataDxfId="124"/>
    <tableColumn id="2" name="Hasil Prod / hari" dataDxfId="123" dataCellStyle="Comma [0]"/>
    <tableColumn id="5" name="Hasil Prod / zak" dataDxfId="122" dataCellStyle="Comma [0]">
      <calculatedColumnFormula>[Hasil Prod / hari]/[Semen]</calculatedColumnFormula>
    </tableColumn>
    <tableColumn id="3" name="Hpp per pcs" dataDxfId="121" dataCellStyle="Comma [0]">
      <calculatedColumnFormula>C139/Table36121416818[[#This Row],[Hasil Prod / hari]]</calculatedColumnFormula>
    </tableColumn>
    <tableColumn id="4" name="Hpp per mtr" dataDxfId="120" dataCellStyle="Comma [0]">
      <calculatedColumnFormula>Table36121416818[[#This Row],[Hpp per pcs]]*24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8" name="Table1511131571719" displayName="Table1511131571719" ref="A153:C159" totalsRowShown="0" headerRowDxfId="119" dataDxfId="118">
  <autoFilter ref="A153:C159"/>
  <tableColumns count="3">
    <tableColumn id="1" name="Bahan" dataDxfId="117"/>
    <tableColumn id="2" name="Biaya per zak" dataDxfId="116"/>
    <tableColumn id="3" name="Biaya per hari" dataDxfId="115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9" name="Table3612141681820" displayName="Table3612141681820" ref="E153:I154" totalsRowShown="0" headerRowDxfId="114" dataDxfId="113">
  <autoFilter ref="E153:I154"/>
  <tableColumns count="5">
    <tableColumn id="1" name="Semen" dataDxfId="112"/>
    <tableColumn id="2" name="Hasil Prod / hari" dataDxfId="111" dataCellStyle="Comma [0]"/>
    <tableColumn id="5" name="Hasil Prod / zak" dataDxfId="110" dataCellStyle="Comma [0]">
      <calculatedColumnFormula>[Hasil Prod / hari]/[Semen]</calculatedColumnFormula>
    </tableColumn>
    <tableColumn id="3" name="Hpp per pcs" dataDxfId="109" dataCellStyle="Comma [0]">
      <calculatedColumnFormula>C159/Table3612141681820[[#This Row],[Hasil Prod / hari]]</calculatedColumnFormula>
    </tableColumn>
    <tableColumn id="4" name="Hpp per mtr" dataDxfId="108" dataCellStyle="Comma [0]">
      <calculatedColumnFormula>Table3612141681820[[#This Row],[Hpp per pcs]]*2.5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0" name="Table151113157171921" displayName="Table151113157171921" ref="A163:C169" totalsRowShown="0" headerRowDxfId="107" dataDxfId="106">
  <autoFilter ref="A163:C169"/>
  <tableColumns count="3">
    <tableColumn id="1" name="Bahan" dataDxfId="105"/>
    <tableColumn id="2" name="Biaya per zak" dataDxfId="104"/>
    <tableColumn id="3" name="Biaya per hari" dataDxfId="10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E61:I62" totalsRowShown="0" headerRowDxfId="210" dataDxfId="209">
  <autoFilter ref="E61:I62">
    <filterColumn colId="2"/>
    <filterColumn colId="3"/>
    <filterColumn colId="4"/>
  </autoFilter>
  <tableColumns count="5">
    <tableColumn id="1" name="Semen" dataDxfId="208"/>
    <tableColumn id="2" name="Hasil Prod / hari" dataDxfId="207" dataCellStyle="Comma [0]"/>
    <tableColumn id="5" name="Hasil Prod / zak" dataDxfId="206" dataCellStyle="Comma [0]">
      <calculatedColumnFormula>[Hasil Prod / hari]/[Semen]</calculatedColumnFormula>
    </tableColumn>
    <tableColumn id="3" name="Hpp per pcs" dataDxfId="205" dataCellStyle="Comma [0]">
      <calculatedColumnFormula>C67/Table3[[#This Row],[Hasil Prod / hari]]</calculatedColumnFormula>
    </tableColumn>
    <tableColumn id="4" name="Hpp per mtr" dataDxfId="204" dataCellStyle="Comma [0]">
      <calculatedColumnFormula>Table3[[#This Row],[Hpp per pcs]]*43</calculatedColumnFormula>
    </tableColumn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1" name="Table361214168182022" displayName="Table361214168182022" ref="E163:I164" totalsRowShown="0" headerRowDxfId="102" dataDxfId="101">
  <autoFilter ref="E163:I164"/>
  <tableColumns count="5">
    <tableColumn id="1" name="Semen" dataDxfId="100"/>
    <tableColumn id="2" name="Hasil Prod / hari" dataDxfId="99" dataCellStyle="Comma [0]"/>
    <tableColumn id="5" name="Hasil Prod / zak" dataDxfId="98" dataCellStyle="Comma [0]">
      <calculatedColumnFormula>[Hasil Prod / hari]/[Semen]</calculatedColumnFormula>
    </tableColumn>
    <tableColumn id="3" name="Hpp per pcs" dataDxfId="97" dataCellStyle="Comma [0]">
      <calculatedColumnFormula>C169/Table361214168182022[[#This Row],[Hasil Prod / hari]]</calculatedColumnFormula>
    </tableColumn>
    <tableColumn id="4" name="Hpp per mtr" dataDxfId="96" dataCellStyle="Comma [0]">
      <calculatedColumnFormula>Table361214168182022[[#This Row],[Hpp per pcs]]*2.5</calculatedColumnFormula>
    </tableColumn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3" name="Table15924" displayName="Table15924" ref="A7:C14" totalsRowShown="0" headerRowDxfId="95" dataDxfId="94">
  <autoFilter ref="A7:C14"/>
  <tableColumns count="3">
    <tableColumn id="1" name="Bahan" dataDxfId="93"/>
    <tableColumn id="2" name="Biaya per zak" dataDxfId="92"/>
    <tableColumn id="3" name="Biaya per hari" dataDxfId="91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4" name="Table361025" displayName="Table361025" ref="E7:I8" totalsRowShown="0" headerRowDxfId="90" dataDxfId="89">
  <autoFilter ref="E7:I8"/>
  <tableColumns count="5">
    <tableColumn id="1" name="Semen" dataDxfId="88"/>
    <tableColumn id="2" name="Hasil Prod / hari" dataDxfId="87" dataCellStyle="Comma [0]"/>
    <tableColumn id="5" name="Hasil Prod /zak" dataDxfId="86" dataCellStyle="Comma [0]">
      <calculatedColumnFormula>[Hasil Prod / hari]/[Semen]</calculatedColumnFormula>
    </tableColumn>
    <tableColumn id="3" name="Hpp per pcs" dataDxfId="85" dataCellStyle="Comma [0]">
      <calculatedColumnFormula>C14/Table361025[[#This Row],[Hasil Prod / hari]]</calculatedColumnFormula>
    </tableColumn>
    <tableColumn id="4" name="Hpp per mtr" dataDxfId="84" dataCellStyle="Comma [0]">
      <calculatedColumnFormula>Table361025[[#This Row],[Hpp per pcs]]*43</calculatedColumnFormula>
    </tableColumn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" name="Table159243" displayName="Table159243" ref="A28:C35" totalsRowShown="0" headerRowDxfId="83" dataDxfId="82">
  <autoFilter ref="A28:C35"/>
  <tableColumns count="3">
    <tableColumn id="1" name="Bahan" dataDxfId="81"/>
    <tableColumn id="2" name="Biaya per zak" dataDxfId="80"/>
    <tableColumn id="3" name="Biaya per hari" dataDxfId="79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2" name="Table36102523" displayName="Table36102523" ref="E28:I29" totalsRowShown="0" headerRowDxfId="78" dataDxfId="77">
  <autoFilter ref="E28:I29"/>
  <tableColumns count="5">
    <tableColumn id="1" name="Semen" dataDxfId="76"/>
    <tableColumn id="2" name="Hasil Prod / hari" dataDxfId="75" dataCellStyle="Comma [0]"/>
    <tableColumn id="5" name="Hasil Prod /zak" dataDxfId="74" dataCellStyle="Comma [0]">
      <calculatedColumnFormula>[Hasil Prod / hari]/[Semen]</calculatedColumnFormula>
    </tableColumn>
    <tableColumn id="3" name="Hpp per pcs" dataDxfId="73" dataCellStyle="Comma [0]">
      <calculatedColumnFormula>C35/Table36102523[[#This Row],[Hasil Prod / hari]]</calculatedColumnFormula>
    </tableColumn>
    <tableColumn id="4" name="Hpp per mtr" dataDxfId="72" dataCellStyle="Comma [0]">
      <calculatedColumnFormula>Table36102523[[#This Row],[Hpp per pcs]]*43</calculatedColumnFormula>
    </tableColumn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5" name="Table1511131571726" displayName="Table1511131571726" ref="A143:C150" totalsRowShown="0" headerRowDxfId="71" dataDxfId="70">
  <autoFilter ref="A143:C150"/>
  <tableColumns count="3">
    <tableColumn id="1" name="Bahan" dataDxfId="69"/>
    <tableColumn id="2" name="Biaya per zak" dataDxfId="68"/>
    <tableColumn id="3" name="Biaya per hari" dataDxfId="67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26" name="Table3612141681827" displayName="Table3612141681827" ref="E143:I144" totalsRowShown="0" headerRowDxfId="66" dataDxfId="65">
  <autoFilter ref="E143:I144"/>
  <tableColumns count="5">
    <tableColumn id="1" name="Semen" dataDxfId="64"/>
    <tableColumn id="2" name="Hasil Prod / hari" dataDxfId="63" dataCellStyle="Comma [0]"/>
    <tableColumn id="5" name="Hasil Prod / zak" dataDxfId="62" dataCellStyle="Comma [0]">
      <calculatedColumnFormula>[Hasil Prod / hari]/[Semen]</calculatedColumnFormula>
    </tableColumn>
    <tableColumn id="3" name="Hpp per pcs" dataDxfId="61" dataCellStyle="Comma [0]">
      <calculatedColumnFormula>C150/Table3612141681827[[#This Row],[Hasil Prod / hari]]</calculatedColumnFormula>
    </tableColumn>
    <tableColumn id="4" name="Hpp per mtr" dataDxfId="60" dataCellStyle="Comma [0]">
      <calculatedColumnFormula>Table3612141681827[[#This Row],[Hpp per pcs]]*24</calculatedColumnFormula>
    </tableColumn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7" name="Table1592428" displayName="Table1592428" ref="A18:C24" totalsRowShown="0" headerRowDxfId="59" dataDxfId="58">
  <autoFilter ref="A18:C24"/>
  <tableColumns count="3">
    <tableColumn id="1" name="Bahan" dataDxfId="57"/>
    <tableColumn id="2" name="Biaya per zak" dataDxfId="56"/>
    <tableColumn id="3" name="Biaya per hari" dataDxfId="55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8" name="Table36102529" displayName="Table36102529" ref="E18:I19" totalsRowShown="0" headerRowDxfId="54" dataDxfId="53">
  <autoFilter ref="E18:I19"/>
  <tableColumns count="5">
    <tableColumn id="1" name="Semen" dataDxfId="52"/>
    <tableColumn id="2" name="Hasil Prod / hari" dataDxfId="51" dataCellStyle="Comma [0]"/>
    <tableColumn id="5" name="Hasil Prod /zak" dataDxfId="50" dataCellStyle="Comma [0]">
      <calculatedColumnFormula>[Hasil Prod / hari]/[Semen]</calculatedColumnFormula>
    </tableColumn>
    <tableColumn id="3" name="Hpp per pcs" dataDxfId="49" dataCellStyle="Comma [0]">
      <calculatedColumnFormula>C24/Table36102529[[#This Row],[Hasil Prod / hari]]</calculatedColumnFormula>
    </tableColumn>
    <tableColumn id="4" name="Hpp per mtr" dataDxfId="48" dataCellStyle="Comma [0]">
      <calculatedColumnFormula>Table36102529[[#This Row],[Hpp per pcs]]*43</calculatedColumnFormula>
    </tableColumn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29" name="Table1530" displayName="Table1530" ref="A92:C99" totalsRowShown="0" headerRowDxfId="47" dataDxfId="46">
  <autoFilter ref="A92:C99"/>
  <tableColumns count="3">
    <tableColumn id="1" name="Bahan" dataDxfId="45"/>
    <tableColumn id="2" name="Biaya per zak" dataDxfId="44"/>
    <tableColumn id="3" name="Biaya per hari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A71:C78" totalsRowShown="0" headerRowDxfId="203" dataDxfId="202">
  <autoFilter ref="A71:C78"/>
  <tableColumns count="3">
    <tableColumn id="1" name="Bahan" dataDxfId="201"/>
    <tableColumn id="2" name="Biaya per zak" dataDxfId="200"/>
    <tableColumn id="3" name="Biaya per hari" dataDxfId="199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0" name="Table3631" displayName="Table3631" ref="E92:I93" totalsRowShown="0" headerRowDxfId="42" dataDxfId="41">
  <autoFilter ref="E92:I93"/>
  <tableColumns count="5">
    <tableColumn id="1" name="Semen" dataDxfId="40"/>
    <tableColumn id="2" name="Hasil Prod / hari" dataDxfId="39" dataCellStyle="Comma [0]"/>
    <tableColumn id="5" name="Hasil Prod / zak" dataDxfId="38" dataCellStyle="Comma [0]">
      <calculatedColumnFormula>[Hasil Prod / hari]/[Semen]</calculatedColumnFormula>
    </tableColumn>
    <tableColumn id="3" name="Hpp per pcs" dataDxfId="37" dataCellStyle="Comma [0]">
      <calculatedColumnFormula>C99/Table3631[[#This Row],[Hasil Prod / hari]]</calculatedColumnFormula>
    </tableColumn>
    <tableColumn id="4" name="Hpp per mtr" dataDxfId="36" dataCellStyle="Comma [0]">
      <calculatedColumnFormula>Table3631[[#This Row],[Hpp per pcs]]*44</calculatedColumnFormula>
    </tableColumn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1" name="Table132" displayName="Table132" ref="A49:C56" totalsRowShown="0" headerRowDxfId="35" dataDxfId="34">
  <autoFilter ref="A49:C56"/>
  <tableColumns count="3">
    <tableColumn id="1" name="Bahan" dataDxfId="33"/>
    <tableColumn id="2" name="Biaya per zak" dataDxfId="32"/>
    <tableColumn id="3" name="Biaya per hari" dataDxfId="31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32" name="Table333" displayName="Table333" ref="E49:I50" totalsRowShown="0" headerRowDxfId="30" dataDxfId="29">
  <autoFilter ref="E49:I50"/>
  <tableColumns count="5">
    <tableColumn id="1" name="Semen" dataDxfId="28"/>
    <tableColumn id="2" name="Hasil Prod / hari" dataDxfId="27" dataCellStyle="Comma [0]"/>
    <tableColumn id="5" name="Hasil Prod / zak" dataDxfId="26" dataCellStyle="Comma [0]">
      <calculatedColumnFormula>[Hasil Prod / hari]/[Semen]</calculatedColumnFormula>
    </tableColumn>
    <tableColumn id="3" name="Hpp per pcs" dataDxfId="25" dataCellStyle="Comma [0]">
      <calculatedColumnFormula>C56/Table333[[#This Row],[Hasil Prod / hari]]</calculatedColumnFormula>
    </tableColumn>
    <tableColumn id="4" name="Hpp per mtr" dataDxfId="24" dataCellStyle="Comma [0]">
      <calculatedColumnFormula>Table333[[#This Row],[Hpp per pcs]]*43</calculatedColumnFormula>
    </tableColumn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id="33" name="Table15934" displayName="Table15934" ref="A173:C180" totalsRowShown="0" headerRowDxfId="23" dataDxfId="22">
  <autoFilter ref="A173:C180"/>
  <tableColumns count="3">
    <tableColumn id="1" name="Bahan" dataDxfId="21"/>
    <tableColumn id="2" name="Biaya per zak" dataDxfId="20"/>
    <tableColumn id="3" name="Biaya per hari" dataDxfId="19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id="34" name="Table361035" displayName="Table361035" ref="E173:I174" totalsRowShown="0" headerRowDxfId="18" dataDxfId="17">
  <autoFilter ref="E173:I174"/>
  <tableColumns count="5">
    <tableColumn id="1" name="Semen" dataDxfId="16"/>
    <tableColumn id="2" name="Hasil Prod / hari" dataDxfId="15" dataCellStyle="Comma [0]"/>
    <tableColumn id="5" name="Hasil Prod /zak" dataDxfId="14" dataCellStyle="Comma [0]">
      <calculatedColumnFormula>[Hasil Prod / hari]/[Semen]</calculatedColumnFormula>
    </tableColumn>
    <tableColumn id="3" name="Hpp per pcs" dataDxfId="13" dataCellStyle="Comma [0]">
      <calculatedColumnFormula>C180/Table361035[[#This Row],[Hasil Prod / hari]]</calculatedColumnFormula>
    </tableColumn>
    <tableColumn id="4" name="Hpp per mtr" dataDxfId="12" dataCellStyle="Comma [0]">
      <calculatedColumnFormula>Table361035[[#This Row],[Hpp per pcs]]*43</calculatedColumnFormula>
    </tableColumn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id="37" name="Table138" displayName="Table138" ref="A184:C191" totalsRowShown="0" headerRowDxfId="11" dataDxfId="10">
  <autoFilter ref="A184:C191"/>
  <tableColumns count="3">
    <tableColumn id="1" name="Bahan" dataDxfId="9"/>
    <tableColumn id="2" name="Biaya per zak" dataDxfId="8"/>
    <tableColumn id="3" name="Biaya per hari" dataDxfId="7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38" name="Table339" displayName="Table339" ref="E184:I185" totalsRowShown="0" headerRowDxfId="6" dataDxfId="5">
  <autoFilter ref="E184:I185"/>
  <tableColumns count="5">
    <tableColumn id="1" name="Semen" dataDxfId="4"/>
    <tableColumn id="2" name="Hasil Prod / hari" dataDxfId="3" dataCellStyle="Comma [0]"/>
    <tableColumn id="5" name="Hasil Prod / zak" dataDxfId="2" dataCellStyle="Comma [0]">
      <calculatedColumnFormula>[Hasil Prod / hari]/[Semen]</calculatedColumnFormula>
    </tableColumn>
    <tableColumn id="3" name="Hpp per pcs" dataDxfId="1" dataCellStyle="Comma [0]">
      <calculatedColumnFormula>C191/Table339[[#This Row],[Hasil Prod / hari]]</calculatedColumnFormula>
    </tableColumn>
    <tableColumn id="4" name="Hpp per mtr" dataDxfId="0" dataCellStyle="Comma [0]">
      <calculatedColumnFormula>Table339[[#This Row],[Hpp per pcs]]*43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36" displayName="Table36" ref="E71:I72" totalsRowShown="0" headerRowDxfId="198" dataDxfId="197">
  <autoFilter ref="E71:I72">
    <filterColumn colId="2"/>
  </autoFilter>
  <tableColumns count="5">
    <tableColumn id="1" name="Semen" dataDxfId="196"/>
    <tableColumn id="2" name="Hasil Prod / hari" dataDxfId="195" dataCellStyle="Comma [0]"/>
    <tableColumn id="5" name="Hasil Prod / zak" dataDxfId="194" dataCellStyle="Comma [0]">
      <calculatedColumnFormula>[Hasil Prod / hari]/[Semen]</calculatedColumnFormula>
    </tableColumn>
    <tableColumn id="3" name="Hpp per pcs" dataDxfId="193" dataCellStyle="Comma [0]">
      <calculatedColumnFormula>C78/Table36[[#This Row],[Hasil Prod / hari]]</calculatedColumnFormula>
    </tableColumn>
    <tableColumn id="4" name="Hpp per mtr" dataDxfId="192" dataCellStyle="Comma [0]">
      <calculatedColumnFormula>Table36[[#This Row],[Hpp per pcs]]*44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8" name="Table159" displayName="Table159" ref="A39:C45" totalsRowShown="0" headerRowDxfId="191" dataDxfId="190">
  <autoFilter ref="A39:C45"/>
  <tableColumns count="3">
    <tableColumn id="1" name="Bahan" dataDxfId="189"/>
    <tableColumn id="2" name="Biaya per zak" dataDxfId="188"/>
    <tableColumn id="3" name="Biaya per hari" dataDxfId="18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9" name="Table3610" displayName="Table3610" ref="E39:I40" totalsRowShown="0" headerRowDxfId="186" dataDxfId="185">
  <autoFilter ref="E39:I40">
    <filterColumn colId="2"/>
  </autoFilter>
  <tableColumns count="5">
    <tableColumn id="1" name="Semen" dataDxfId="184"/>
    <tableColumn id="2" name="Hasil Prod / hari" dataDxfId="183" dataCellStyle="Comma [0]"/>
    <tableColumn id="5" name="Hasil Prod /zak" dataDxfId="182" dataCellStyle="Comma [0]">
      <calculatedColumnFormula>[Hasil Prod / hari]/[Semen]</calculatedColumnFormula>
    </tableColumn>
    <tableColumn id="3" name="Hpp per pcs" dataDxfId="181" dataCellStyle="Comma [0]">
      <calculatedColumnFormula>C45/Table3610[[#This Row],[Hasil Prod / hari]]</calculatedColumnFormula>
    </tableColumn>
    <tableColumn id="4" name="Hpp per mtr" dataDxfId="180" dataCellStyle="Comma [0]">
      <calculatedColumnFormula>Table3610[[#This Row],[Hpp per pcs]]*43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Table1511" displayName="Table1511" ref="A82:C88" totalsRowShown="0" headerRowDxfId="179" dataDxfId="178">
  <autoFilter ref="A82:C88"/>
  <tableColumns count="3">
    <tableColumn id="1" name="Bahan" dataDxfId="177"/>
    <tableColumn id="2" name="Biaya per zak" dataDxfId="176"/>
    <tableColumn id="3" name="Biaya per hari" dataDxfId="17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1" name="Table3612" displayName="Table3612" ref="E82:I83" totalsRowShown="0" headerRowDxfId="174" dataDxfId="173">
  <autoFilter ref="E82:I83"/>
  <tableColumns count="5">
    <tableColumn id="1" name="Semen" dataDxfId="172"/>
    <tableColumn id="2" name="Hasil Prod / hari" dataDxfId="171" dataCellStyle="Comma [0]"/>
    <tableColumn id="5" name="Hasil Prod / zak" dataDxfId="170" dataCellStyle="Comma [0]">
      <calculatedColumnFormula>[Hasil Prod / hari]/[Semen]</calculatedColumnFormula>
    </tableColumn>
    <tableColumn id="3" name="Hpp per pcs" dataDxfId="169" dataCellStyle="Comma [0]">
      <calculatedColumnFormula>C88/Table3612[[#This Row],[Hasil Prod / hari]]</calculatedColumnFormula>
    </tableColumn>
    <tableColumn id="4" name="Hpp per mtr" dataDxfId="168" dataCellStyle="Comma [0]">
      <calculatedColumnFormula>Table3612[[#This Row],[Hpp per pcs]]*43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2" name="Table151113" displayName="Table151113" ref="A103:C109" totalsRowShown="0" headerRowDxfId="167" dataDxfId="166">
  <autoFilter ref="A103:C109"/>
  <tableColumns count="3">
    <tableColumn id="1" name="Bahan" dataDxfId="165"/>
    <tableColumn id="2" name="Biaya per zak" dataDxfId="164"/>
    <tableColumn id="3" name="Biaya per hari" dataDxfId="16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1"/>
  <sheetViews>
    <sheetView tabSelected="1" workbookViewId="0">
      <pane ySplit="3" topLeftCell="A4" activePane="bottomLeft" state="frozen"/>
      <selection pane="bottomLeft" activeCell="L175" sqref="L175"/>
    </sheetView>
  </sheetViews>
  <sheetFormatPr defaultRowHeight="15"/>
  <cols>
    <col min="1" max="1" width="13.140625" style="3" customWidth="1"/>
    <col min="2" max="2" width="15.140625" style="3" customWidth="1"/>
    <col min="3" max="3" width="16.5703125" style="3" customWidth="1"/>
    <col min="4" max="5" width="11" style="3" customWidth="1"/>
    <col min="6" max="6" width="17.7109375" style="3" customWidth="1"/>
    <col min="7" max="7" width="16.7109375" style="3" customWidth="1"/>
    <col min="8" max="8" width="13.85546875" style="3" bestFit="1" customWidth="1"/>
    <col min="9" max="9" width="14.28515625" style="3" customWidth="1"/>
    <col min="10" max="10" width="9.140625" style="3"/>
    <col min="11" max="11" width="10.5703125" style="3" bestFit="1" customWidth="1"/>
    <col min="12" max="16384" width="9.140625" style="3"/>
  </cols>
  <sheetData>
    <row r="1" spans="1:9">
      <c r="A1" s="3" t="s">
        <v>31</v>
      </c>
      <c r="C1" s="7">
        <v>42999.865752901744</v>
      </c>
      <c r="E1" s="3" t="s">
        <v>29</v>
      </c>
    </row>
    <row r="2" spans="1:9">
      <c r="A2" s="3" t="s">
        <v>30</v>
      </c>
      <c r="C2" s="3">
        <v>90</v>
      </c>
    </row>
    <row r="3" spans="1:9">
      <c r="A3" s="3" t="s">
        <v>32</v>
      </c>
      <c r="C3" s="3">
        <v>120</v>
      </c>
    </row>
    <row r="6" spans="1:9" ht="18.75">
      <c r="A6" s="4" t="s">
        <v>27</v>
      </c>
      <c r="E6" s="4" t="s">
        <v>7</v>
      </c>
    </row>
    <row r="7" spans="1:9">
      <c r="A7" s="3" t="s">
        <v>5</v>
      </c>
      <c r="B7" s="5" t="s">
        <v>11</v>
      </c>
      <c r="C7" s="3" t="s">
        <v>12</v>
      </c>
      <c r="D7" s="6"/>
      <c r="E7" s="3" t="s">
        <v>2</v>
      </c>
      <c r="F7" s="3" t="s">
        <v>8</v>
      </c>
      <c r="G7" s="3" t="s">
        <v>15</v>
      </c>
      <c r="H7" s="3" t="s">
        <v>9</v>
      </c>
      <c r="I7" s="3" t="s">
        <v>10</v>
      </c>
    </row>
    <row r="8" spans="1:9">
      <c r="A8" s="3" t="s">
        <v>0</v>
      </c>
      <c r="B8" s="7">
        <f>8*32*C2</f>
        <v>23040</v>
      </c>
      <c r="C8" s="7">
        <f t="shared" ref="C8:C13" si="0">B8*$E$8</f>
        <v>783360</v>
      </c>
      <c r="D8" s="8"/>
      <c r="E8" s="1">
        <v>34</v>
      </c>
      <c r="F8" s="2">
        <v>4524</v>
      </c>
      <c r="G8" s="7">
        <f>[Hasil Prod / hari]/[Semen]</f>
        <v>133.05882352941177</v>
      </c>
      <c r="H8" s="7">
        <f>C14/Table361025[[#This Row],[Hasil Prod / hari]]</f>
        <v>782.27907948688312</v>
      </c>
      <c r="I8" s="9">
        <f>Table361025[[#This Row],[Hpp per pcs]]*43</f>
        <v>33638.000417935975</v>
      </c>
    </row>
    <row r="9" spans="1:9">
      <c r="A9" s="3" t="s">
        <v>1</v>
      </c>
      <c r="B9" s="7">
        <f>3*32*C3</f>
        <v>11520</v>
      </c>
      <c r="C9" s="7">
        <f t="shared" si="0"/>
        <v>391680</v>
      </c>
      <c r="D9" s="10"/>
    </row>
    <row r="10" spans="1:9">
      <c r="A10" s="3" t="s">
        <v>2</v>
      </c>
      <c r="B10" s="7">
        <f>C1</f>
        <v>42999.865752901744</v>
      </c>
      <c r="C10" s="7">
        <f t="shared" si="0"/>
        <v>1461995.4355986593</v>
      </c>
    </row>
    <row r="11" spans="1:9">
      <c r="A11" s="3" t="s">
        <v>3</v>
      </c>
      <c r="B11" s="7">
        <f>115*Table361025[Hasil Prod /zak]</f>
        <v>15301.764705882353</v>
      </c>
      <c r="C11" s="7">
        <f t="shared" si="0"/>
        <v>520260</v>
      </c>
    </row>
    <row r="12" spans="1:9">
      <c r="A12" s="3" t="s">
        <v>4</v>
      </c>
      <c r="B12" s="7">
        <f>24*Table361025[Hasil Prod /zak]</f>
        <v>3193.4117647058824</v>
      </c>
      <c r="C12" s="7">
        <f t="shared" si="0"/>
        <v>108576</v>
      </c>
    </row>
    <row r="13" spans="1:9">
      <c r="A13" s="3" t="s">
        <v>13</v>
      </c>
      <c r="B13" s="7">
        <f>60.38*Table361025[Hasil Prod /zak]</f>
        <v>8034.0917647058832</v>
      </c>
      <c r="C13" s="7">
        <f t="shared" si="0"/>
        <v>273159.12000000005</v>
      </c>
    </row>
    <row r="14" spans="1:9">
      <c r="A14" s="11" t="s">
        <v>6</v>
      </c>
      <c r="B14" s="12">
        <f>SUM(B8:B13)</f>
        <v>104089.13398819586</v>
      </c>
      <c r="C14" s="12">
        <f>SUM(C8:C13)</f>
        <v>3539030.5555986594</v>
      </c>
    </row>
    <row r="17" spans="1:9" ht="18.75">
      <c r="A17" s="4" t="s">
        <v>35</v>
      </c>
      <c r="E17" s="4" t="s">
        <v>7</v>
      </c>
    </row>
    <row r="18" spans="1:9">
      <c r="A18" s="3" t="s">
        <v>5</v>
      </c>
      <c r="B18" s="5" t="s">
        <v>11</v>
      </c>
      <c r="C18" s="3" t="s">
        <v>12</v>
      </c>
      <c r="D18" s="6"/>
      <c r="E18" s="3" t="s">
        <v>2</v>
      </c>
      <c r="F18" s="3" t="s">
        <v>8</v>
      </c>
      <c r="G18" s="3" t="s">
        <v>15</v>
      </c>
      <c r="H18" s="3" t="s">
        <v>9</v>
      </c>
      <c r="I18" s="3" t="s">
        <v>10</v>
      </c>
    </row>
    <row r="19" spans="1:9">
      <c r="A19" s="3" t="s">
        <v>0</v>
      </c>
      <c r="B19" s="7">
        <f>8*32*C2</f>
        <v>23040</v>
      </c>
      <c r="C19" s="7">
        <f>B19*$E$19</f>
        <v>852480</v>
      </c>
      <c r="D19" s="8"/>
      <c r="E19" s="1">
        <v>37</v>
      </c>
      <c r="F19" s="2">
        <v>4764</v>
      </c>
      <c r="G19" s="7">
        <f>[Hasil Prod / hari]/[Semen]</f>
        <v>128.75675675675674</v>
      </c>
      <c r="H19" s="7">
        <f>C24/Table36102529[[#This Row],[Hasil Prod / hari]]</f>
        <v>721.37511185083213</v>
      </c>
      <c r="I19" s="9">
        <f>Table36102529[[#This Row],[Hpp per pcs]]*43</f>
        <v>31019.129809585782</v>
      </c>
    </row>
    <row r="20" spans="1:9">
      <c r="A20" s="3" t="s">
        <v>1</v>
      </c>
      <c r="B20" s="7">
        <f>3*32*C3</f>
        <v>11520</v>
      </c>
      <c r="C20" s="7">
        <f>B20*$E$19</f>
        <v>426240</v>
      </c>
      <c r="D20" s="10"/>
    </row>
    <row r="21" spans="1:9">
      <c r="A21" s="3" t="s">
        <v>2</v>
      </c>
      <c r="B21" s="7">
        <f>C1</f>
        <v>42999.865752901744</v>
      </c>
      <c r="C21" s="7">
        <f>B21*$E$19</f>
        <v>1590995.0328573645</v>
      </c>
    </row>
    <row r="22" spans="1:9">
      <c r="A22" s="3" t="s">
        <v>3</v>
      </c>
      <c r="B22" s="7">
        <f>95*Table36102529[Hasil Prod /zak]</f>
        <v>12231.89189189189</v>
      </c>
      <c r="C22" s="7">
        <f>B22*$E$19</f>
        <v>452579.99999999994</v>
      </c>
    </row>
    <row r="23" spans="1:9">
      <c r="A23" s="3" t="s">
        <v>4</v>
      </c>
      <c r="B23" s="7">
        <f>24*Table36102529[Hasil Prod /zak]</f>
        <v>3090.1621621621616</v>
      </c>
      <c r="C23" s="7">
        <f>B23*$E$19</f>
        <v>114335.99999999999</v>
      </c>
    </row>
    <row r="24" spans="1:9">
      <c r="A24" s="11" t="s">
        <v>6</v>
      </c>
      <c r="B24" s="12">
        <f>SUM(B19:B23)</f>
        <v>92881.91980695579</v>
      </c>
      <c r="C24" s="12">
        <f>SUM(C19:C23)</f>
        <v>3436631.0328573645</v>
      </c>
      <c r="F24" s="13"/>
      <c r="G24" s="14"/>
    </row>
    <row r="25" spans="1:9">
      <c r="F25" s="13"/>
    </row>
    <row r="27" spans="1:9" ht="18.75">
      <c r="A27" s="4" t="s">
        <v>28</v>
      </c>
      <c r="E27" s="4" t="s">
        <v>7</v>
      </c>
    </row>
    <row r="28" spans="1:9">
      <c r="A28" s="3" t="s">
        <v>5</v>
      </c>
      <c r="B28" s="5" t="s">
        <v>11</v>
      </c>
      <c r="C28" s="3" t="s">
        <v>12</v>
      </c>
      <c r="D28" s="6"/>
      <c r="E28" s="3" t="s">
        <v>2</v>
      </c>
      <c r="F28" s="3" t="s">
        <v>8</v>
      </c>
      <c r="G28" s="3" t="s">
        <v>15</v>
      </c>
      <c r="H28" s="3" t="s">
        <v>9</v>
      </c>
      <c r="I28" s="3" t="s">
        <v>10</v>
      </c>
    </row>
    <row r="29" spans="1:9">
      <c r="A29" s="3" t="s">
        <v>0</v>
      </c>
      <c r="B29" s="7">
        <f>13*32*C2</f>
        <v>37440</v>
      </c>
      <c r="C29" s="7">
        <f t="shared" ref="C29:C34" si="1">B29*$E$29</f>
        <v>1872000</v>
      </c>
      <c r="D29" s="8"/>
      <c r="E29" s="1">
        <v>50</v>
      </c>
      <c r="F29" s="2">
        <v>8160</v>
      </c>
      <c r="G29" s="7">
        <f>[Hasil Prod / hari]/[Semen]</f>
        <v>163.19999999999999</v>
      </c>
      <c r="H29" s="7">
        <f>C35/Table36102523[[#This Row],[Hasil Prod / hari]]</f>
        <v>739.33015779964296</v>
      </c>
      <c r="I29" s="9">
        <f>Table36102523[[#This Row],[Hpp per pcs]]*43</f>
        <v>31791.196785384647</v>
      </c>
    </row>
    <row r="30" spans="1:9">
      <c r="A30" s="3" t="s">
        <v>1</v>
      </c>
      <c r="B30" s="7">
        <f>2*32*C3</f>
        <v>7680</v>
      </c>
      <c r="C30" s="7">
        <f t="shared" si="1"/>
        <v>384000</v>
      </c>
      <c r="D30" s="10"/>
    </row>
    <row r="31" spans="1:9">
      <c r="A31" s="3" t="s">
        <v>2</v>
      </c>
      <c r="B31" s="7">
        <f>C1</f>
        <v>42999.865752901744</v>
      </c>
      <c r="C31" s="7">
        <f t="shared" si="1"/>
        <v>2149993.2876450871</v>
      </c>
    </row>
    <row r="32" spans="1:9">
      <c r="A32" s="3" t="s">
        <v>3</v>
      </c>
      <c r="B32" s="7">
        <f>115*Table36102523[Hasil Prod /zak]</f>
        <v>18768</v>
      </c>
      <c r="C32" s="7">
        <f t="shared" si="1"/>
        <v>938400</v>
      </c>
    </row>
    <row r="33" spans="1:9">
      <c r="A33" s="3" t="s">
        <v>4</v>
      </c>
      <c r="B33" s="7">
        <f>24*Table36102523[Hasil Prod /zak]</f>
        <v>3916.7999999999997</v>
      </c>
      <c r="C33" s="7">
        <f t="shared" si="1"/>
        <v>195840</v>
      </c>
    </row>
    <row r="34" spans="1:9">
      <c r="A34" s="3" t="s">
        <v>13</v>
      </c>
      <c r="B34" s="7">
        <f>60.38*Table36102523[Hasil Prod /zak]</f>
        <v>9854.0159999999996</v>
      </c>
      <c r="C34" s="7">
        <f t="shared" si="1"/>
        <v>492700.8</v>
      </c>
    </row>
    <row r="35" spans="1:9">
      <c r="A35" s="11" t="s">
        <v>6</v>
      </c>
      <c r="B35" s="12">
        <f>SUM(B29:B34)</f>
        <v>120658.68175290174</v>
      </c>
      <c r="C35" s="12">
        <f>SUM(C29:C34)</f>
        <v>6032934.0876450865</v>
      </c>
    </row>
    <row r="38" spans="1:9" ht="18.75">
      <c r="A38" s="4" t="s">
        <v>16</v>
      </c>
      <c r="E38" s="4" t="s">
        <v>7</v>
      </c>
    </row>
    <row r="39" spans="1:9">
      <c r="A39" s="3" t="s">
        <v>5</v>
      </c>
      <c r="B39" s="5" t="s">
        <v>11</v>
      </c>
      <c r="C39" s="3" t="s">
        <v>12</v>
      </c>
      <c r="D39" s="6"/>
      <c r="E39" s="3" t="s">
        <v>2</v>
      </c>
      <c r="F39" s="3" t="s">
        <v>8</v>
      </c>
      <c r="G39" s="3" t="s">
        <v>15</v>
      </c>
      <c r="H39" s="3" t="s">
        <v>9</v>
      </c>
      <c r="I39" s="3" t="s">
        <v>10</v>
      </c>
    </row>
    <row r="40" spans="1:9">
      <c r="A40" s="3" t="s">
        <v>0</v>
      </c>
      <c r="B40" s="7">
        <f>13*32*C2</f>
        <v>37440</v>
      </c>
      <c r="C40" s="7">
        <f>B40*$E$40</f>
        <v>1909440</v>
      </c>
      <c r="D40" s="8"/>
      <c r="E40" s="1">
        <v>51</v>
      </c>
      <c r="F40" s="2">
        <v>8664</v>
      </c>
      <c r="G40" s="7">
        <f>[Hasil Prod / hari]/[Semen]</f>
        <v>169.88235294117646</v>
      </c>
      <c r="H40" s="7">
        <f>C45/Table3610[[#This Row],[Hasil Prod / hari]]</f>
        <v>637.71112112165144</v>
      </c>
      <c r="I40" s="9">
        <f>Table3610[[#This Row],[Hpp per pcs]]*43</f>
        <v>27421.578208231011</v>
      </c>
    </row>
    <row r="41" spans="1:9">
      <c r="A41" s="3" t="s">
        <v>1</v>
      </c>
      <c r="B41" s="7">
        <f>2*32*C3</f>
        <v>7680</v>
      </c>
      <c r="C41" s="7">
        <f>B41*$E$40</f>
        <v>391680</v>
      </c>
      <c r="D41" s="10"/>
    </row>
    <row r="42" spans="1:9">
      <c r="A42" s="3" t="s">
        <v>2</v>
      </c>
      <c r="B42" s="7">
        <f>C1</f>
        <v>42999.865752901744</v>
      </c>
      <c r="C42" s="7">
        <f>B42*$E$40</f>
        <v>2192993.153397989</v>
      </c>
    </row>
    <row r="43" spans="1:9">
      <c r="A43" s="3" t="s">
        <v>3</v>
      </c>
      <c r="B43" s="7">
        <f>95*Table3610[Hasil Prod /zak]</f>
        <v>16138.823529411764</v>
      </c>
      <c r="C43" s="7">
        <f>B43*$E$40</f>
        <v>823080</v>
      </c>
    </row>
    <row r="44" spans="1:9">
      <c r="A44" s="3" t="s">
        <v>4</v>
      </c>
      <c r="B44" s="7">
        <f>24*Table3610[Hasil Prod /zak]</f>
        <v>4077.1764705882351</v>
      </c>
      <c r="C44" s="7">
        <f>B44*$E$40</f>
        <v>207936</v>
      </c>
    </row>
    <row r="45" spans="1:9">
      <c r="A45" s="11" t="s">
        <v>6</v>
      </c>
      <c r="B45" s="12">
        <f>SUM(B40:B44)</f>
        <v>108335.86575290174</v>
      </c>
      <c r="C45" s="12">
        <f>SUM(C40:C44)</f>
        <v>5525129.1533979885</v>
      </c>
    </row>
    <row r="48" spans="1:9" ht="18.75">
      <c r="A48" s="4" t="s">
        <v>37</v>
      </c>
      <c r="E48" s="4" t="s">
        <v>7</v>
      </c>
    </row>
    <row r="49" spans="1:13">
      <c r="A49" s="3" t="s">
        <v>5</v>
      </c>
      <c r="B49" s="5" t="s">
        <v>11</v>
      </c>
      <c r="C49" s="3" t="s">
        <v>12</v>
      </c>
      <c r="E49" s="3" t="s">
        <v>2</v>
      </c>
      <c r="F49" s="3" t="s">
        <v>8</v>
      </c>
      <c r="G49" s="3" t="s">
        <v>14</v>
      </c>
      <c r="H49" s="3" t="s">
        <v>9</v>
      </c>
      <c r="I49" s="3" t="s">
        <v>10</v>
      </c>
    </row>
    <row r="50" spans="1:13">
      <c r="A50" s="3" t="s">
        <v>0</v>
      </c>
      <c r="B50" s="7">
        <f>16*32*C2</f>
        <v>46080</v>
      </c>
      <c r="C50" s="7">
        <f>B50*$E$62</f>
        <v>1935360</v>
      </c>
      <c r="E50" s="1">
        <v>44</v>
      </c>
      <c r="F50" s="2">
        <v>9096</v>
      </c>
      <c r="G50" s="7">
        <f>[Hasil Prod / hari]/[Semen]</f>
        <v>206.72727272727272</v>
      </c>
      <c r="H50" s="7">
        <f>C56/Table333[[#This Row],[Hasil Prod / hari]]</f>
        <v>628.98492821860373</v>
      </c>
      <c r="I50" s="9">
        <f>Table333[[#This Row],[Hpp per pcs]]*43</f>
        <v>27046.351913399962</v>
      </c>
    </row>
    <row r="51" spans="1:13">
      <c r="A51" s="3" t="s">
        <v>1</v>
      </c>
      <c r="B51" s="7">
        <f>2*32*C3</f>
        <v>7680</v>
      </c>
      <c r="C51" s="7">
        <f>B51*$E$62</f>
        <v>322560</v>
      </c>
    </row>
    <row r="52" spans="1:13">
      <c r="A52" s="3" t="s">
        <v>2</v>
      </c>
      <c r="B52" s="7">
        <f>C1</f>
        <v>42999.865752901744</v>
      </c>
      <c r="C52" s="7">
        <f t="shared" ref="C52:C54" si="2">B52*$E$62</f>
        <v>1805994.3616218732</v>
      </c>
      <c r="F52" s="10"/>
      <c r="I52" s="10"/>
    </row>
    <row r="53" spans="1:13">
      <c r="A53" s="3" t="s">
        <v>3</v>
      </c>
      <c r="B53" s="7">
        <f>95*Table333[Hasil Prod / zak]</f>
        <v>19639.090909090908</v>
      </c>
      <c r="C53" s="7">
        <f t="shared" si="2"/>
        <v>824841.81818181812</v>
      </c>
    </row>
    <row r="54" spans="1:13">
      <c r="A54" s="3" t="s">
        <v>4</v>
      </c>
      <c r="B54" s="7">
        <f>24*Table333[Hasil Prod / zak]</f>
        <v>4961.454545454545</v>
      </c>
      <c r="C54" s="7">
        <f t="shared" si="2"/>
        <v>208381.09090909088</v>
      </c>
    </row>
    <row r="55" spans="1:13">
      <c r="A55" s="3" t="s">
        <v>13</v>
      </c>
      <c r="B55" s="7">
        <f>60.38*Table333[Hasil Prod / zak]</f>
        <v>12482.192727272728</v>
      </c>
      <c r="C55" s="7">
        <f t="shared" ref="C55" si="3">B55*$E$29</f>
        <v>624109.63636363635</v>
      </c>
    </row>
    <row r="56" spans="1:13">
      <c r="A56" s="11" t="s">
        <v>6</v>
      </c>
      <c r="B56" s="12">
        <f>SUM(B50:B55)</f>
        <v>133842.60393471993</v>
      </c>
      <c r="C56" s="12">
        <f>SUM(C50:C55)</f>
        <v>5721246.9070764193</v>
      </c>
    </row>
    <row r="60" spans="1:13" ht="18.75">
      <c r="A60" s="4" t="s">
        <v>17</v>
      </c>
      <c r="E60" s="4" t="s">
        <v>7</v>
      </c>
    </row>
    <row r="61" spans="1:13">
      <c r="A61" s="3" t="s">
        <v>5</v>
      </c>
      <c r="B61" s="5" t="s">
        <v>11</v>
      </c>
      <c r="C61" s="3" t="s">
        <v>12</v>
      </c>
      <c r="E61" s="3" t="s">
        <v>2</v>
      </c>
      <c r="F61" s="3" t="s">
        <v>8</v>
      </c>
      <c r="G61" s="3" t="s">
        <v>14</v>
      </c>
      <c r="H61" s="3" t="s">
        <v>9</v>
      </c>
      <c r="I61" s="3" t="s">
        <v>10</v>
      </c>
    </row>
    <row r="62" spans="1:13">
      <c r="A62" s="3" t="s">
        <v>0</v>
      </c>
      <c r="B62" s="7">
        <f>16*32*C2</f>
        <v>46080</v>
      </c>
      <c r="C62" s="7">
        <f>B62*$E$62</f>
        <v>1935360</v>
      </c>
      <c r="E62" s="1">
        <v>42</v>
      </c>
      <c r="F62" s="2">
        <v>8460</v>
      </c>
      <c r="G62" s="7">
        <f>[Hasil Prod / hari]/[Semen]</f>
        <v>201.42857142857142</v>
      </c>
      <c r="H62" s="7">
        <f>C67/Table3[[#This Row],[Hasil Prod / hari]]</f>
        <v>599.36812785128529</v>
      </c>
      <c r="I62" s="9">
        <f>Table3[[#This Row],[Hpp per pcs]]*43</f>
        <v>25772.829497605268</v>
      </c>
    </row>
    <row r="63" spans="1:13">
      <c r="A63" s="3" t="s">
        <v>1</v>
      </c>
      <c r="B63" s="7">
        <f>2*32*C3</f>
        <v>7680</v>
      </c>
      <c r="C63" s="7">
        <f>B63*$E$62</f>
        <v>322560</v>
      </c>
    </row>
    <row r="64" spans="1:13">
      <c r="A64" s="3" t="s">
        <v>2</v>
      </c>
      <c r="B64" s="7">
        <f>C1</f>
        <v>42999.865752901744</v>
      </c>
      <c r="C64" s="7">
        <f t="shared" ref="C64:C66" si="4">B64*$E$62</f>
        <v>1805994.3616218732</v>
      </c>
      <c r="F64" s="10"/>
      <c r="I64" s="10"/>
      <c r="L64" s="10"/>
      <c r="M64" s="10">
        <f>L64*43</f>
        <v>0</v>
      </c>
    </row>
    <row r="65" spans="1:9">
      <c r="A65" s="3" t="s">
        <v>3</v>
      </c>
      <c r="B65" s="7">
        <f>95*Table3[Hasil Prod / zak]</f>
        <v>19135.714285714286</v>
      </c>
      <c r="C65" s="7">
        <f t="shared" si="4"/>
        <v>803700</v>
      </c>
    </row>
    <row r="66" spans="1:9">
      <c r="A66" s="3" t="s">
        <v>4</v>
      </c>
      <c r="B66" s="7">
        <f>24*Table3[Hasil Prod / zak]</f>
        <v>4834.2857142857138</v>
      </c>
      <c r="C66" s="7">
        <f t="shared" si="4"/>
        <v>203039.99999999997</v>
      </c>
    </row>
    <row r="67" spans="1:9">
      <c r="A67" s="11" t="s">
        <v>6</v>
      </c>
      <c r="B67" s="12">
        <f>SUM(B62:B66)</f>
        <v>120729.86575290174</v>
      </c>
      <c r="C67" s="12">
        <f>SUM(C62:C66)</f>
        <v>5070654.3616218735</v>
      </c>
    </row>
    <row r="70" spans="1:9" ht="18.75">
      <c r="A70" s="4" t="s">
        <v>18</v>
      </c>
      <c r="E70" s="4" t="s">
        <v>7</v>
      </c>
    </row>
    <row r="71" spans="1:9">
      <c r="A71" s="3" t="s">
        <v>5</v>
      </c>
      <c r="B71" s="5" t="s">
        <v>11</v>
      </c>
      <c r="C71" s="3" t="s">
        <v>12</v>
      </c>
      <c r="D71" s="6"/>
      <c r="E71" s="3" t="s">
        <v>2</v>
      </c>
      <c r="F71" s="3" t="s">
        <v>8</v>
      </c>
      <c r="G71" s="3" t="s">
        <v>14</v>
      </c>
      <c r="H71" s="3" t="s">
        <v>9</v>
      </c>
      <c r="I71" s="3" t="s">
        <v>10</v>
      </c>
    </row>
    <row r="72" spans="1:9">
      <c r="A72" s="3" t="s">
        <v>0</v>
      </c>
      <c r="B72" s="7">
        <f>8*32*C2</f>
        <v>23040</v>
      </c>
      <c r="C72" s="7">
        <f>B72*$E$72</f>
        <v>1866240</v>
      </c>
      <c r="D72" s="8"/>
      <c r="E72" s="1">
        <v>81</v>
      </c>
      <c r="F72" s="2">
        <v>7656</v>
      </c>
      <c r="G72" s="7">
        <f>[Hasil Prod / hari]/[Semen]</f>
        <v>94.518518518518519</v>
      </c>
      <c r="H72" s="7">
        <f>C78/Table36[[#This Row],[Hasil Prod / hari]]</f>
        <v>1054.9585169781924</v>
      </c>
      <c r="I72" s="9">
        <f>Table36[[#This Row],[Hpp per pcs]]*44</f>
        <v>46418.174747040466</v>
      </c>
    </row>
    <row r="73" spans="1:9">
      <c r="A73" s="3" t="s">
        <v>1</v>
      </c>
      <c r="B73" s="7">
        <f>3*32*C3</f>
        <v>11520</v>
      </c>
      <c r="C73" s="7">
        <f t="shared" ref="C73:C77" si="5">B73*$E$72</f>
        <v>933120</v>
      </c>
      <c r="D73" s="10"/>
    </row>
    <row r="74" spans="1:9">
      <c r="A74" s="3" t="s">
        <v>2</v>
      </c>
      <c r="B74" s="7">
        <f>C1</f>
        <v>42999.865752901744</v>
      </c>
      <c r="C74" s="7">
        <f t="shared" si="5"/>
        <v>3482989.1259850413</v>
      </c>
    </row>
    <row r="75" spans="1:9">
      <c r="A75" s="3" t="s">
        <v>3</v>
      </c>
      <c r="B75" s="7">
        <f>150*Table36[Hasil Prod / zak]</f>
        <v>14177.777777777777</v>
      </c>
      <c r="C75" s="7">
        <f t="shared" si="5"/>
        <v>1148400</v>
      </c>
    </row>
    <row r="76" spans="1:9">
      <c r="A76" s="3" t="s">
        <v>4</v>
      </c>
      <c r="B76" s="7">
        <f>24*Table36[Hasil Prod / zak]</f>
        <v>2268.4444444444443</v>
      </c>
      <c r="C76" s="7">
        <f t="shared" si="5"/>
        <v>183744</v>
      </c>
    </row>
    <row r="77" spans="1:9">
      <c r="A77" s="3" t="s">
        <v>13</v>
      </c>
      <c r="B77" s="7">
        <f>60.38*Table36[Hasil Prod / zak]</f>
        <v>5707.0281481481488</v>
      </c>
      <c r="C77" s="7">
        <f t="shared" si="5"/>
        <v>462269.28</v>
      </c>
    </row>
    <row r="78" spans="1:9">
      <c r="A78" s="11" t="s">
        <v>6</v>
      </c>
      <c r="B78" s="12">
        <f>SUM(B72:B77)</f>
        <v>99713.116123272106</v>
      </c>
      <c r="C78" s="12">
        <f>SUM(C72:C77)</f>
        <v>8076762.4059850415</v>
      </c>
    </row>
    <row r="81" spans="1:9" ht="18.75">
      <c r="A81" s="4" t="s">
        <v>19</v>
      </c>
      <c r="E81" s="4" t="s">
        <v>7</v>
      </c>
    </row>
    <row r="82" spans="1:9">
      <c r="A82" s="3" t="s">
        <v>5</v>
      </c>
      <c r="B82" s="5" t="s">
        <v>11</v>
      </c>
      <c r="C82" s="3" t="s">
        <v>12</v>
      </c>
      <c r="D82" s="6"/>
      <c r="E82" s="3" t="s">
        <v>2</v>
      </c>
      <c r="F82" s="3" t="s">
        <v>8</v>
      </c>
      <c r="G82" s="3" t="s">
        <v>14</v>
      </c>
      <c r="H82" s="3" t="s">
        <v>9</v>
      </c>
      <c r="I82" s="3" t="s">
        <v>10</v>
      </c>
    </row>
    <row r="83" spans="1:9">
      <c r="A83" s="3" t="s">
        <v>0</v>
      </c>
      <c r="B83" s="7">
        <f>8*32*C2</f>
        <v>23040</v>
      </c>
      <c r="C83" s="7">
        <f>B83*$E$83</f>
        <v>2096640</v>
      </c>
      <c r="D83" s="8"/>
      <c r="E83" s="1">
        <v>91</v>
      </c>
      <c r="F83" s="2">
        <v>8592</v>
      </c>
      <c r="G83" s="7">
        <f>[Hasil Prod / hari]/[Semen]</f>
        <v>94.417582417582423</v>
      </c>
      <c r="H83" s="7">
        <f>C88/Table3612[[#This Row],[Hasil Prod / hari]]</f>
        <v>970.45574761569583</v>
      </c>
      <c r="I83" s="9">
        <f>Table3612[[#This Row],[Hpp per pcs]]*43</f>
        <v>41729.597147474924</v>
      </c>
    </row>
    <row r="84" spans="1:9">
      <c r="A84" s="3" t="s">
        <v>1</v>
      </c>
      <c r="B84" s="7">
        <f>3*32*C3</f>
        <v>11520</v>
      </c>
      <c r="C84" s="7">
        <f>B84*$E$83</f>
        <v>1048320</v>
      </c>
      <c r="D84" s="10"/>
    </row>
    <row r="85" spans="1:9">
      <c r="A85" s="3" t="s">
        <v>2</v>
      </c>
      <c r="B85" s="7">
        <f>C1</f>
        <v>42999.865752901744</v>
      </c>
      <c r="C85" s="7">
        <f>B85*$E$83</f>
        <v>3912987.7835140587</v>
      </c>
    </row>
    <row r="86" spans="1:9">
      <c r="A86" s="3" t="s">
        <v>3</v>
      </c>
      <c r="B86" s="7">
        <f>125*Table3612[Hasil Prod / zak]</f>
        <v>11802.197802197803</v>
      </c>
      <c r="C86" s="7">
        <f>B86*$E$83</f>
        <v>1074000</v>
      </c>
    </row>
    <row r="87" spans="1:9">
      <c r="A87" s="3" t="s">
        <v>4</v>
      </c>
      <c r="B87" s="7">
        <f>24*Table3612[Hasil Prod / zak]</f>
        <v>2266.0219780219782</v>
      </c>
      <c r="C87" s="7">
        <f>B87*$E$83</f>
        <v>206208</v>
      </c>
    </row>
    <row r="88" spans="1:9">
      <c r="A88" s="11" t="s">
        <v>6</v>
      </c>
      <c r="B88" s="12">
        <f>SUM(B83:B87)</f>
        <v>91628.085533121513</v>
      </c>
      <c r="C88" s="12">
        <f>SUM(C83:C87)</f>
        <v>8338155.7835140582</v>
      </c>
    </row>
    <row r="91" spans="1:9" ht="18.75">
      <c r="A91" s="4" t="s">
        <v>36</v>
      </c>
      <c r="E91" s="4" t="s">
        <v>7</v>
      </c>
    </row>
    <row r="92" spans="1:9">
      <c r="A92" s="3" t="s">
        <v>5</v>
      </c>
      <c r="B92" s="5" t="s">
        <v>11</v>
      </c>
      <c r="C92" s="3" t="s">
        <v>12</v>
      </c>
      <c r="D92" s="6"/>
      <c r="E92" s="3" t="s">
        <v>2</v>
      </c>
      <c r="F92" s="3" t="s">
        <v>8</v>
      </c>
      <c r="G92" s="3" t="s">
        <v>14</v>
      </c>
      <c r="H92" s="3" t="s">
        <v>9</v>
      </c>
      <c r="I92" s="3" t="s">
        <v>10</v>
      </c>
    </row>
    <row r="93" spans="1:9">
      <c r="A93" s="3" t="s">
        <v>0</v>
      </c>
      <c r="B93" s="7">
        <f>13*32*C2</f>
        <v>37440</v>
      </c>
      <c r="C93" s="7">
        <f t="shared" ref="C93:C98" si="6">B93*$E$93</f>
        <v>2059200</v>
      </c>
      <c r="D93" s="8"/>
      <c r="E93" s="1">
        <v>55</v>
      </c>
      <c r="F93" s="2">
        <v>6864</v>
      </c>
      <c r="G93" s="7">
        <f>[Hasil Prod / hari]/[Semen]</f>
        <v>124.8</v>
      </c>
      <c r="H93" s="7">
        <f>C99/Table3631[[#This Row],[Hasil Prod / hari]]</f>
        <v>940.46866789184094</v>
      </c>
      <c r="I93" s="9">
        <f>Table3631[[#This Row],[Hpp per pcs]]*44</f>
        <v>41380.621387241001</v>
      </c>
    </row>
    <row r="94" spans="1:9">
      <c r="A94" s="3" t="s">
        <v>1</v>
      </c>
      <c r="B94" s="7">
        <f>2*32*C3</f>
        <v>7680</v>
      </c>
      <c r="C94" s="7">
        <f t="shared" si="6"/>
        <v>422400</v>
      </c>
      <c r="D94" s="10"/>
    </row>
    <row r="95" spans="1:9">
      <c r="A95" s="3" t="s">
        <v>2</v>
      </c>
      <c r="B95" s="7">
        <f>C1</f>
        <v>42999.865752901744</v>
      </c>
      <c r="C95" s="7">
        <f t="shared" si="6"/>
        <v>2364992.6164095961</v>
      </c>
    </row>
    <row r="96" spans="1:9">
      <c r="A96" s="3" t="s">
        <v>3</v>
      </c>
      <c r="B96" s="7">
        <f>150*Table3631[Hasil Prod / zak]</f>
        <v>18720</v>
      </c>
      <c r="C96" s="7">
        <f t="shared" si="6"/>
        <v>1029600</v>
      </c>
    </row>
    <row r="97" spans="1:9">
      <c r="A97" s="3" t="s">
        <v>4</v>
      </c>
      <c r="B97" s="7">
        <f>24*Table3631[Hasil Prod / zak]</f>
        <v>2995.2</v>
      </c>
      <c r="C97" s="7">
        <f t="shared" si="6"/>
        <v>164736</v>
      </c>
    </row>
    <row r="98" spans="1:9">
      <c r="A98" s="3" t="s">
        <v>13</v>
      </c>
      <c r="B98" s="7">
        <f>60.38*Table3631[Hasil Prod / zak]</f>
        <v>7535.424</v>
      </c>
      <c r="C98" s="7">
        <f t="shared" si="6"/>
        <v>414448.32</v>
      </c>
    </row>
    <row r="99" spans="1:9">
      <c r="A99" s="11" t="s">
        <v>6</v>
      </c>
      <c r="B99" s="12">
        <f>SUM(B93:B98)</f>
        <v>117370.48975290173</v>
      </c>
      <c r="C99" s="12">
        <f>SUM(C93:C98)</f>
        <v>6455376.9364095964</v>
      </c>
    </row>
    <row r="102" spans="1:9" ht="18.75">
      <c r="A102" s="4" t="s">
        <v>20</v>
      </c>
      <c r="E102" s="4" t="s">
        <v>7</v>
      </c>
    </row>
    <row r="103" spans="1:9">
      <c r="A103" s="3" t="s">
        <v>5</v>
      </c>
      <c r="B103" s="5" t="s">
        <v>11</v>
      </c>
      <c r="C103" s="3" t="s">
        <v>12</v>
      </c>
      <c r="D103" s="6"/>
      <c r="E103" s="3" t="s">
        <v>2</v>
      </c>
      <c r="F103" s="3" t="s">
        <v>8</v>
      </c>
      <c r="G103" s="3" t="s">
        <v>14</v>
      </c>
      <c r="H103" s="3" t="s">
        <v>9</v>
      </c>
      <c r="I103" s="3" t="s">
        <v>10</v>
      </c>
    </row>
    <row r="104" spans="1:9">
      <c r="A104" s="3" t="s">
        <v>0</v>
      </c>
      <c r="B104" s="7">
        <f>13*32*C2</f>
        <v>37440</v>
      </c>
      <c r="C104" s="7">
        <f>B104*$E$104</f>
        <v>2246400</v>
      </c>
      <c r="D104" s="8"/>
      <c r="E104" s="1">
        <v>60</v>
      </c>
      <c r="F104" s="2">
        <v>7656</v>
      </c>
      <c r="G104" s="7">
        <f>[Hasil Prod / hari]/[Semen]</f>
        <v>127.6</v>
      </c>
      <c r="H104" s="7">
        <f>C109/Table361214[[#This Row],[Hasil Prod / hari]]</f>
        <v>839.59455919201991</v>
      </c>
      <c r="I104" s="9">
        <f>Table361214[[#This Row],[Hpp per pcs]]*43</f>
        <v>36102.566045256855</v>
      </c>
    </row>
    <row r="105" spans="1:9">
      <c r="A105" s="3" t="s">
        <v>1</v>
      </c>
      <c r="B105" s="7">
        <f>2*32*C3</f>
        <v>7680</v>
      </c>
      <c r="C105" s="7">
        <f>B105*$E$104</f>
        <v>460800</v>
      </c>
      <c r="D105" s="10"/>
    </row>
    <row r="106" spans="1:9">
      <c r="A106" s="3" t="s">
        <v>2</v>
      </c>
      <c r="B106" s="7">
        <f>C1</f>
        <v>42999.865752901744</v>
      </c>
      <c r="C106" s="7">
        <f>B106*$E$104</f>
        <v>2579991.9451741045</v>
      </c>
    </row>
    <row r="107" spans="1:9">
      <c r="A107" s="3" t="s">
        <v>3</v>
      </c>
      <c r="B107" s="7">
        <f>125*Table361214[Hasil Prod / zak]</f>
        <v>15950</v>
      </c>
      <c r="C107" s="7">
        <f>B107*$E$104</f>
        <v>957000</v>
      </c>
    </row>
    <row r="108" spans="1:9">
      <c r="A108" s="3" t="s">
        <v>4</v>
      </c>
      <c r="B108" s="7">
        <f>24*Table361214[Hasil Prod / zak]</f>
        <v>3062.3999999999996</v>
      </c>
      <c r="C108" s="7">
        <f>B108*$E$104</f>
        <v>183743.99999999997</v>
      </c>
    </row>
    <row r="109" spans="1:9">
      <c r="A109" s="11" t="s">
        <v>6</v>
      </c>
      <c r="B109" s="12">
        <f>SUM(B104:B108)</f>
        <v>107132.26575290173</v>
      </c>
      <c r="C109" s="12">
        <f>SUM(C104:C108)</f>
        <v>6427935.9451741045</v>
      </c>
    </row>
    <row r="112" spans="1:9" ht="18.75">
      <c r="A112" s="4" t="s">
        <v>21</v>
      </c>
      <c r="E112" s="4" t="s">
        <v>7</v>
      </c>
    </row>
    <row r="113" spans="1:9">
      <c r="A113" s="3" t="s">
        <v>5</v>
      </c>
      <c r="B113" s="5" t="s">
        <v>11</v>
      </c>
      <c r="C113" s="3" t="s">
        <v>12</v>
      </c>
      <c r="D113" s="6"/>
      <c r="E113" s="3" t="s">
        <v>2</v>
      </c>
      <c r="F113" s="3" t="s">
        <v>8</v>
      </c>
      <c r="G113" s="3" t="s">
        <v>14</v>
      </c>
      <c r="H113" s="3" t="s">
        <v>9</v>
      </c>
      <c r="I113" s="3" t="s">
        <v>10</v>
      </c>
    </row>
    <row r="114" spans="1:9">
      <c r="A114" s="3" t="s">
        <v>0</v>
      </c>
      <c r="B114" s="7">
        <f>16*32*C2</f>
        <v>46080</v>
      </c>
      <c r="C114" s="7">
        <f>B114*$E$114</f>
        <v>92160</v>
      </c>
      <c r="D114" s="8"/>
      <c r="E114" s="1">
        <v>2</v>
      </c>
      <c r="F114" s="2">
        <v>360</v>
      </c>
      <c r="G114" s="7">
        <f>[Hasil Prod / hari]/[Semen]</f>
        <v>180</v>
      </c>
      <c r="H114" s="7">
        <f>C119/Table36121416[[#This Row],[Hasil Prod / hari]]</f>
        <v>686.55480973834301</v>
      </c>
      <c r="I114" s="9">
        <f>Table36121416[[#This Row],[Hpp per pcs]]*43</f>
        <v>29521.856818748751</v>
      </c>
    </row>
    <row r="115" spans="1:9">
      <c r="A115" s="3" t="s">
        <v>1</v>
      </c>
      <c r="B115" s="7">
        <f>2*32*C3</f>
        <v>7680</v>
      </c>
      <c r="C115" s="7">
        <f>B115*$E$114</f>
        <v>15360</v>
      </c>
      <c r="D115" s="10"/>
    </row>
    <row r="116" spans="1:9">
      <c r="A116" s="3" t="s">
        <v>2</v>
      </c>
      <c r="B116" s="7">
        <f>C1</f>
        <v>42999.865752901744</v>
      </c>
      <c r="C116" s="7">
        <f>B116*$E$114</f>
        <v>85999.731505803487</v>
      </c>
    </row>
    <row r="117" spans="1:9">
      <c r="A117" s="3" t="s">
        <v>3</v>
      </c>
      <c r="B117" s="7">
        <f>125*Table36121416[Hasil Prod / zak]</f>
        <v>22500</v>
      </c>
      <c r="C117" s="7">
        <f>B117*$E$114</f>
        <v>45000</v>
      </c>
    </row>
    <row r="118" spans="1:9">
      <c r="A118" s="3" t="s">
        <v>4</v>
      </c>
      <c r="B118" s="7">
        <f>24*Table36121416[Hasil Prod / zak]</f>
        <v>4320</v>
      </c>
      <c r="C118" s="7">
        <f>B118*$E$114</f>
        <v>8640</v>
      </c>
    </row>
    <row r="119" spans="1:9">
      <c r="A119" s="11" t="s">
        <v>6</v>
      </c>
      <c r="B119" s="12">
        <f>SUM(B114:B118)</f>
        <v>123579.86575290174</v>
      </c>
      <c r="C119" s="12">
        <f>SUM(C114:C118)</f>
        <v>247159.73150580347</v>
      </c>
    </row>
    <row r="122" spans="1:9" ht="18.75">
      <c r="A122" s="4" t="s">
        <v>22</v>
      </c>
      <c r="E122" s="4" t="s">
        <v>7</v>
      </c>
    </row>
    <row r="123" spans="1:9">
      <c r="A123" s="3" t="s">
        <v>5</v>
      </c>
      <c r="B123" s="5" t="s">
        <v>11</v>
      </c>
      <c r="C123" s="3" t="s">
        <v>12</v>
      </c>
      <c r="D123" s="6"/>
      <c r="E123" s="3" t="s">
        <v>2</v>
      </c>
      <c r="F123" s="3" t="s">
        <v>8</v>
      </c>
      <c r="G123" s="3" t="s">
        <v>14</v>
      </c>
      <c r="H123" s="3" t="s">
        <v>9</v>
      </c>
      <c r="I123" s="3" t="s">
        <v>10</v>
      </c>
    </row>
    <row r="124" spans="1:9">
      <c r="A124" s="3" t="s">
        <v>0</v>
      </c>
      <c r="B124" s="7">
        <f>12*32*C2</f>
        <v>34560</v>
      </c>
      <c r="C124" s="7">
        <f>B124*$E$124</f>
        <v>1900800</v>
      </c>
      <c r="D124" s="8"/>
      <c r="E124" s="1">
        <v>55</v>
      </c>
      <c r="F124" s="2">
        <v>3996</v>
      </c>
      <c r="G124" s="7">
        <f>[Hasil Prod / hari]/[Semen]</f>
        <v>72.654545454545456</v>
      </c>
      <c r="H124" s="7">
        <f>C129/Table361214168[[#This Row],[Hasil Prod / hari]]</f>
        <v>1550.0742283307297</v>
      </c>
      <c r="I124" s="9">
        <f>Table361214168[[#This Row],[Hpp per pcs]]*24</f>
        <v>37201.781479937512</v>
      </c>
    </row>
    <row r="125" spans="1:9">
      <c r="A125" s="3" t="s">
        <v>1</v>
      </c>
      <c r="B125" s="7">
        <f>3*32*C3</f>
        <v>11520</v>
      </c>
      <c r="C125" s="7">
        <f>B125*$E$124</f>
        <v>633600</v>
      </c>
      <c r="D125" s="10"/>
    </row>
    <row r="126" spans="1:9">
      <c r="A126" s="3" t="s">
        <v>2</v>
      </c>
      <c r="B126" s="7">
        <f>C1</f>
        <v>42999.865752901744</v>
      </c>
      <c r="C126" s="7">
        <f>B126*$E$124</f>
        <v>2364992.6164095961</v>
      </c>
    </row>
    <row r="127" spans="1:9">
      <c r="A127" s="3" t="s">
        <v>3</v>
      </c>
      <c r="B127" s="7">
        <f>300*Table361214168[Hasil Prod / zak]</f>
        <v>21796.363636363636</v>
      </c>
      <c r="C127" s="7">
        <f>B127*$E$124</f>
        <v>1198800</v>
      </c>
    </row>
    <row r="128" spans="1:9">
      <c r="A128" s="3" t="s">
        <v>4</v>
      </c>
      <c r="B128" s="7">
        <f>24*Table361214168[Hasil Prod / zak]</f>
        <v>1743.7090909090909</v>
      </c>
      <c r="C128" s="7">
        <f>B128*$E$124</f>
        <v>95904</v>
      </c>
    </row>
    <row r="129" spans="1:9">
      <c r="A129" s="11" t="s">
        <v>6</v>
      </c>
      <c r="B129" s="12">
        <f>SUM(B124:B128)</f>
        <v>112619.93848017446</v>
      </c>
      <c r="C129" s="12">
        <f>SUM(C124:C128)</f>
        <v>6194096.6164095961</v>
      </c>
    </row>
    <row r="132" spans="1:9" ht="18.75">
      <c r="A132" s="4" t="s">
        <v>23</v>
      </c>
      <c r="E132" s="4" t="s">
        <v>7</v>
      </c>
    </row>
    <row r="133" spans="1:9">
      <c r="A133" s="3" t="s">
        <v>5</v>
      </c>
      <c r="B133" s="5" t="s">
        <v>11</v>
      </c>
      <c r="C133" s="3" t="s">
        <v>12</v>
      </c>
      <c r="D133" s="6"/>
      <c r="E133" s="3" t="s">
        <v>2</v>
      </c>
      <c r="F133" s="3" t="s">
        <v>8</v>
      </c>
      <c r="G133" s="3" t="s">
        <v>14</v>
      </c>
      <c r="H133" s="3" t="s">
        <v>9</v>
      </c>
      <c r="I133" s="3" t="s">
        <v>10</v>
      </c>
    </row>
    <row r="134" spans="1:9">
      <c r="A134" s="3" t="s">
        <v>0</v>
      </c>
      <c r="B134" s="7">
        <f>13*32*C2</f>
        <v>37440</v>
      </c>
      <c r="C134" s="7">
        <f>B134*$E$134</f>
        <v>2134080</v>
      </c>
      <c r="D134" s="8"/>
      <c r="E134" s="1">
        <v>57</v>
      </c>
      <c r="F134" s="2">
        <v>4416</v>
      </c>
      <c r="G134" s="7">
        <f>[Hasil Prod / hari]/[Semen]</f>
        <v>77.473684210526315</v>
      </c>
      <c r="H134" s="7">
        <f>C139/Table36121416818[[#This Row],[Hasil Prod / hari]]</f>
        <v>1361.4167454518567</v>
      </c>
      <c r="I134" s="9">
        <f>Table36121416818[[#This Row],[Hpp per pcs]]*24</f>
        <v>32674.001890844564</v>
      </c>
    </row>
    <row r="135" spans="1:9">
      <c r="A135" s="3" t="s">
        <v>1</v>
      </c>
      <c r="B135" s="7">
        <f>2*32*C3</f>
        <v>7680</v>
      </c>
      <c r="C135" s="7">
        <f>B135*$E$134</f>
        <v>437760</v>
      </c>
      <c r="D135" s="10"/>
    </row>
    <row r="136" spans="1:9">
      <c r="A136" s="3" t="s">
        <v>2</v>
      </c>
      <c r="B136" s="7">
        <f>C1</f>
        <v>42999.865752901744</v>
      </c>
      <c r="C136" s="7">
        <f>B136*$E$134</f>
        <v>2450992.3479153994</v>
      </c>
      <c r="H136" s="10"/>
    </row>
    <row r="137" spans="1:9">
      <c r="A137" s="3" t="s">
        <v>3</v>
      </c>
      <c r="B137" s="7">
        <f>200*Table36121416818[Hasil Prod / zak]</f>
        <v>15494.736842105263</v>
      </c>
      <c r="C137" s="7">
        <f>B137*$E$134</f>
        <v>883200</v>
      </c>
    </row>
    <row r="138" spans="1:9">
      <c r="A138" s="3" t="s">
        <v>4</v>
      </c>
      <c r="B138" s="7">
        <f>24*Table36121416818[Hasil Prod / zak]</f>
        <v>1859.3684210526317</v>
      </c>
      <c r="C138" s="7">
        <f>B138*$E$134</f>
        <v>105984</v>
      </c>
    </row>
    <row r="139" spans="1:9">
      <c r="A139" s="11" t="s">
        <v>6</v>
      </c>
      <c r="B139" s="12">
        <f>SUM(B134:B138)</f>
        <v>105473.97101605963</v>
      </c>
      <c r="C139" s="12">
        <f>SUM(C134:C138)</f>
        <v>6012016.3479153998</v>
      </c>
    </row>
    <row r="142" spans="1:9" ht="18.75">
      <c r="A142" s="4" t="s">
        <v>33</v>
      </c>
      <c r="E142" s="4" t="s">
        <v>7</v>
      </c>
    </row>
    <row r="143" spans="1:9">
      <c r="A143" s="3" t="s">
        <v>5</v>
      </c>
      <c r="B143" s="5" t="s">
        <v>11</v>
      </c>
      <c r="C143" s="3" t="s">
        <v>12</v>
      </c>
      <c r="D143" s="6"/>
      <c r="E143" s="3" t="s">
        <v>2</v>
      </c>
      <c r="F143" s="3" t="s">
        <v>8</v>
      </c>
      <c r="G143" s="3" t="s">
        <v>14</v>
      </c>
      <c r="H143" s="3" t="s">
        <v>9</v>
      </c>
      <c r="I143" s="3" t="s">
        <v>10</v>
      </c>
    </row>
    <row r="144" spans="1:9">
      <c r="A144" s="3" t="s">
        <v>0</v>
      </c>
      <c r="B144" s="7">
        <f>13*32*C2</f>
        <v>37440</v>
      </c>
      <c r="C144" s="7">
        <f t="shared" ref="C144:C149" si="7">B144*$E$144</f>
        <v>224640</v>
      </c>
      <c r="D144" s="8"/>
      <c r="E144" s="1">
        <v>6</v>
      </c>
      <c r="F144" s="2">
        <v>582</v>
      </c>
      <c r="G144" s="7">
        <f>[Hasil Prod / hari]/[Semen]</f>
        <v>97</v>
      </c>
      <c r="H144" s="7">
        <f>C150/Table3612141681827[[#This Row],[Hasil Prod / hari]]</f>
        <v>2472.658409823729</v>
      </c>
      <c r="I144" s="9">
        <f>Table3612141681827[[#This Row],[Hpp per pcs]]*24</f>
        <v>59343.801835769496</v>
      </c>
    </row>
    <row r="145" spans="1:9">
      <c r="A145" s="3" t="s">
        <v>1</v>
      </c>
      <c r="B145" s="7">
        <f>2*32*C3</f>
        <v>7680</v>
      </c>
      <c r="C145" s="7">
        <f t="shared" si="7"/>
        <v>46080</v>
      </c>
      <c r="D145" s="10"/>
    </row>
    <row r="146" spans="1:9">
      <c r="A146" s="3" t="s">
        <v>2</v>
      </c>
      <c r="B146" s="7">
        <f>C1</f>
        <v>42999.865752901744</v>
      </c>
      <c r="C146" s="7">
        <f t="shared" si="7"/>
        <v>257999.19451741048</v>
      </c>
      <c r="H146" s="10" t="s">
        <v>29</v>
      </c>
    </row>
    <row r="147" spans="1:9">
      <c r="A147" s="3" t="s">
        <v>3</v>
      </c>
      <c r="B147" s="7">
        <f>200*Table3612141681827[Hasil Prod / zak]</f>
        <v>19400</v>
      </c>
      <c r="C147" s="7">
        <f t="shared" si="7"/>
        <v>116400</v>
      </c>
    </row>
    <row r="148" spans="1:9">
      <c r="A148" s="3" t="s">
        <v>4</v>
      </c>
      <c r="B148" s="7">
        <f>24*Table3612141681827[Hasil Prod / zak]</f>
        <v>2328</v>
      </c>
      <c r="C148" s="7">
        <f t="shared" si="7"/>
        <v>13968</v>
      </c>
    </row>
    <row r="149" spans="1:9">
      <c r="A149" s="3" t="s">
        <v>34</v>
      </c>
      <c r="B149" s="7">
        <v>130000</v>
      </c>
      <c r="C149" s="7">
        <f t="shared" si="7"/>
        <v>780000</v>
      </c>
    </row>
    <row r="150" spans="1:9">
      <c r="A150" s="11" t="s">
        <v>6</v>
      </c>
      <c r="B150" s="12">
        <f>SUM(B144:B149)</f>
        <v>239847.86575290174</v>
      </c>
      <c r="C150" s="12">
        <f>SUM(C144:C149)</f>
        <v>1439087.1945174104</v>
      </c>
    </row>
    <row r="152" spans="1:9" ht="18.75">
      <c r="A152" s="4" t="s">
        <v>24</v>
      </c>
      <c r="E152" s="4" t="s">
        <v>7</v>
      </c>
    </row>
    <row r="153" spans="1:9">
      <c r="A153" s="3" t="s">
        <v>5</v>
      </c>
      <c r="B153" s="5" t="s">
        <v>11</v>
      </c>
      <c r="C153" s="3" t="s">
        <v>12</v>
      </c>
      <c r="D153" s="6"/>
      <c r="E153" s="3" t="s">
        <v>2</v>
      </c>
      <c r="F153" s="3" t="s">
        <v>8</v>
      </c>
      <c r="G153" s="3" t="s">
        <v>14</v>
      </c>
      <c r="H153" s="3" t="s">
        <v>9</v>
      </c>
      <c r="I153" s="3" t="s">
        <v>10</v>
      </c>
    </row>
    <row r="154" spans="1:9">
      <c r="A154" s="3" t="s">
        <v>0</v>
      </c>
      <c r="B154" s="7">
        <f>12*32*C2</f>
        <v>34560</v>
      </c>
      <c r="C154" s="7">
        <f>B154*$E$154</f>
        <v>2108160</v>
      </c>
      <c r="D154" s="8"/>
      <c r="E154" s="1">
        <v>61</v>
      </c>
      <c r="F154" s="2">
        <v>1808</v>
      </c>
      <c r="G154" s="7">
        <f>[Hasil Prod / hari]/[Semen]</f>
        <v>29.639344262295083</v>
      </c>
      <c r="H154" s="7">
        <f>C159/Table3612141681820[[#This Row],[Hasil Prod / hari]]</f>
        <v>3629.4600724153797</v>
      </c>
      <c r="I154" s="9">
        <f>Table3612141681820[[#This Row],[Hpp per pcs]]*2.5</f>
        <v>9073.6501810384489</v>
      </c>
    </row>
    <row r="155" spans="1:9">
      <c r="A155" s="3" t="s">
        <v>1</v>
      </c>
      <c r="B155" s="7">
        <f>3*32*C3</f>
        <v>11520</v>
      </c>
      <c r="C155" s="7">
        <f>B155*$E$154</f>
        <v>702720</v>
      </c>
      <c r="D155" s="10"/>
    </row>
    <row r="156" spans="1:9">
      <c r="A156" s="3" t="s">
        <v>2</v>
      </c>
      <c r="B156" s="7">
        <f>C1</f>
        <v>42999.865752901744</v>
      </c>
      <c r="C156" s="7">
        <f>B156*$E$154</f>
        <v>2622991.8109270064</v>
      </c>
    </row>
    <row r="157" spans="1:9">
      <c r="A157" s="3" t="s">
        <v>3</v>
      </c>
      <c r="B157" s="7">
        <f>600*Table3612141681820[Hasil Prod / zak]</f>
        <v>17783.60655737705</v>
      </c>
      <c r="C157" s="7">
        <f>B157*$E$154</f>
        <v>1084800</v>
      </c>
    </row>
    <row r="158" spans="1:9">
      <c r="A158" s="3" t="s">
        <v>4</v>
      </c>
      <c r="B158" s="7">
        <f>24*Table3612141681820[Hasil Prod / zak]</f>
        <v>711.34426229508199</v>
      </c>
      <c r="C158" s="7">
        <f>B158*$E$154</f>
        <v>43392</v>
      </c>
    </row>
    <row r="159" spans="1:9">
      <c r="A159" s="11" t="s">
        <v>6</v>
      </c>
      <c r="B159" s="12">
        <f>SUM(B154:B158)</f>
        <v>107574.81657257387</v>
      </c>
      <c r="C159" s="12">
        <f>SUM(C154:C158)</f>
        <v>6562063.8109270064</v>
      </c>
    </row>
    <row r="162" spans="1:11" ht="18.75">
      <c r="A162" s="4" t="s">
        <v>25</v>
      </c>
      <c r="E162" s="4" t="s">
        <v>7</v>
      </c>
    </row>
    <row r="163" spans="1:11">
      <c r="A163" s="3" t="s">
        <v>5</v>
      </c>
      <c r="B163" s="5" t="s">
        <v>11</v>
      </c>
      <c r="C163" s="3" t="s">
        <v>12</v>
      </c>
      <c r="D163" s="6"/>
      <c r="E163" s="3" t="s">
        <v>2</v>
      </c>
      <c r="F163" s="3" t="s">
        <v>8</v>
      </c>
      <c r="G163" s="3" t="s">
        <v>14</v>
      </c>
      <c r="H163" s="3" t="s">
        <v>9</v>
      </c>
      <c r="I163" s="3" t="s">
        <v>10</v>
      </c>
    </row>
    <row r="164" spans="1:11">
      <c r="A164" s="3" t="s">
        <v>0</v>
      </c>
      <c r="B164" s="7">
        <f>13*32*C2</f>
        <v>37440</v>
      </c>
      <c r="C164" s="7">
        <f>B164*$E$164</f>
        <v>2283840</v>
      </c>
      <c r="D164" s="8"/>
      <c r="E164" s="1">
        <v>61</v>
      </c>
      <c r="F164" s="2">
        <v>1132</v>
      </c>
      <c r="G164" s="7">
        <f>[Hasil Prod / hari]/[Semen]</f>
        <v>18.557377049180328</v>
      </c>
      <c r="H164" s="7">
        <f>C169/Table361214168182022[[#This Row],[Hasil Prod / hari]]</f>
        <v>6479.4344619496524</v>
      </c>
      <c r="I164" s="9">
        <f>Table361214168182022[[#This Row],[Hpp per pcs]]*2.5</f>
        <v>16198.58615487413</v>
      </c>
    </row>
    <row r="165" spans="1:11">
      <c r="A165" s="3" t="s">
        <v>1</v>
      </c>
      <c r="B165" s="7">
        <f>3*32*C3</f>
        <v>11520</v>
      </c>
      <c r="C165" s="7">
        <f>B165*$E$164</f>
        <v>702720</v>
      </c>
      <c r="D165" s="10"/>
    </row>
    <row r="166" spans="1:11">
      <c r="A166" s="3" t="s">
        <v>2</v>
      </c>
      <c r="B166" s="7">
        <f>C1</f>
        <v>42999.865752901744</v>
      </c>
      <c r="C166" s="7">
        <f>B166*$E$164</f>
        <v>2622991.8109270064</v>
      </c>
    </row>
    <row r="167" spans="1:11">
      <c r="A167" s="3" t="s">
        <v>3</v>
      </c>
      <c r="B167" s="7">
        <f>1500*Table361214168182022[Hasil Prod / zak]</f>
        <v>27836.065573770491</v>
      </c>
      <c r="C167" s="7">
        <f>B167*$E$164</f>
        <v>1698000</v>
      </c>
    </row>
    <row r="168" spans="1:11">
      <c r="A168" s="3" t="s">
        <v>4</v>
      </c>
      <c r="B168" s="7">
        <f>24*Table361214168182022[Hasil Prod / zak]</f>
        <v>445.37704918032784</v>
      </c>
      <c r="C168" s="7">
        <f>B168*$E$164</f>
        <v>27168</v>
      </c>
    </row>
    <row r="169" spans="1:11">
      <c r="A169" s="11" t="s">
        <v>6</v>
      </c>
      <c r="B169" s="12">
        <f>SUM(B164:B168)</f>
        <v>120241.30837585256</v>
      </c>
      <c r="C169" s="12">
        <f>SUM(C164:C168)</f>
        <v>7334719.8109270064</v>
      </c>
    </row>
    <row r="172" spans="1:11" ht="18.75">
      <c r="A172" s="4" t="s">
        <v>38</v>
      </c>
      <c r="E172" s="4" t="s">
        <v>7</v>
      </c>
    </row>
    <row r="173" spans="1:11">
      <c r="A173" s="3" t="s">
        <v>5</v>
      </c>
      <c r="B173" s="5" t="s">
        <v>11</v>
      </c>
      <c r="C173" s="3" t="s">
        <v>12</v>
      </c>
      <c r="D173" s="6"/>
      <c r="E173" s="3" t="s">
        <v>2</v>
      </c>
      <c r="F173" s="3" t="s">
        <v>8</v>
      </c>
      <c r="G173" s="3" t="s">
        <v>15</v>
      </c>
      <c r="H173" s="3" t="s">
        <v>9</v>
      </c>
      <c r="I173" s="3" t="s">
        <v>10</v>
      </c>
    </row>
    <row r="174" spans="1:11">
      <c r="A174" s="3" t="s">
        <v>0</v>
      </c>
      <c r="B174" s="7">
        <f>13*32*C2</f>
        <v>37440</v>
      </c>
      <c r="C174" s="7">
        <f>B174*$E$174</f>
        <v>1909440</v>
      </c>
      <c r="D174" s="8"/>
      <c r="E174" s="1">
        <v>51</v>
      </c>
      <c r="F174" s="2">
        <v>8664</v>
      </c>
      <c r="G174" s="7">
        <f>[Hasil Prod / hari]/[Semen]</f>
        <v>169.88235294117646</v>
      </c>
      <c r="H174" s="7">
        <f>C180/Table361035[[#This Row],[Hasil Prod / hari]]</f>
        <v>727.7388219526764</v>
      </c>
      <c r="I174" s="9">
        <f>Table361035[[#This Row],[Hpp per pcs]]*43</f>
        <v>31292.769343965087</v>
      </c>
      <c r="K174" s="7"/>
    </row>
    <row r="175" spans="1:11">
      <c r="A175" s="3" t="s">
        <v>1</v>
      </c>
      <c r="B175" s="7">
        <f>2*32*C3</f>
        <v>7680</v>
      </c>
      <c r="C175" s="7">
        <f>B175*$E$174</f>
        <v>391680</v>
      </c>
      <c r="D175" s="10"/>
    </row>
    <row r="176" spans="1:11">
      <c r="A176" s="3" t="s">
        <v>2</v>
      </c>
      <c r="B176" s="7">
        <f>C1</f>
        <v>42999.865752901744</v>
      </c>
      <c r="C176" s="7">
        <f>B176*$E$174</f>
        <v>2192993.153397989</v>
      </c>
    </row>
    <row r="177" spans="1:11">
      <c r="A177" s="3" t="s">
        <v>3</v>
      </c>
      <c r="B177" s="7">
        <f>95*Table361035[Hasil Prod /zak]</f>
        <v>16138.823529411764</v>
      </c>
      <c r="C177" s="7">
        <f>B177*$E$174</f>
        <v>823080</v>
      </c>
    </row>
    <row r="178" spans="1:11">
      <c r="A178" s="3" t="s">
        <v>4</v>
      </c>
      <c r="B178" s="7">
        <f>24*Table361035[Hasil Prod /zak]</f>
        <v>4077.1764705882351</v>
      </c>
      <c r="C178" s="7">
        <f>B178*$E$174</f>
        <v>207936</v>
      </c>
    </row>
    <row r="179" spans="1:11">
      <c r="A179" s="3" t="s">
        <v>34</v>
      </c>
      <c r="B179" s="7">
        <v>130000</v>
      </c>
      <c r="C179" s="7">
        <f t="shared" ref="C179" si="8">B179*$E$144</f>
        <v>780000</v>
      </c>
    </row>
    <row r="180" spans="1:11">
      <c r="A180" s="11" t="s">
        <v>6</v>
      </c>
      <c r="B180" s="12">
        <f>SUM(B174:B179)</f>
        <v>238335.86575290174</v>
      </c>
      <c r="C180" s="12">
        <f>SUM(C174:C179)</f>
        <v>6305129.1533979885</v>
      </c>
    </row>
    <row r="183" spans="1:11" ht="18.75">
      <c r="A183" s="4" t="s">
        <v>39</v>
      </c>
      <c r="E183" s="4" t="s">
        <v>7</v>
      </c>
    </row>
    <row r="184" spans="1:11">
      <c r="A184" s="3" t="s">
        <v>5</v>
      </c>
      <c r="B184" s="5" t="s">
        <v>11</v>
      </c>
      <c r="C184" s="3" t="s">
        <v>12</v>
      </c>
      <c r="E184" s="3" t="s">
        <v>2</v>
      </c>
      <c r="F184" s="3" t="s">
        <v>8</v>
      </c>
      <c r="G184" s="3" t="s">
        <v>14</v>
      </c>
      <c r="H184" s="3" t="s">
        <v>9</v>
      </c>
      <c r="I184" s="3" t="s">
        <v>10</v>
      </c>
    </row>
    <row r="185" spans="1:11">
      <c r="A185" s="3" t="s">
        <v>0</v>
      </c>
      <c r="B185" s="7">
        <f>16*32*C2</f>
        <v>46080</v>
      </c>
      <c r="C185" s="7">
        <f>B185*$E$185</f>
        <v>1935360</v>
      </c>
      <c r="E185" s="1">
        <v>42</v>
      </c>
      <c r="F185" s="2">
        <v>8556</v>
      </c>
      <c r="G185" s="7">
        <f>[Hasil Prod / hari]/[Semen]</f>
        <v>203.71428571428572</v>
      </c>
      <c r="H185" s="7">
        <f>C191/Table339[[#This Row],[Hasil Prod / hari]]</f>
        <v>685.1423985065303</v>
      </c>
      <c r="I185" s="9">
        <f>Table339[[#This Row],[Hpp per pcs]]*43</f>
        <v>29461.123135780803</v>
      </c>
      <c r="K185" s="7"/>
    </row>
    <row r="186" spans="1:11">
      <c r="A186" s="3" t="s">
        <v>1</v>
      </c>
      <c r="B186" s="7">
        <f>2*32*C3</f>
        <v>7680</v>
      </c>
      <c r="C186" s="7">
        <f>B186*$E$185</f>
        <v>322560</v>
      </c>
    </row>
    <row r="187" spans="1:11">
      <c r="A187" s="3" t="s">
        <v>2</v>
      </c>
      <c r="B187" s="7">
        <f>C1</f>
        <v>42999.865752901744</v>
      </c>
      <c r="C187" s="7">
        <f>B187*$E$185</f>
        <v>1805994.3616218732</v>
      </c>
      <c r="F187" s="10"/>
      <c r="I187" s="10"/>
    </row>
    <row r="188" spans="1:11">
      <c r="A188" s="3" t="s">
        <v>3</v>
      </c>
      <c r="B188" s="7">
        <f>95*Table339[Hasil Prod / zak]</f>
        <v>19352.857142857145</v>
      </c>
      <c r="C188" s="7">
        <f>B188*$E$185</f>
        <v>812820.00000000012</v>
      </c>
    </row>
    <row r="189" spans="1:11">
      <c r="A189" s="3" t="s">
        <v>4</v>
      </c>
      <c r="B189" s="7">
        <f>24*Table339[Hasil Prod / zak]</f>
        <v>4889.1428571428569</v>
      </c>
      <c r="C189" s="7">
        <f>B189*$E$185</f>
        <v>205344</v>
      </c>
    </row>
    <row r="190" spans="1:11">
      <c r="A190" s="3" t="s">
        <v>34</v>
      </c>
      <c r="B190" s="7">
        <v>130000</v>
      </c>
      <c r="C190" s="7">
        <f t="shared" ref="C190" si="9">B190*$E$144</f>
        <v>780000</v>
      </c>
    </row>
    <row r="191" spans="1:11">
      <c r="A191" s="11" t="s">
        <v>6</v>
      </c>
      <c r="B191" s="12">
        <f>SUM(B185:B190)</f>
        <v>251001.86575290174</v>
      </c>
      <c r="C191" s="12">
        <f>SUM(C185:C190)</f>
        <v>5862078.3616218735</v>
      </c>
    </row>
  </sheetData>
  <pageMargins left="0.7" right="0.7" top="0.75" bottom="0.75" header="0.3" footer="0.3"/>
  <pageSetup paperSize="9" orientation="landscape" horizontalDpi="300" verticalDpi="300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G1"/>
  <sheetViews>
    <sheetView workbookViewId="0">
      <selection activeCell="G7" sqref="G7:G8"/>
    </sheetView>
  </sheetViews>
  <sheetFormatPr defaultRowHeight="15"/>
  <sheetData>
    <row r="1" spans="7:7">
      <c r="G1" t="s">
        <v>26</v>
      </c>
    </row>
  </sheetData>
  <dataValidations count="1">
    <dataValidation type="list" allowBlank="1" showInputMessage="1" showErrorMessage="1" sqref="G1">
      <formula1>"laki-laki,perempuan"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Cici</dc:creator>
  <cp:lastModifiedBy>Cici</cp:lastModifiedBy>
  <cp:lastPrinted>2019-09-28T15:04:44Z</cp:lastPrinted>
  <dcterms:created xsi:type="dcterms:W3CDTF">2019-05-02T01:54:44Z</dcterms:created>
  <dcterms:modified xsi:type="dcterms:W3CDTF">2019-09-28T15:05:10Z</dcterms:modified>
</cp:coreProperties>
</file>