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other\Mess Mash\"/>
    </mc:Choice>
  </mc:AlternateContent>
  <xr:revisionPtr revIDLastSave="0" documentId="13_ncr:1_{30691247-D046-4AA5-913A-5611EA046410}" xr6:coauthVersionLast="47" xr6:coauthVersionMax="47" xr10:uidLastSave="{00000000-0000-0000-0000-000000000000}"/>
  <bookViews>
    <workbookView xWindow="-120" yWindow="-120" windowWidth="29040" windowHeight="15720" firstSheet="1" activeTab="7" xr2:uid="{5E729F2C-3387-4E5B-BB35-A081A2E7CC55}"/>
  </bookViews>
  <sheets>
    <sheet name="Top Page" sheetId="1" r:id="rId1"/>
    <sheet name="Boro Bazar" sheetId="3" r:id="rId2"/>
    <sheet name="Regular Bazar" sheetId="2" r:id="rId3"/>
    <sheet name="Stock" sheetId="6" r:id="rId4"/>
    <sheet name="No of Person" sheetId="5" r:id="rId5"/>
    <sheet name="menu" sheetId="4" r:id="rId6"/>
    <sheet name="Per Day Cost" sheetId="9" r:id="rId7"/>
    <sheet name="Rough" sheetId="8" r:id="rId8"/>
    <sheet name="Idea Per head cost calc" sheetId="7" r:id="rId9"/>
  </sheets>
  <definedNames>
    <definedName name="_xlnm.Print_Area" localSheetId="0">'Top Page'!$F$3:$M$20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" i="1" l="1"/>
  <c r="P134" i="2"/>
  <c r="P133" i="2"/>
  <c r="U83" i="8"/>
  <c r="U76" i="8"/>
  <c r="U77" i="8"/>
  <c r="U78" i="8"/>
  <c r="U79" i="8"/>
  <c r="L150" i="2"/>
  <c r="M147" i="2"/>
  <c r="R22" i="1"/>
  <c r="V76" i="8"/>
  <c r="Z24" i="1"/>
  <c r="Y23" i="1"/>
  <c r="R131" i="2"/>
  <c r="Y11" i="1"/>
  <c r="S26" i="1" s="1"/>
  <c r="T83" i="8"/>
  <c r="T80" i="8"/>
  <c r="T79" i="8"/>
  <c r="T78" i="8"/>
  <c r="T76" i="8"/>
  <c r="T77" i="8"/>
  <c r="R60" i="8"/>
  <c r="V15" i="1"/>
  <c r="S6" i="1"/>
  <c r="R117" i="2"/>
  <c r="P95" i="4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C40" i="7"/>
  <c r="I17" i="5"/>
  <c r="M77" i="2"/>
  <c r="K73" i="2"/>
  <c r="Q70" i="8"/>
  <c r="O70" i="8"/>
  <c r="V68" i="8"/>
  <c r="V12" i="8"/>
  <c r="J69" i="4"/>
  <c r="Q2" i="3"/>
  <c r="T84" i="3"/>
  <c r="N92" i="3"/>
  <c r="M54" i="2"/>
  <c r="M52" i="2"/>
  <c r="M48" i="2"/>
  <c r="M50" i="2"/>
  <c r="S36" i="8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13" i="5"/>
  <c r="S40" i="8"/>
  <c r="W67" i="4"/>
  <c r="W66" i="4"/>
  <c r="P29" i="5"/>
  <c r="M10" i="2"/>
  <c r="M16" i="2" s="1"/>
  <c r="O9" i="2"/>
  <c r="R10" i="2" s="1"/>
  <c r="O10" i="2"/>
  <c r="R12" i="2"/>
  <c r="V56" i="4"/>
  <c r="F197" i="2"/>
  <c r="F203" i="2" s="1"/>
  <c r="P51" i="8"/>
  <c r="R52" i="8"/>
  <c r="V51" i="4"/>
  <c r="H86" i="3"/>
  <c r="H92" i="3" s="1"/>
  <c r="F163" i="2"/>
  <c r="F158" i="2"/>
  <c r="E161" i="2"/>
  <c r="P48" i="3"/>
  <c r="P49" i="3"/>
  <c r="P50" i="3"/>
  <c r="H55" i="3"/>
  <c r="H56" i="3"/>
  <c r="F121" i="2"/>
  <c r="V64" i="3"/>
  <c r="W28" i="8"/>
  <c r="M203" i="2"/>
  <c r="M190" i="2"/>
  <c r="M177" i="2"/>
  <c r="M164" i="2"/>
  <c r="M151" i="2"/>
  <c r="M134" i="2"/>
  <c r="M121" i="2"/>
  <c r="M108" i="2"/>
  <c r="M95" i="2"/>
  <c r="M69" i="2"/>
  <c r="M42" i="2"/>
  <c r="M29" i="2"/>
  <c r="F190" i="2"/>
  <c r="F177" i="2"/>
  <c r="F151" i="2"/>
  <c r="F134" i="2"/>
  <c r="W11" i="2"/>
  <c r="P59" i="3"/>
  <c r="O51" i="3"/>
  <c r="V67" i="3"/>
  <c r="N59" i="3"/>
  <c r="V2" i="9"/>
  <c r="O38" i="9"/>
  <c r="H36" i="9"/>
  <c r="J40" i="9"/>
  <c r="O40" i="9"/>
  <c r="O29" i="9"/>
  <c r="O31" i="9"/>
  <c r="J31" i="9"/>
  <c r="O13" i="9"/>
  <c r="O22" i="9"/>
  <c r="J22" i="9"/>
  <c r="J11" i="9"/>
  <c r="J13" i="9"/>
  <c r="H9" i="9"/>
  <c r="H57" i="3"/>
  <c r="W10" i="2"/>
  <c r="W38" i="2" s="1"/>
  <c r="V10" i="6"/>
  <c r="AB10" i="7" s="1"/>
  <c r="G49" i="8"/>
  <c r="J9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50" i="8"/>
  <c r="G51" i="8"/>
  <c r="G12" i="8"/>
  <c r="G10" i="8"/>
  <c r="G8" i="8"/>
  <c r="G9" i="8"/>
  <c r="G7" i="8"/>
  <c r="G5" i="8"/>
  <c r="G6" i="8"/>
  <c r="G4" i="8"/>
  <c r="P20" i="8"/>
  <c r="P19" i="8"/>
  <c r="O18" i="8"/>
  <c r="O17" i="8"/>
  <c r="O16" i="8"/>
  <c r="O15" i="8"/>
  <c r="O14" i="8"/>
  <c r="O13" i="8"/>
  <c r="O12" i="8"/>
  <c r="O11" i="8"/>
  <c r="O8" i="8"/>
  <c r="O6" i="8"/>
  <c r="X26" i="3"/>
  <c r="X27" i="3"/>
  <c r="Z40" i="3"/>
  <c r="U35" i="7"/>
  <c r="V35" i="7"/>
  <c r="W9" i="7"/>
  <c r="W10" i="7"/>
  <c r="W11" i="7"/>
  <c r="W12" i="7"/>
  <c r="W13" i="7"/>
  <c r="W14" i="7"/>
  <c r="W15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8" i="7"/>
  <c r="F16" i="2"/>
  <c r="T8" i="7" s="1"/>
  <c r="Z9" i="7"/>
  <c r="AA9" i="7"/>
  <c r="AB9" i="7"/>
  <c r="AC9" i="7"/>
  <c r="AD9" i="7"/>
  <c r="AE9" i="7"/>
  <c r="AF9" i="7"/>
  <c r="AG9" i="7"/>
  <c r="AH9" i="7"/>
  <c r="AI9" i="7"/>
  <c r="Z10" i="7"/>
  <c r="AA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AA8" i="7"/>
  <c r="AB8" i="7"/>
  <c r="AC8" i="7"/>
  <c r="AD8" i="7"/>
  <c r="AE8" i="7"/>
  <c r="AG8" i="7"/>
  <c r="AH8" i="7"/>
  <c r="AI8" i="7"/>
  <c r="Y8" i="7"/>
  <c r="J8" i="7"/>
  <c r="K8" i="7"/>
  <c r="L8" i="7"/>
  <c r="S8" i="7" s="1"/>
  <c r="M8" i="7"/>
  <c r="N8" i="7"/>
  <c r="O8" i="7"/>
  <c r="P8" i="7"/>
  <c r="Q8" i="7"/>
  <c r="R8" i="7"/>
  <c r="J9" i="7"/>
  <c r="K9" i="7"/>
  <c r="L9" i="7"/>
  <c r="M9" i="7"/>
  <c r="N9" i="7"/>
  <c r="O9" i="7"/>
  <c r="P9" i="7"/>
  <c r="Q9" i="7"/>
  <c r="R9" i="7"/>
  <c r="J10" i="7"/>
  <c r="K10" i="7"/>
  <c r="L10" i="7"/>
  <c r="M10" i="7"/>
  <c r="N10" i="7"/>
  <c r="O10" i="7"/>
  <c r="P10" i="7"/>
  <c r="Q10" i="7"/>
  <c r="R10" i="7"/>
  <c r="J11" i="7"/>
  <c r="K11" i="7"/>
  <c r="L11" i="7"/>
  <c r="M11" i="7"/>
  <c r="N11" i="7"/>
  <c r="O11" i="7"/>
  <c r="P11" i="7"/>
  <c r="Q11" i="7"/>
  <c r="R11" i="7"/>
  <c r="J12" i="7"/>
  <c r="K12" i="7"/>
  <c r="L12" i="7"/>
  <c r="M12" i="7"/>
  <c r="N12" i="7"/>
  <c r="O12" i="7"/>
  <c r="P12" i="7"/>
  <c r="Q12" i="7"/>
  <c r="R12" i="7"/>
  <c r="J13" i="7"/>
  <c r="K13" i="7"/>
  <c r="L13" i="7"/>
  <c r="M13" i="7"/>
  <c r="N13" i="7"/>
  <c r="O13" i="7"/>
  <c r="P13" i="7"/>
  <c r="Q13" i="7"/>
  <c r="R13" i="7"/>
  <c r="J14" i="7"/>
  <c r="K14" i="7"/>
  <c r="L14" i="7"/>
  <c r="M14" i="7"/>
  <c r="N14" i="7"/>
  <c r="O14" i="7"/>
  <c r="P14" i="7"/>
  <c r="Q14" i="7"/>
  <c r="R14" i="7"/>
  <c r="J15" i="7"/>
  <c r="K15" i="7"/>
  <c r="L15" i="7"/>
  <c r="M15" i="7"/>
  <c r="N15" i="7"/>
  <c r="O15" i="7"/>
  <c r="P15" i="7"/>
  <c r="Q15" i="7"/>
  <c r="R15" i="7"/>
  <c r="J16" i="7"/>
  <c r="K16" i="7"/>
  <c r="L16" i="7"/>
  <c r="M16" i="7"/>
  <c r="N16" i="7"/>
  <c r="O16" i="7"/>
  <c r="P16" i="7"/>
  <c r="Q16" i="7"/>
  <c r="R16" i="7"/>
  <c r="J17" i="7"/>
  <c r="K17" i="7"/>
  <c r="L17" i="7"/>
  <c r="M17" i="7"/>
  <c r="N17" i="7"/>
  <c r="O17" i="7"/>
  <c r="P17" i="7"/>
  <c r="Q17" i="7"/>
  <c r="R17" i="7"/>
  <c r="J18" i="7"/>
  <c r="K18" i="7"/>
  <c r="L18" i="7"/>
  <c r="M18" i="7"/>
  <c r="N18" i="7"/>
  <c r="O18" i="7"/>
  <c r="P18" i="7"/>
  <c r="Q18" i="7"/>
  <c r="R18" i="7"/>
  <c r="J19" i="7"/>
  <c r="K19" i="7"/>
  <c r="L19" i="7"/>
  <c r="M19" i="7"/>
  <c r="N19" i="7"/>
  <c r="O19" i="7"/>
  <c r="P19" i="7"/>
  <c r="Q19" i="7"/>
  <c r="R19" i="7"/>
  <c r="J20" i="7"/>
  <c r="K20" i="7"/>
  <c r="L20" i="7"/>
  <c r="M20" i="7"/>
  <c r="N20" i="7"/>
  <c r="O20" i="7"/>
  <c r="P20" i="7"/>
  <c r="Q20" i="7"/>
  <c r="R20" i="7"/>
  <c r="J21" i="7"/>
  <c r="K21" i="7"/>
  <c r="L21" i="7"/>
  <c r="M21" i="7"/>
  <c r="N21" i="7"/>
  <c r="O21" i="7"/>
  <c r="P21" i="7"/>
  <c r="Q21" i="7"/>
  <c r="R21" i="7"/>
  <c r="J22" i="7"/>
  <c r="K22" i="7"/>
  <c r="L22" i="7"/>
  <c r="M22" i="7"/>
  <c r="N22" i="7"/>
  <c r="O22" i="7"/>
  <c r="P22" i="7"/>
  <c r="Q22" i="7"/>
  <c r="R22" i="7"/>
  <c r="J23" i="7"/>
  <c r="K23" i="7"/>
  <c r="L23" i="7"/>
  <c r="M23" i="7"/>
  <c r="N23" i="7"/>
  <c r="O23" i="7"/>
  <c r="P23" i="7"/>
  <c r="Q23" i="7"/>
  <c r="R23" i="7"/>
  <c r="J24" i="7"/>
  <c r="K24" i="7"/>
  <c r="L24" i="7"/>
  <c r="M24" i="7"/>
  <c r="N24" i="7"/>
  <c r="O24" i="7"/>
  <c r="P24" i="7"/>
  <c r="Q24" i="7"/>
  <c r="R24" i="7"/>
  <c r="J25" i="7"/>
  <c r="K25" i="7"/>
  <c r="L25" i="7"/>
  <c r="M25" i="7"/>
  <c r="N25" i="7"/>
  <c r="O25" i="7"/>
  <c r="P25" i="7"/>
  <c r="Q25" i="7"/>
  <c r="R25" i="7"/>
  <c r="J26" i="7"/>
  <c r="K26" i="7"/>
  <c r="L26" i="7"/>
  <c r="M26" i="7"/>
  <c r="N26" i="7"/>
  <c r="O26" i="7"/>
  <c r="P26" i="7"/>
  <c r="Q26" i="7"/>
  <c r="R26" i="7"/>
  <c r="J27" i="7"/>
  <c r="K27" i="7"/>
  <c r="L27" i="7"/>
  <c r="M27" i="7"/>
  <c r="N27" i="7"/>
  <c r="O27" i="7"/>
  <c r="P27" i="7"/>
  <c r="Q27" i="7"/>
  <c r="R27" i="7"/>
  <c r="J28" i="7"/>
  <c r="K28" i="7"/>
  <c r="L28" i="7"/>
  <c r="M28" i="7"/>
  <c r="N28" i="7"/>
  <c r="O28" i="7"/>
  <c r="P28" i="7"/>
  <c r="Q28" i="7"/>
  <c r="R28" i="7"/>
  <c r="J29" i="7"/>
  <c r="K29" i="7"/>
  <c r="L29" i="7"/>
  <c r="M29" i="7"/>
  <c r="N29" i="7"/>
  <c r="O29" i="7"/>
  <c r="P29" i="7"/>
  <c r="Q29" i="7"/>
  <c r="R29" i="7"/>
  <c r="J30" i="7"/>
  <c r="K30" i="7"/>
  <c r="L30" i="7"/>
  <c r="M30" i="7"/>
  <c r="N30" i="7"/>
  <c r="O30" i="7"/>
  <c r="P30" i="7"/>
  <c r="Q30" i="7"/>
  <c r="R30" i="7"/>
  <c r="J31" i="7"/>
  <c r="K31" i="7"/>
  <c r="L31" i="7"/>
  <c r="M31" i="7"/>
  <c r="N31" i="7"/>
  <c r="O31" i="7"/>
  <c r="P31" i="7"/>
  <c r="Q31" i="7"/>
  <c r="R31" i="7"/>
  <c r="J32" i="7"/>
  <c r="K32" i="7"/>
  <c r="L32" i="7"/>
  <c r="M32" i="7"/>
  <c r="N32" i="7"/>
  <c r="O32" i="7"/>
  <c r="P32" i="7"/>
  <c r="Q32" i="7"/>
  <c r="R32" i="7"/>
  <c r="J33" i="7"/>
  <c r="K33" i="7"/>
  <c r="L33" i="7"/>
  <c r="M33" i="7"/>
  <c r="N33" i="7"/>
  <c r="O33" i="7"/>
  <c r="P33" i="7"/>
  <c r="Q33" i="7"/>
  <c r="R33" i="7"/>
  <c r="J34" i="7"/>
  <c r="K34" i="7"/>
  <c r="L34" i="7"/>
  <c r="M34" i="7"/>
  <c r="N34" i="7"/>
  <c r="O34" i="7"/>
  <c r="P34" i="7"/>
  <c r="Q34" i="7"/>
  <c r="R34" i="7"/>
  <c r="Q35" i="7"/>
  <c r="R35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8" i="7"/>
  <c r="R36" i="5"/>
  <c r="P36" i="5"/>
  <c r="K36" i="5"/>
  <c r="H8" i="7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7" i="6"/>
  <c r="P8" i="6"/>
  <c r="I36" i="5"/>
  <c r="G36" i="5"/>
  <c r="F36" i="5"/>
  <c r="I17" i="1"/>
  <c r="V4" i="4"/>
  <c r="AB38" i="6"/>
  <c r="AH35" i="7" s="1"/>
  <c r="AC38" i="6"/>
  <c r="AI35" i="7" s="1"/>
  <c r="AA38" i="6"/>
  <c r="AG35" i="7" s="1"/>
  <c r="Y38" i="6"/>
  <c r="AE35" i="7" s="1"/>
  <c r="H5" i="8" s="1"/>
  <c r="J5" i="8" s="1"/>
  <c r="X38" i="6"/>
  <c r="W38" i="6"/>
  <c r="AC35" i="7" s="1"/>
  <c r="H8" i="8" s="1"/>
  <c r="J8" i="8" s="1"/>
  <c r="U38" i="6"/>
  <c r="AA35" i="7" s="1"/>
  <c r="H10" i="8" s="1"/>
  <c r="J10" i="8" s="1"/>
  <c r="Z8" i="6"/>
  <c r="Z38" i="6" s="1"/>
  <c r="AF35" i="7" s="1"/>
  <c r="T8" i="6"/>
  <c r="T38" i="6" s="1"/>
  <c r="Z35" i="7" s="1"/>
  <c r="H4" i="8" s="1"/>
  <c r="J4" i="8" s="1"/>
  <c r="F38" i="6"/>
  <c r="J35" i="7" s="1"/>
  <c r="G38" i="6"/>
  <c r="K35" i="7" s="1"/>
  <c r="H38" i="6"/>
  <c r="L35" i="7" s="1"/>
  <c r="I38" i="6"/>
  <c r="M35" i="7" s="1"/>
  <c r="J38" i="6"/>
  <c r="N35" i="7" s="1"/>
  <c r="K38" i="6"/>
  <c r="O35" i="7" s="1"/>
  <c r="L38" i="6"/>
  <c r="P35" i="7" s="1"/>
  <c r="E38" i="6"/>
  <c r="V13" i="3"/>
  <c r="V15" i="3" s="1"/>
  <c r="V16" i="3" s="1"/>
  <c r="E26" i="4"/>
  <c r="K5" i="4"/>
  <c r="F108" i="2"/>
  <c r="M37" i="9" s="1"/>
  <c r="M40" i="9" s="1"/>
  <c r="F95" i="2"/>
  <c r="H37" i="9" s="1"/>
  <c r="H40" i="9" s="1"/>
  <c r="F82" i="2"/>
  <c r="T13" i="7" s="1"/>
  <c r="F69" i="2"/>
  <c r="T12" i="7" s="1"/>
  <c r="F56" i="2"/>
  <c r="T11" i="7" s="1"/>
  <c r="F42" i="2"/>
  <c r="T10" i="7" s="1"/>
  <c r="F29" i="2"/>
  <c r="T9" i="7" s="1"/>
  <c r="R40" i="3"/>
  <c r="T40" i="3" s="1"/>
  <c r="H32" i="3"/>
  <c r="J32" i="3" s="1"/>
  <c r="J19" i="1"/>
  <c r="J18" i="1"/>
  <c r="H16" i="3"/>
  <c r="I5" i="1"/>
  <c r="I7" i="1"/>
  <c r="I10" i="1"/>
  <c r="I11" i="1"/>
  <c r="I12" i="1"/>
  <c r="I13" i="1"/>
  <c r="I14" i="1"/>
  <c r="I15" i="1"/>
  <c r="I16" i="1"/>
  <c r="W16" i="7" l="1"/>
  <c r="M28" i="9"/>
  <c r="M31" i="9" s="1"/>
  <c r="M19" i="9"/>
  <c r="M22" i="9" s="1"/>
  <c r="F164" i="2"/>
  <c r="H10" i="9"/>
  <c r="H13" i="9" s="1"/>
  <c r="M10" i="9"/>
  <c r="M13" i="9" s="1"/>
  <c r="H19" i="9"/>
  <c r="H22" i="9" s="1"/>
  <c r="H28" i="9"/>
  <c r="H31" i="9" s="1"/>
  <c r="M82" i="2"/>
  <c r="M56" i="2"/>
  <c r="S21" i="7"/>
  <c r="X21" i="7" s="1"/>
  <c r="V38" i="6"/>
  <c r="AB35" i="7" s="1"/>
  <c r="H7" i="8" s="1"/>
  <c r="J7" i="8" s="1"/>
  <c r="L39" i="6"/>
  <c r="P36" i="7" s="1"/>
  <c r="W35" i="7"/>
  <c r="T35" i="7"/>
  <c r="AF8" i="7"/>
  <c r="P38" i="6"/>
  <c r="S34" i="7"/>
  <c r="X34" i="7" s="1"/>
  <c r="S30" i="7"/>
  <c r="X30" i="7" s="1"/>
  <c r="S26" i="7"/>
  <c r="X26" i="7" s="1"/>
  <c r="S22" i="7"/>
  <c r="X22" i="7" s="1"/>
  <c r="S18" i="7"/>
  <c r="X18" i="7" s="1"/>
  <c r="S14" i="7"/>
  <c r="S10" i="7"/>
  <c r="X10" i="7" s="1"/>
  <c r="Z8" i="7"/>
  <c r="O39" i="6"/>
  <c r="R36" i="7" s="1"/>
  <c r="N39" i="6"/>
  <c r="Q36" i="7" s="1"/>
  <c r="I35" i="7"/>
  <c r="I39" i="6"/>
  <c r="M36" i="7" s="1"/>
  <c r="AD35" i="7"/>
  <c r="H6" i="8" s="1"/>
  <c r="J6" i="8" s="1"/>
  <c r="S31" i="7"/>
  <c r="X31" i="7" s="1"/>
  <c r="S27" i="7"/>
  <c r="X27" i="7" s="1"/>
  <c r="S23" i="7"/>
  <c r="X23" i="7" s="1"/>
  <c r="S19" i="7"/>
  <c r="X19" i="7" s="1"/>
  <c r="S15" i="7"/>
  <c r="X15" i="7" s="1"/>
  <c r="S11" i="7"/>
  <c r="X11" i="7" s="1"/>
  <c r="S33" i="7"/>
  <c r="X33" i="7" s="1"/>
  <c r="S29" i="7"/>
  <c r="X29" i="7" s="1"/>
  <c r="S25" i="7"/>
  <c r="X25" i="7" s="1"/>
  <c r="S17" i="7"/>
  <c r="X17" i="7" s="1"/>
  <c r="S13" i="7"/>
  <c r="X13" i="7" s="1"/>
  <c r="S9" i="7"/>
  <c r="X9" i="7" s="1"/>
  <c r="S32" i="7"/>
  <c r="X32" i="7" s="1"/>
  <c r="S28" i="7"/>
  <c r="X28" i="7" s="1"/>
  <c r="S24" i="7"/>
  <c r="X24" i="7" s="1"/>
  <c r="S20" i="7"/>
  <c r="X20" i="7" s="1"/>
  <c r="S16" i="7"/>
  <c r="X16" i="7" s="1"/>
  <c r="S12" i="7"/>
  <c r="X12" i="7" s="1"/>
  <c r="X8" i="7"/>
  <c r="E39" i="6"/>
  <c r="I36" i="7" s="1"/>
  <c r="J39" i="6"/>
  <c r="N36" i="7" s="1"/>
  <c r="F39" i="6"/>
  <c r="J36" i="7" s="1"/>
  <c r="K39" i="6"/>
  <c r="O36" i="7" s="1"/>
  <c r="H39" i="6"/>
  <c r="L36" i="7" s="1"/>
  <c r="L2" i="2" l="1"/>
  <c r="S8" i="1" s="1"/>
  <c r="G39" i="6"/>
  <c r="K36" i="7" s="1"/>
  <c r="S35" i="7"/>
  <c r="X14" i="7"/>
  <c r="X35" i="7" s="1"/>
  <c r="S10" i="1" l="1"/>
  <c r="Y26" i="8" s="1" a="1"/>
  <c r="Y26" i="8" s="1"/>
  <c r="Y29" i="8" s="1"/>
  <c r="S41" i="8" s="1"/>
  <c r="S43" i="8" s="1"/>
  <c r="S44" i="8" l="1"/>
  <c r="V69" i="8"/>
  <c r="S4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<sst xmlns="http://schemas.openxmlformats.org/spreadsheetml/2006/main" count="1250" uniqueCount="423">
  <si>
    <t>Buy from Previous Month's Manager</t>
  </si>
  <si>
    <t>Pach foron</t>
  </si>
  <si>
    <t>Murgir Moshla</t>
  </si>
  <si>
    <t>Halud</t>
  </si>
  <si>
    <t>Morich</t>
  </si>
  <si>
    <t xml:space="preserve">Jira </t>
  </si>
  <si>
    <t>Elach</t>
  </si>
  <si>
    <t xml:space="preserve">Long </t>
  </si>
  <si>
    <t>Laban</t>
  </si>
  <si>
    <t>Ada</t>
  </si>
  <si>
    <t>Alu</t>
  </si>
  <si>
    <t>Piyaj</t>
  </si>
  <si>
    <t>Chal</t>
  </si>
  <si>
    <t>Khichuri Chal</t>
  </si>
  <si>
    <t>600 gm</t>
  </si>
  <si>
    <t>2kg</t>
  </si>
  <si>
    <t>1kg</t>
  </si>
  <si>
    <t>500gm</t>
  </si>
  <si>
    <t>250 gm</t>
  </si>
  <si>
    <t>16 p</t>
  </si>
  <si>
    <t>9kg</t>
  </si>
  <si>
    <t>4 bosta</t>
  </si>
  <si>
    <t>Items</t>
  </si>
  <si>
    <t>Quantity</t>
  </si>
  <si>
    <t>Unit Price</t>
  </si>
  <si>
    <t>Amount</t>
  </si>
  <si>
    <t>Total</t>
  </si>
  <si>
    <t>Total Fund</t>
  </si>
  <si>
    <t>Total Cost</t>
  </si>
  <si>
    <t>Remaining</t>
  </si>
  <si>
    <t>Vara</t>
  </si>
  <si>
    <t>Polao Chal</t>
  </si>
  <si>
    <t>Maua</t>
  </si>
  <si>
    <t>Mudi Dokan</t>
  </si>
  <si>
    <t>Towel</t>
  </si>
  <si>
    <t>Gamcha</t>
  </si>
  <si>
    <t xml:space="preserve">Vara </t>
  </si>
  <si>
    <t>Item</t>
  </si>
  <si>
    <t>Cost</t>
  </si>
  <si>
    <t xml:space="preserve">Total </t>
  </si>
  <si>
    <t>Cash</t>
  </si>
  <si>
    <t>file+print</t>
  </si>
  <si>
    <t>chal</t>
  </si>
  <si>
    <t>29kg</t>
  </si>
  <si>
    <t xml:space="preserve">Date: </t>
  </si>
  <si>
    <t>van Vara</t>
  </si>
  <si>
    <t xml:space="preserve">grass cup </t>
  </si>
  <si>
    <t>quantity</t>
  </si>
  <si>
    <t>Mrigel</t>
  </si>
  <si>
    <t>Silver</t>
  </si>
  <si>
    <t>Cutting</t>
  </si>
  <si>
    <t>Murgi</t>
  </si>
  <si>
    <t>Dim</t>
  </si>
  <si>
    <t>Polythene</t>
  </si>
  <si>
    <t>37 kg</t>
  </si>
  <si>
    <t>150 p</t>
  </si>
  <si>
    <t>8p</t>
  </si>
  <si>
    <t>1 bosta</t>
  </si>
  <si>
    <t>7 bosta</t>
  </si>
  <si>
    <t>holud</t>
  </si>
  <si>
    <t>morich</t>
  </si>
  <si>
    <t>roshun</t>
  </si>
  <si>
    <t>ada</t>
  </si>
  <si>
    <t>alu</t>
  </si>
  <si>
    <t>piyaj</t>
  </si>
  <si>
    <t>kolmi shak</t>
  </si>
  <si>
    <t>kochu</t>
  </si>
  <si>
    <t>turki vara</t>
  </si>
  <si>
    <t>misty kumra</t>
  </si>
  <si>
    <t>pepe</t>
  </si>
  <si>
    <t>korola</t>
  </si>
  <si>
    <t>kakrol</t>
  </si>
  <si>
    <t>lebu</t>
  </si>
  <si>
    <t>gajor</t>
  </si>
  <si>
    <t>kacha morich</t>
  </si>
  <si>
    <t>potol</t>
  </si>
  <si>
    <t>chal kumra</t>
  </si>
  <si>
    <t>vara</t>
  </si>
  <si>
    <t>2 hali</t>
  </si>
  <si>
    <t>150 ti</t>
  </si>
  <si>
    <t>20 ti</t>
  </si>
  <si>
    <t>72.5kg</t>
  </si>
  <si>
    <t>50 p</t>
  </si>
  <si>
    <t>Dudh</t>
  </si>
  <si>
    <t xml:space="preserve"> </t>
  </si>
  <si>
    <t>unit price</t>
  </si>
  <si>
    <t>cost</t>
  </si>
  <si>
    <t>Total Regular Bazar Cost</t>
  </si>
  <si>
    <t>Daily Bokshish</t>
  </si>
  <si>
    <t>silver fish</t>
  </si>
  <si>
    <t xml:space="preserve">dim </t>
  </si>
  <si>
    <t>murgi</t>
  </si>
  <si>
    <t>raat</t>
  </si>
  <si>
    <t xml:space="preserve">murgi </t>
  </si>
  <si>
    <t>14 kg</t>
  </si>
  <si>
    <t>curry</t>
  </si>
  <si>
    <t>remaining</t>
  </si>
  <si>
    <t xml:space="preserve">kochu vaji </t>
  </si>
  <si>
    <t>shobji vaji</t>
  </si>
  <si>
    <t>dupur</t>
  </si>
  <si>
    <t>rui mach</t>
  </si>
  <si>
    <t>12.5 kg</t>
  </si>
  <si>
    <t>korla vaji</t>
  </si>
  <si>
    <t>60 kg</t>
  </si>
  <si>
    <t>silver</t>
  </si>
  <si>
    <t>18 kg</t>
  </si>
  <si>
    <t>dim</t>
  </si>
  <si>
    <t>19.5 kg</t>
  </si>
  <si>
    <t>alu potol</t>
  </si>
  <si>
    <t>date</t>
  </si>
  <si>
    <t>piece</t>
  </si>
  <si>
    <t>Chicken Curry</t>
  </si>
  <si>
    <t>28.8 kg</t>
  </si>
  <si>
    <t>200 p</t>
  </si>
  <si>
    <t>14.8kg</t>
  </si>
  <si>
    <t>chicken</t>
  </si>
  <si>
    <t>16 kg</t>
  </si>
  <si>
    <t>fish</t>
  </si>
  <si>
    <t>remain chicken</t>
  </si>
  <si>
    <t>52 kg</t>
  </si>
  <si>
    <t>dudh</t>
  </si>
  <si>
    <t>87.7 kg</t>
  </si>
  <si>
    <t>4 kg</t>
  </si>
  <si>
    <t>130 p</t>
  </si>
  <si>
    <t>Used Items and Quantity</t>
  </si>
  <si>
    <t>Date</t>
  </si>
  <si>
    <t>Moshur Dal</t>
  </si>
  <si>
    <t>Mug Dal</t>
  </si>
  <si>
    <t>Khichuri chal</t>
  </si>
  <si>
    <t>Tel</t>
  </si>
  <si>
    <t>Total Used</t>
  </si>
  <si>
    <t>Stock</t>
  </si>
  <si>
    <t>Chal(kg)</t>
  </si>
  <si>
    <t>Tel(kg)</t>
  </si>
  <si>
    <t>Holud</t>
  </si>
  <si>
    <t>chicken 1/8 jhal</t>
  </si>
  <si>
    <t>12.1kg</t>
  </si>
  <si>
    <t>100 p</t>
  </si>
  <si>
    <t>Arif</t>
  </si>
  <si>
    <t>kochu vaji</t>
  </si>
  <si>
    <t>32.2 kg</t>
  </si>
  <si>
    <t>Dhone Pata</t>
  </si>
  <si>
    <t>murgi R</t>
  </si>
  <si>
    <t>dal vorta</t>
  </si>
  <si>
    <t>alu+jali kumra vaji</t>
  </si>
  <si>
    <t>Vuna Khichuri</t>
  </si>
  <si>
    <t>Polao</t>
  </si>
  <si>
    <t>Lotpoti</t>
  </si>
  <si>
    <t>Lebu</t>
  </si>
  <si>
    <t>polao</t>
  </si>
  <si>
    <t>Total Meal</t>
  </si>
  <si>
    <t>Sl  No</t>
  </si>
  <si>
    <t>Regular</t>
  </si>
  <si>
    <t>Here cost</t>
  </si>
  <si>
    <t>Fish</t>
  </si>
  <si>
    <t>Karwan Bazar</t>
  </si>
  <si>
    <t>bokshish</t>
  </si>
  <si>
    <t>Per day cost for fish</t>
  </si>
  <si>
    <t>Per day cost for Karwan Bazar</t>
  </si>
  <si>
    <t>14.5 kg</t>
  </si>
  <si>
    <t>70 p</t>
  </si>
  <si>
    <t>2 kg</t>
  </si>
  <si>
    <t>Dhone pata</t>
  </si>
  <si>
    <t>200 g</t>
  </si>
  <si>
    <t>jira</t>
  </si>
  <si>
    <t>500 g</t>
  </si>
  <si>
    <t>moshur dal</t>
  </si>
  <si>
    <t xml:space="preserve">mistry kumra </t>
  </si>
  <si>
    <t>Total Boro Bazar Cost:</t>
  </si>
  <si>
    <t>mugi R</t>
  </si>
  <si>
    <t>alu vaji</t>
  </si>
  <si>
    <t>polaw</t>
  </si>
  <si>
    <t>kichuri</t>
  </si>
  <si>
    <t>but dal</t>
  </si>
  <si>
    <t>tel</t>
  </si>
  <si>
    <t>sorishar tel</t>
  </si>
  <si>
    <t>elach</t>
  </si>
  <si>
    <t>daruchini</t>
  </si>
  <si>
    <t>long</t>
  </si>
  <si>
    <t>shukna morich</t>
  </si>
  <si>
    <t>hulud</t>
  </si>
  <si>
    <t>kewra jol</t>
  </si>
  <si>
    <t>china badam</t>
  </si>
  <si>
    <t>pesta badam</t>
  </si>
  <si>
    <t>murgir moshla</t>
  </si>
  <si>
    <t>biriyani</t>
  </si>
  <si>
    <t>tes pata</t>
  </si>
  <si>
    <t>testy salt</t>
  </si>
  <si>
    <t>kichmich</t>
  </si>
  <si>
    <t>rosun</t>
  </si>
  <si>
    <t>sos</t>
  </si>
  <si>
    <t>soya sos</t>
  </si>
  <si>
    <t>harpic powder</t>
  </si>
  <si>
    <t>vim powder</t>
  </si>
  <si>
    <t>lux saban</t>
  </si>
  <si>
    <t>wheel saban</t>
  </si>
  <si>
    <t>wheel powder</t>
  </si>
  <si>
    <t>mech</t>
  </si>
  <si>
    <t>brush</t>
  </si>
  <si>
    <t>Jaru,tukri</t>
  </si>
  <si>
    <t>khabar lobon</t>
  </si>
  <si>
    <t>anchor dal</t>
  </si>
  <si>
    <t>pach furon</t>
  </si>
  <si>
    <t>mawa</t>
  </si>
  <si>
    <t xml:space="preserve"> bosta</t>
  </si>
  <si>
    <t>katon</t>
  </si>
  <si>
    <t>lit</t>
  </si>
  <si>
    <t>kg</t>
  </si>
  <si>
    <t>joy fol</t>
  </si>
  <si>
    <t>pc</t>
  </si>
  <si>
    <t>joitri</t>
  </si>
  <si>
    <t>kat badam</t>
  </si>
  <si>
    <t>gorur moshla</t>
  </si>
  <si>
    <t>lobon</t>
  </si>
  <si>
    <t>gamcha</t>
  </si>
  <si>
    <t>surf exel</t>
  </si>
  <si>
    <t>toyale</t>
  </si>
  <si>
    <t>bosta</t>
  </si>
  <si>
    <t>tk</t>
  </si>
  <si>
    <t>dojon</t>
  </si>
  <si>
    <t>mug dal</t>
  </si>
  <si>
    <t>15.8 kg</t>
  </si>
  <si>
    <t>60 p</t>
  </si>
  <si>
    <t>Tala</t>
  </si>
  <si>
    <t>1800 kg</t>
  </si>
  <si>
    <t>Chal vara</t>
  </si>
  <si>
    <t>Polao chal</t>
  </si>
  <si>
    <t>khichuri chal</t>
  </si>
  <si>
    <t>Polao Khichuri chal vara</t>
  </si>
  <si>
    <t>250kg</t>
  </si>
  <si>
    <t>200 kg</t>
  </si>
  <si>
    <t>Mudi dokan</t>
  </si>
  <si>
    <t>Cost estimation per piece</t>
  </si>
  <si>
    <t>Mudi mal vara</t>
  </si>
  <si>
    <t>baburchi bhai 200</t>
  </si>
  <si>
    <t>Boro Bajar</t>
  </si>
  <si>
    <t>regular Bazar</t>
  </si>
  <si>
    <t>from Prev Month</t>
  </si>
  <si>
    <t>Voucher</t>
  </si>
  <si>
    <t>Others</t>
  </si>
  <si>
    <t>Hishab</t>
  </si>
  <si>
    <t>Total Hishab</t>
  </si>
  <si>
    <t>Turki Vara</t>
  </si>
  <si>
    <t>Bosta</t>
  </si>
  <si>
    <t>Pepe</t>
  </si>
  <si>
    <t>Pui shak</t>
  </si>
  <si>
    <t>35 ati</t>
  </si>
  <si>
    <t>Lau</t>
  </si>
  <si>
    <t>40 p</t>
  </si>
  <si>
    <t>Barboti</t>
  </si>
  <si>
    <t xml:space="preserve">8 kg </t>
  </si>
  <si>
    <t>Mula</t>
  </si>
  <si>
    <t>20 kg</t>
  </si>
  <si>
    <t>Kakrol</t>
  </si>
  <si>
    <t>8.5 kg</t>
  </si>
  <si>
    <t>5 kg</t>
  </si>
  <si>
    <t>10 kg</t>
  </si>
  <si>
    <t>Holud Morich Vangano</t>
  </si>
  <si>
    <t>33 kg</t>
  </si>
  <si>
    <t>cost per piece</t>
  </si>
  <si>
    <t>rui fish</t>
  </si>
  <si>
    <t>shak vaji</t>
  </si>
  <si>
    <t>Borboti vaji</t>
  </si>
  <si>
    <t>30.8 kg</t>
  </si>
  <si>
    <t>300 p</t>
  </si>
  <si>
    <t>remain</t>
  </si>
  <si>
    <t xml:space="preserve">per day </t>
  </si>
  <si>
    <t>total day</t>
  </si>
  <si>
    <t>per bela for improvement</t>
  </si>
  <si>
    <t>dim with alu dal</t>
  </si>
  <si>
    <t>kakrol vaji</t>
  </si>
  <si>
    <t>16.6 kg</t>
  </si>
  <si>
    <t>remain murgi</t>
  </si>
  <si>
    <t>6 kg</t>
  </si>
  <si>
    <t>jharu tukri</t>
  </si>
  <si>
    <t>polyerhene</t>
  </si>
  <si>
    <t>22.6 kg</t>
  </si>
  <si>
    <t>470 p</t>
  </si>
  <si>
    <t>alvi</t>
  </si>
  <si>
    <t>lau vaji</t>
  </si>
  <si>
    <t>pepe alu vaji</t>
  </si>
  <si>
    <t>remaining chicken</t>
  </si>
  <si>
    <t>murikhondo</t>
  </si>
  <si>
    <t>Rui Dopeyaja</t>
  </si>
  <si>
    <t>Ubai</t>
  </si>
  <si>
    <t>karwan bajar</t>
  </si>
  <si>
    <t>Total fund</t>
  </si>
  <si>
    <t>collected</t>
  </si>
  <si>
    <t>remain for total Improvement</t>
  </si>
  <si>
    <t>remain from collected</t>
  </si>
  <si>
    <t>to be collected</t>
  </si>
  <si>
    <t>Total remaining</t>
  </si>
  <si>
    <t>for normal day</t>
  </si>
  <si>
    <t>remaining improvement</t>
  </si>
  <si>
    <t>murgi 1/8</t>
  </si>
  <si>
    <t>korola vaji</t>
  </si>
  <si>
    <t>murgi remaining</t>
  </si>
  <si>
    <t>Alu Bhorta</t>
  </si>
  <si>
    <t>kochur loti</t>
  </si>
  <si>
    <t>39.6 kg</t>
  </si>
  <si>
    <t>570 p</t>
  </si>
  <si>
    <t>Rui fish</t>
  </si>
  <si>
    <t>65.1 kg</t>
  </si>
  <si>
    <t>chingri fish</t>
  </si>
  <si>
    <t>dhone pata</t>
  </si>
  <si>
    <t>Tomato</t>
  </si>
  <si>
    <t>Korola</t>
  </si>
  <si>
    <t>cutting</t>
  </si>
  <si>
    <t>Turki vara</t>
  </si>
  <si>
    <t>marker</t>
  </si>
  <si>
    <t>loti</t>
  </si>
  <si>
    <t>kochu mukhi</t>
  </si>
  <si>
    <t>barbati</t>
  </si>
  <si>
    <t>lau</t>
  </si>
  <si>
    <t>jali kumra</t>
  </si>
  <si>
    <t xml:space="preserve">alu </t>
  </si>
  <si>
    <t>tukri vara</t>
  </si>
  <si>
    <t>16.7 kg</t>
  </si>
  <si>
    <t>borboti vaji</t>
  </si>
  <si>
    <t xml:space="preserve"> rui mach</t>
  </si>
  <si>
    <t>chicken korma</t>
  </si>
  <si>
    <t>56 kg</t>
  </si>
  <si>
    <t>2 litre</t>
  </si>
  <si>
    <t>total stock</t>
  </si>
  <si>
    <t>78.2 kg</t>
  </si>
  <si>
    <t>chiujhal cost estimation</t>
  </si>
  <si>
    <t>moshla for olive chicken</t>
  </si>
  <si>
    <t>roshun for chuijhal</t>
  </si>
  <si>
    <t>jhal fry</t>
  </si>
  <si>
    <t>lotpoti</t>
  </si>
  <si>
    <t>botboti alu</t>
  </si>
  <si>
    <t>corn flour green</t>
  </si>
  <si>
    <t xml:space="preserve">olive chicken </t>
  </si>
  <si>
    <t>khichuri</t>
  </si>
  <si>
    <t>lau +dal vaji</t>
  </si>
  <si>
    <t>cutting kashem 200</t>
  </si>
  <si>
    <t>normal day</t>
  </si>
  <si>
    <t>Previous day</t>
  </si>
  <si>
    <t>anchor</t>
  </si>
  <si>
    <t>41.44 kg</t>
  </si>
  <si>
    <t>250 p</t>
  </si>
  <si>
    <t>Chuijhal</t>
  </si>
  <si>
    <t>dal ghono</t>
  </si>
  <si>
    <t>Goru</t>
  </si>
  <si>
    <t>Khashi</t>
  </si>
  <si>
    <t>chamoch</t>
  </si>
  <si>
    <t>goru</t>
  </si>
  <si>
    <t>baburchi+chui+moshla</t>
  </si>
  <si>
    <t>850 p</t>
  </si>
  <si>
    <t>kolmi</t>
  </si>
  <si>
    <t>turki</t>
  </si>
  <si>
    <t>ada roshun</t>
  </si>
  <si>
    <t>begun</t>
  </si>
  <si>
    <t>korolla</t>
  </si>
  <si>
    <t>vendi</t>
  </si>
  <si>
    <t>port pahara</t>
  </si>
  <si>
    <t>alu+bkash</t>
  </si>
  <si>
    <t>Bangaliyana</t>
  </si>
  <si>
    <t>fish vorta</t>
  </si>
  <si>
    <t>shak + lebu</t>
  </si>
  <si>
    <t>Telapia</t>
  </si>
  <si>
    <t>chingri</t>
  </si>
  <si>
    <t>20 p</t>
  </si>
  <si>
    <t>10+15</t>
  </si>
  <si>
    <t>payesh</t>
  </si>
  <si>
    <t>payesh baburchi</t>
  </si>
  <si>
    <t>dim vaja</t>
  </si>
  <si>
    <t>dim vara</t>
  </si>
  <si>
    <t>previous day</t>
  </si>
  <si>
    <t>Porota</t>
  </si>
  <si>
    <t>chicken curry</t>
  </si>
  <si>
    <t>55 kg</t>
  </si>
  <si>
    <t xml:space="preserve">Chicken Jhal fry </t>
  </si>
  <si>
    <t>270 p</t>
  </si>
  <si>
    <t>porota</t>
  </si>
  <si>
    <t>remaining improvement boro</t>
  </si>
  <si>
    <t>duck</t>
  </si>
  <si>
    <t>Saturday</t>
  </si>
  <si>
    <t>Sunday</t>
  </si>
  <si>
    <t>Monday</t>
  </si>
  <si>
    <t>Tuesday</t>
  </si>
  <si>
    <t>Wednesday</t>
  </si>
  <si>
    <t>Thursday</t>
  </si>
  <si>
    <t>Friday</t>
  </si>
  <si>
    <t>Improvement: Taka thaka shapekkhe</t>
  </si>
  <si>
    <t>Khichuri</t>
  </si>
  <si>
    <t>1 p chicken roast</t>
  </si>
  <si>
    <t>potol vaji</t>
  </si>
  <si>
    <t>telapia</t>
  </si>
  <si>
    <t>75 dim for football players</t>
  </si>
  <si>
    <t>hash</t>
  </si>
  <si>
    <t>goru/khashi</t>
  </si>
  <si>
    <t>salad, lotpoti, roshmalai</t>
  </si>
  <si>
    <t>vendi vaji</t>
  </si>
  <si>
    <t>murgi improvement 1 bela</t>
  </si>
  <si>
    <t>feast</t>
  </si>
  <si>
    <t>roshmalai</t>
  </si>
  <si>
    <t>fruit salad</t>
  </si>
  <si>
    <t>drinks</t>
  </si>
  <si>
    <t>Feast Cost Estimation</t>
  </si>
  <si>
    <t>Collected at Alvi</t>
  </si>
  <si>
    <t>mojo</t>
  </si>
  <si>
    <t>rc upper</t>
  </si>
  <si>
    <t>6 litre</t>
  </si>
  <si>
    <t>Rosh malai</t>
  </si>
  <si>
    <t>rosh malai vara</t>
  </si>
  <si>
    <t>2 lit</t>
  </si>
  <si>
    <t>alvi cost</t>
  </si>
  <si>
    <t>moshla</t>
  </si>
  <si>
    <t>fuits</t>
  </si>
  <si>
    <t>27 kg</t>
  </si>
  <si>
    <t>1.5 kg</t>
  </si>
  <si>
    <t>mugdal</t>
  </si>
  <si>
    <t xml:space="preserve">5 litre sauce </t>
  </si>
  <si>
    <t>shaban</t>
  </si>
  <si>
    <t>Hash</t>
  </si>
  <si>
    <t>fruit</t>
  </si>
  <si>
    <t>hash kata</t>
  </si>
  <si>
    <t>others  bela</t>
  </si>
  <si>
    <t>AIzaSyDZCcyXovZ31gMXzx7og9nFf7TtVEtPh-g</t>
  </si>
  <si>
    <t>API key</t>
  </si>
  <si>
    <t>1YpCiB_fckmIGWczsbbwsTGBAVaAV1kt7</t>
  </si>
  <si>
    <t>gdrive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</si>
</sst>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1"/>
      <color rgb="FF0070C0"/>
      <name val="Times New Roman"/>
      <family val="1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1"/>
      <color theme="4"/>
      <name val="Times New Roman"/>
      <family val="1"/>
    </font>
    <font>
      <b/>
      <sz val="16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6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8" fillId="0" borderId="1" xfId="0" applyFont="1" applyBorder="1"/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7" borderId="1" xfId="0" applyFont="1" applyFill="1" applyBorder="1"/>
    <xf numFmtId="0" fontId="0" fillId="6" borderId="1" xfId="0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" fontId="0" fillId="0" borderId="1" xfId="0" applyNumberFormat="1" applyBorder="1"/>
    <xf numFmtId="0" fontId="9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18" fillId="0" borderId="1" xfId="0" applyFont="1" applyBorder="1"/>
    <xf numFmtId="0" fontId="1" fillId="0" borderId="7" xfId="0" applyFont="1" applyBorder="1" applyAlignment="1">
      <alignment horizontal="center" vertical="center"/>
    </xf>
    <xf numFmtId="0" fontId="0" fillId="11" borderId="1" xfId="0" applyFill="1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10" borderId="1" xfId="0" applyFill="1" applyBorder="1"/>
    <xf numFmtId="0" fontId="0" fillId="12" borderId="1" xfId="0" applyFill="1" applyBorder="1" applyAlignment="1">
      <alignment horizontal="center" vertical="center"/>
    </xf>
    <xf numFmtId="0" fontId="0" fillId="0" borderId="4" xfId="0" applyBorder="1"/>
    <xf numFmtId="0" fontId="0" fillId="0" borderId="14" xfId="0" applyBorder="1"/>
    <xf numFmtId="0" fontId="0" fillId="0" borderId="5" xfId="0" applyBorder="1"/>
    <xf numFmtId="0" fontId="0" fillId="0" borderId="13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1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4" fontId="9" fillId="7" borderId="6" xfId="0" applyNumberFormat="1" applyFont="1" applyFill="1" applyBorder="1" applyAlignment="1">
      <alignment horizontal="center" vertical="center"/>
    </xf>
    <xf numFmtId="14" fontId="9" fillId="7" borderId="7" xfId="0" applyNumberFormat="1" applyFont="1" applyFill="1" applyBorder="1" applyAlignment="1">
      <alignment horizontal="center" vertical="center"/>
    </xf>
    <xf numFmtId="14" fontId="9" fillId="7" borderId="8" xfId="0" applyNumberFormat="1" applyFont="1" applyFill="1" applyBorder="1" applyAlignment="1">
      <alignment horizontal="center" vertical="center"/>
    </xf>
    <xf numFmtId="0" fontId="9" fillId="12" borderId="6" xfId="0" applyFont="1" applyFill="1" applyBorder="1" applyAlignment="1">
      <alignment horizontal="center" vertical="center"/>
    </xf>
    <xf numFmtId="0" fontId="9" fillId="12" borderId="7" xfId="0" applyFont="1" applyFill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13" borderId="6" xfId="0" applyFont="1" applyFill="1" applyBorder="1" applyAlignment="1">
      <alignment horizontal="center" vertical="center"/>
    </xf>
    <xf numFmtId="0" fontId="9" fillId="13" borderId="7" xfId="0" applyFont="1" applyFill="1" applyBorder="1" applyAlignment="1">
      <alignment horizontal="center" vertical="center"/>
    </xf>
    <xf numFmtId="0" fontId="9" fillId="13" borderId="8" xfId="0" applyFont="1" applyFill="1" applyBorder="1" applyAlignment="1">
      <alignment horizontal="center" vertical="center"/>
    </xf>
    <xf numFmtId="14" fontId="18" fillId="10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of Person'!$F$4</c:f>
              <c:strCache>
                <c:ptCount val="1"/>
                <c:pt idx="0">
                  <c:v>dupur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'No of Person'!$E$5:$E$34</c:f>
              <c:numCache>
                <c:formatCode>m/d/yyyy</c:formatCode>
                <c:ptCount val="30"/>
                <c:pt idx="0">
                  <c:v>45565</c:v>
                </c:pt>
                <c:pt idx="1">
                  <c:v>45566</c:v>
                </c:pt>
                <c:pt idx="2">
                  <c:v>45567</c:v>
                </c:pt>
                <c:pt idx="3">
                  <c:v>45568</c:v>
                </c:pt>
                <c:pt idx="4">
                  <c:v>45569</c:v>
                </c:pt>
                <c:pt idx="5">
                  <c:v>45570</c:v>
                </c:pt>
                <c:pt idx="6">
                  <c:v>45571</c:v>
                </c:pt>
                <c:pt idx="7">
                  <c:v>45572</c:v>
                </c:pt>
                <c:pt idx="8">
                  <c:v>45584</c:v>
                </c:pt>
                <c:pt idx="9">
                  <c:v>45585</c:v>
                </c:pt>
                <c:pt idx="10">
                  <c:v>45586</c:v>
                </c:pt>
                <c:pt idx="11">
                  <c:v>45587</c:v>
                </c:pt>
                <c:pt idx="12">
                  <c:v>45588</c:v>
                </c:pt>
                <c:pt idx="13">
                  <c:v>45589</c:v>
                </c:pt>
                <c:pt idx="14">
                  <c:v>45590</c:v>
                </c:pt>
                <c:pt idx="15">
                  <c:v>45591</c:v>
                </c:pt>
                <c:pt idx="16">
                  <c:v>45592</c:v>
                </c:pt>
                <c:pt idx="17">
                  <c:v>45593</c:v>
                </c:pt>
                <c:pt idx="18">
                  <c:v>45594</c:v>
                </c:pt>
                <c:pt idx="19">
                  <c:v>45595</c:v>
                </c:pt>
                <c:pt idx="20">
                  <c:v>45596</c:v>
                </c:pt>
                <c:pt idx="21">
                  <c:v>45597</c:v>
                </c:pt>
                <c:pt idx="22">
                  <c:v>45598</c:v>
                </c:pt>
                <c:pt idx="23">
                  <c:v>45599</c:v>
                </c:pt>
                <c:pt idx="24">
                  <c:v>45600</c:v>
                </c:pt>
                <c:pt idx="25">
                  <c:v>45601</c:v>
                </c:pt>
                <c:pt idx="26">
                  <c:v>45602</c:v>
                </c:pt>
                <c:pt idx="27">
                  <c:v>45603</c:v>
                </c:pt>
                <c:pt idx="28">
                  <c:v>45604</c:v>
                </c:pt>
                <c:pt idx="29">
                  <c:v>45605</c:v>
                </c:pt>
              </c:numCache>
            </c:numRef>
          </c:cat>
          <c:val>
            <c:numRef>
              <c:f>'No of Person'!$F$5:$F$34</c:f>
              <c:numCache>
                <c:formatCode>General</c:formatCode>
                <c:ptCount val="30"/>
                <c:pt idx="0">
                  <c:v>353</c:v>
                </c:pt>
                <c:pt idx="1">
                  <c:v>355</c:v>
                </c:pt>
                <c:pt idx="2">
                  <c:v>355</c:v>
                </c:pt>
                <c:pt idx="3">
                  <c:v>342</c:v>
                </c:pt>
                <c:pt idx="4">
                  <c:v>365</c:v>
                </c:pt>
                <c:pt idx="5">
                  <c:v>270</c:v>
                </c:pt>
                <c:pt idx="6">
                  <c:v>235</c:v>
                </c:pt>
                <c:pt idx="7">
                  <c:v>216</c:v>
                </c:pt>
                <c:pt idx="8">
                  <c:v>440</c:v>
                </c:pt>
                <c:pt idx="9">
                  <c:v>451</c:v>
                </c:pt>
                <c:pt idx="10">
                  <c:v>465</c:v>
                </c:pt>
                <c:pt idx="11">
                  <c:v>444</c:v>
                </c:pt>
                <c:pt idx="12">
                  <c:v>420</c:v>
                </c:pt>
                <c:pt idx="13">
                  <c:v>350</c:v>
                </c:pt>
                <c:pt idx="14">
                  <c:v>440</c:v>
                </c:pt>
                <c:pt idx="15">
                  <c:v>434</c:v>
                </c:pt>
                <c:pt idx="16">
                  <c:v>441</c:v>
                </c:pt>
                <c:pt idx="17">
                  <c:v>433</c:v>
                </c:pt>
                <c:pt idx="18">
                  <c:v>442</c:v>
                </c:pt>
                <c:pt idx="19">
                  <c:v>432</c:v>
                </c:pt>
                <c:pt idx="20">
                  <c:v>351</c:v>
                </c:pt>
                <c:pt idx="21">
                  <c:v>434</c:v>
                </c:pt>
                <c:pt idx="22">
                  <c:v>434</c:v>
                </c:pt>
                <c:pt idx="23">
                  <c:v>411</c:v>
                </c:pt>
                <c:pt idx="24">
                  <c:v>440</c:v>
                </c:pt>
                <c:pt idx="25">
                  <c:v>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88-4947-B6E4-6BB162D8E0CB}"/>
            </c:ext>
          </c:extLst>
        </c:ser>
        <c:ser>
          <c:idx val="1"/>
          <c:order val="1"/>
          <c:tx>
            <c:strRef>
              <c:f>'No of Person'!$G$4</c:f>
              <c:strCache>
                <c:ptCount val="1"/>
                <c:pt idx="0">
                  <c:v>raat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'No of Person'!$E$5:$E$34</c:f>
              <c:numCache>
                <c:formatCode>m/d/yyyy</c:formatCode>
                <c:ptCount val="30"/>
                <c:pt idx="0">
                  <c:v>45565</c:v>
                </c:pt>
                <c:pt idx="1">
                  <c:v>45566</c:v>
                </c:pt>
                <c:pt idx="2">
                  <c:v>45567</c:v>
                </c:pt>
                <c:pt idx="3">
                  <c:v>45568</c:v>
                </c:pt>
                <c:pt idx="4">
                  <c:v>45569</c:v>
                </c:pt>
                <c:pt idx="5">
                  <c:v>45570</c:v>
                </c:pt>
                <c:pt idx="6">
                  <c:v>45571</c:v>
                </c:pt>
                <c:pt idx="7">
                  <c:v>45572</c:v>
                </c:pt>
                <c:pt idx="8">
                  <c:v>45584</c:v>
                </c:pt>
                <c:pt idx="9">
                  <c:v>45585</c:v>
                </c:pt>
                <c:pt idx="10">
                  <c:v>45586</c:v>
                </c:pt>
                <c:pt idx="11">
                  <c:v>45587</c:v>
                </c:pt>
                <c:pt idx="12">
                  <c:v>45588</c:v>
                </c:pt>
                <c:pt idx="13">
                  <c:v>45589</c:v>
                </c:pt>
                <c:pt idx="14">
                  <c:v>45590</c:v>
                </c:pt>
                <c:pt idx="15">
                  <c:v>45591</c:v>
                </c:pt>
                <c:pt idx="16">
                  <c:v>45592</c:v>
                </c:pt>
                <c:pt idx="17">
                  <c:v>45593</c:v>
                </c:pt>
                <c:pt idx="18">
                  <c:v>45594</c:v>
                </c:pt>
                <c:pt idx="19">
                  <c:v>45595</c:v>
                </c:pt>
                <c:pt idx="20">
                  <c:v>45596</c:v>
                </c:pt>
                <c:pt idx="21">
                  <c:v>45597</c:v>
                </c:pt>
                <c:pt idx="22">
                  <c:v>45598</c:v>
                </c:pt>
                <c:pt idx="23">
                  <c:v>45599</c:v>
                </c:pt>
                <c:pt idx="24">
                  <c:v>45600</c:v>
                </c:pt>
                <c:pt idx="25">
                  <c:v>45601</c:v>
                </c:pt>
                <c:pt idx="26">
                  <c:v>45602</c:v>
                </c:pt>
                <c:pt idx="27">
                  <c:v>45603</c:v>
                </c:pt>
                <c:pt idx="28">
                  <c:v>45604</c:v>
                </c:pt>
                <c:pt idx="29">
                  <c:v>45605</c:v>
                </c:pt>
              </c:numCache>
            </c:numRef>
          </c:cat>
          <c:val>
            <c:numRef>
              <c:f>'No of Person'!$G$5:$G$34</c:f>
              <c:numCache>
                <c:formatCode>General</c:formatCode>
                <c:ptCount val="30"/>
                <c:pt idx="0">
                  <c:v>337</c:v>
                </c:pt>
                <c:pt idx="1">
                  <c:v>400</c:v>
                </c:pt>
                <c:pt idx="2">
                  <c:v>340</c:v>
                </c:pt>
                <c:pt idx="3">
                  <c:v>316</c:v>
                </c:pt>
                <c:pt idx="4">
                  <c:v>300</c:v>
                </c:pt>
                <c:pt idx="5">
                  <c:v>250</c:v>
                </c:pt>
                <c:pt idx="6">
                  <c:v>205</c:v>
                </c:pt>
                <c:pt idx="7">
                  <c:v>195</c:v>
                </c:pt>
                <c:pt idx="8">
                  <c:v>423</c:v>
                </c:pt>
                <c:pt idx="9">
                  <c:v>432</c:v>
                </c:pt>
                <c:pt idx="10">
                  <c:v>405</c:v>
                </c:pt>
                <c:pt idx="11">
                  <c:v>490</c:v>
                </c:pt>
                <c:pt idx="12">
                  <c:v>351</c:v>
                </c:pt>
                <c:pt idx="13">
                  <c:v>325</c:v>
                </c:pt>
                <c:pt idx="14">
                  <c:v>395</c:v>
                </c:pt>
                <c:pt idx="15">
                  <c:v>429</c:v>
                </c:pt>
                <c:pt idx="16">
                  <c:v>475</c:v>
                </c:pt>
                <c:pt idx="17">
                  <c:v>400</c:v>
                </c:pt>
                <c:pt idx="18">
                  <c:v>510</c:v>
                </c:pt>
                <c:pt idx="19">
                  <c:v>340</c:v>
                </c:pt>
                <c:pt idx="20">
                  <c:v>415</c:v>
                </c:pt>
                <c:pt idx="21">
                  <c:v>363</c:v>
                </c:pt>
                <c:pt idx="22">
                  <c:v>392</c:v>
                </c:pt>
                <c:pt idx="23">
                  <c:v>475</c:v>
                </c:pt>
                <c:pt idx="24">
                  <c:v>410</c:v>
                </c:pt>
                <c:pt idx="25">
                  <c:v>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88-4947-B6E4-6BB162D8E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228336"/>
        <c:axId val="555230736"/>
      </c:lineChart>
      <c:dateAx>
        <c:axId val="5552283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30736"/>
        <c:crosses val="autoZero"/>
        <c:auto val="1"/>
        <c:lblOffset val="100"/>
        <c:baseTimeUnit val="days"/>
      </c:dateAx>
      <c:valAx>
        <c:axId val="55523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2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'Idea Per head cost calc'!$H$7</c:f>
              <c:strCache>
                <c:ptCount val="1"/>
                <c:pt idx="0">
                  <c:v>Total Meal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'Idea Per head cost calc'!$G$8:$G$13</c:f>
              <c:numCache>
                <c:formatCode>m/d/yyyy</c:formatCode>
                <c:ptCount val="6"/>
                <c:pt idx="0">
                  <c:v>45565</c:v>
                </c:pt>
                <c:pt idx="1">
                  <c:v>45566</c:v>
                </c:pt>
                <c:pt idx="2">
                  <c:v>45567</c:v>
                </c:pt>
                <c:pt idx="3">
                  <c:v>45568</c:v>
                </c:pt>
                <c:pt idx="4">
                  <c:v>45569</c:v>
                </c:pt>
                <c:pt idx="5">
                  <c:v>45570</c:v>
                </c:pt>
              </c:numCache>
            </c:numRef>
          </c:cat>
          <c:val>
            <c:numRef>
              <c:f>'Idea Per head cost calc'!$H$8:$H$13</c:f>
              <c:numCache>
                <c:formatCode>0</c:formatCode>
                <c:ptCount val="6"/>
                <c:pt idx="0">
                  <c:v>690</c:v>
                </c:pt>
                <c:pt idx="1">
                  <c:v>755</c:v>
                </c:pt>
                <c:pt idx="2">
                  <c:v>695</c:v>
                </c:pt>
                <c:pt idx="3">
                  <c:v>658</c:v>
                </c:pt>
                <c:pt idx="4">
                  <c:v>665</c:v>
                </c:pt>
                <c:pt idx="5">
                  <c:v>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1-4C88-B18E-8782A9FA76E9}"/>
            </c:ext>
          </c:extLst>
        </c:ser>
        <c:ser>
          <c:idx val="1"/>
          <c:order val="1"/>
          <c:tx>
            <c:strRef>
              <c:f>'Idea Per head cost calc'!$I$7</c:f>
              <c:strCache>
                <c:ptCount val="1"/>
                <c:pt idx="0">
                  <c:v>Chal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'Idea Per head cost calc'!$G$8:$G$13</c:f>
              <c:numCache>
                <c:formatCode>m/d/yyyy</c:formatCode>
                <c:ptCount val="6"/>
                <c:pt idx="0">
                  <c:v>45565</c:v>
                </c:pt>
                <c:pt idx="1">
                  <c:v>45566</c:v>
                </c:pt>
                <c:pt idx="2">
                  <c:v>45567</c:v>
                </c:pt>
                <c:pt idx="3">
                  <c:v>45568</c:v>
                </c:pt>
                <c:pt idx="4">
                  <c:v>45569</c:v>
                </c:pt>
                <c:pt idx="5">
                  <c:v>45570</c:v>
                </c:pt>
              </c:numCache>
            </c:numRef>
          </c:cat>
          <c:val>
            <c:numRef>
              <c:f>'Idea Per head cost calc'!$I$8:$I$13</c:f>
              <c:numCache>
                <c:formatCode>General</c:formatCode>
                <c:ptCount val="6"/>
                <c:pt idx="0">
                  <c:v>72</c:v>
                </c:pt>
                <c:pt idx="1">
                  <c:v>45</c:v>
                </c:pt>
                <c:pt idx="2">
                  <c:v>90</c:v>
                </c:pt>
                <c:pt idx="3">
                  <c:v>85</c:v>
                </c:pt>
                <c:pt idx="4">
                  <c:v>40</c:v>
                </c:pt>
                <c:pt idx="5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A1-4C88-B18E-8782A9FA76E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21826767"/>
        <c:axId val="657403567"/>
      </c:lineChart>
      <c:dateAx>
        <c:axId val="7218267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03567"/>
        <c:crosses val="autoZero"/>
        <c:auto val="1"/>
        <c:lblOffset val="100"/>
        <c:baseTimeUnit val="days"/>
      </c:dateAx>
      <c:valAx>
        <c:axId val="65740356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72182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496957</xdr:colOff>
      <xdr:row>6</xdr:row>
      <xdr:rowOff>8283</xdr:rowOff>
    </xdr:from>
    <xdr:to>
      <xdr:col>18</xdr:col>
      <xdr:colOff>517662</xdr:colOff>
      <xdr:row>23</xdr:row>
      <xdr:rowOff>104360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FEE1C-6955-8845-DD89-D943174C4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109537</xdr:rowOff>
    </xdr:from>
    <xdr:to>
      <xdr:col>5</xdr:col>
      <xdr:colOff>304800</xdr:colOff>
      <xdr:row>26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3A1E8F-35A9-C4A7-B2A4-6C064D12E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FFFB-7A95-4F89-B41C-DAC3B1C44A7D}">
  <sheetPr>
    <pageSetUpPr fitToPage="1"/>
  </sheetPr>
  <dimension ref="F3:AB36"/>
  <sheetViews>
    <sheetView topLeftCell="D1" workbookViewId="0">
      <selection activeCell="O27" sqref="O27"/>
    </sheetView>
  </sheetViews>
  <sheetFormatPr defaultColWidth="9.140625" defaultRowHeight="15" x14ac:dyDescent="0.25"/>
  <cols>
    <col min="1" max="7" width="9.140625" style="1"/>
    <col min="8" max="8" width="12.42578125" style="1" customWidth="1"/>
    <col min="9" max="9" width="12.5703125" style="1" customWidth="1"/>
    <col min="10" max="10" width="11.85546875" style="1" customWidth="1"/>
    <col min="11" max="17" width="9.140625" style="1"/>
    <col min="18" max="18" width="17" style="1" customWidth="1"/>
    <col min="19" max="21" width="9.140625" style="1"/>
    <col min="22" max="22" width="11.85546875" style="1" customWidth="1"/>
    <col min="23" max="23" width="15.5703125" style="1" customWidth="1"/>
    <col min="24" max="26" width="9.140625" style="1"/>
    <col min="27" max="27" width="16.140625" style="1" customWidth="1"/>
    <col min="28" max="16384" width="9.140625" style="1"/>
  </cols>
  <sheetData>
    <row r="3" spans="6:28" ht="26.25" customHeight="1" x14ac:dyDescent="0.25">
      <c r="F3" s="65" t="s">
        <v>0</v>
      </c>
      <c r="G3" s="65"/>
      <c r="H3" s="65"/>
      <c r="I3" s="65"/>
      <c r="J3" s="65"/>
      <c r="K3" s="65"/>
      <c r="L3" s="65"/>
      <c r="M3" s="65"/>
    </row>
    <row r="4" spans="6:28" ht="18.75" x14ac:dyDescent="0.25">
      <c r="F4" s="64" t="s">
        <v>22</v>
      </c>
      <c r="G4" s="64"/>
      <c r="H4" s="2" t="s">
        <v>23</v>
      </c>
      <c r="I4" s="2" t="s">
        <v>24</v>
      </c>
      <c r="J4" s="2" t="s">
        <v>25</v>
      </c>
      <c r="K4" s="3"/>
      <c r="L4" s="3"/>
      <c r="M4" s="3"/>
    </row>
    <row r="5" spans="6:28" x14ac:dyDescent="0.25">
      <c r="F5" s="60" t="s">
        <v>1</v>
      </c>
      <c r="G5" s="60" t="s">
        <v>1</v>
      </c>
      <c r="H5" s="3" t="s">
        <v>14</v>
      </c>
      <c r="I5" s="4">
        <f>J5/0.6</f>
        <v>166.66666666666669</v>
      </c>
      <c r="J5" s="3">
        <v>100</v>
      </c>
      <c r="K5" s="3"/>
      <c r="L5" s="3"/>
      <c r="M5" s="3"/>
    </row>
    <row r="6" spans="6:28" x14ac:dyDescent="0.25">
      <c r="F6" s="60" t="s">
        <v>2</v>
      </c>
      <c r="G6" s="60" t="s">
        <v>2</v>
      </c>
      <c r="H6" s="3"/>
      <c r="I6" s="3"/>
      <c r="J6" s="3">
        <v>420</v>
      </c>
      <c r="K6" s="3"/>
      <c r="L6" s="3"/>
      <c r="M6" s="3"/>
      <c r="R6" s="66" t="s">
        <v>27</v>
      </c>
      <c r="S6" s="74">
        <f>1071000-25000</f>
        <v>1046000</v>
      </c>
      <c r="T6" s="74"/>
      <c r="X6" s="62" t="s">
        <v>40</v>
      </c>
      <c r="Y6" s="63"/>
    </row>
    <row r="7" spans="6:28" x14ac:dyDescent="0.25">
      <c r="F7" s="60" t="s">
        <v>3</v>
      </c>
      <c r="G7" s="60" t="s">
        <v>3</v>
      </c>
      <c r="H7" s="3" t="s">
        <v>15</v>
      </c>
      <c r="I7" s="3">
        <f>J7/2</f>
        <v>260</v>
      </c>
      <c r="J7" s="3">
        <v>520</v>
      </c>
      <c r="K7" s="3"/>
      <c r="L7" s="3"/>
      <c r="M7" s="3"/>
      <c r="R7" s="66"/>
      <c r="S7" s="74"/>
      <c r="T7" s="74"/>
      <c r="X7" s="3" t="s">
        <v>138</v>
      </c>
      <c r="Y7" s="3">
        <v>50000</v>
      </c>
      <c r="AA7" s="70" t="s">
        <v>400</v>
      </c>
      <c r="AB7" s="71">
        <v>25000</v>
      </c>
    </row>
    <row r="8" spans="6:28" x14ac:dyDescent="0.25">
      <c r="F8" s="60" t="s">
        <v>4</v>
      </c>
      <c r="G8" s="60" t="s">
        <v>4</v>
      </c>
      <c r="H8" s="3" t="s">
        <v>16</v>
      </c>
      <c r="I8" s="3">
        <v>316</v>
      </c>
      <c r="J8" s="3">
        <v>316</v>
      </c>
      <c r="K8" s="3"/>
      <c r="L8" s="3"/>
      <c r="M8" s="3"/>
      <c r="R8" s="67" t="s">
        <v>28</v>
      </c>
      <c r="S8" s="74">
        <f>23650+'Regular Bazar'!L2+'Boro Bazar'!Q2</f>
        <v>970319</v>
      </c>
      <c r="T8" s="74"/>
      <c r="X8" s="3" t="s">
        <v>138</v>
      </c>
      <c r="Y8" s="3">
        <v>6000</v>
      </c>
      <c r="AA8" s="70"/>
      <c r="AB8" s="72"/>
    </row>
    <row r="9" spans="6:28" x14ac:dyDescent="0.25">
      <c r="F9" s="60" t="s">
        <v>5</v>
      </c>
      <c r="G9" s="60" t="s">
        <v>5</v>
      </c>
      <c r="H9" s="3" t="s">
        <v>16</v>
      </c>
      <c r="I9" s="3">
        <v>680</v>
      </c>
      <c r="J9" s="3">
        <v>680</v>
      </c>
      <c r="K9" s="3"/>
      <c r="L9" s="3"/>
      <c r="M9" s="3"/>
      <c r="R9" s="67"/>
      <c r="S9" s="74"/>
      <c r="T9" s="74"/>
      <c r="X9" s="18" t="s">
        <v>284</v>
      </c>
      <c r="Y9" s="18">
        <v>0</v>
      </c>
    </row>
    <row r="10" spans="6:28" x14ac:dyDescent="0.25">
      <c r="F10" s="60" t="s">
        <v>6</v>
      </c>
      <c r="G10" s="60" t="s">
        <v>6</v>
      </c>
      <c r="H10" s="3" t="s">
        <v>17</v>
      </c>
      <c r="I10" s="3">
        <f>J10/0.5</f>
        <v>3100</v>
      </c>
      <c r="J10" s="3">
        <v>1550</v>
      </c>
      <c r="K10" s="3"/>
      <c r="L10" s="3"/>
      <c r="M10" s="3"/>
      <c r="R10" s="68" t="s">
        <v>29</v>
      </c>
      <c r="S10" s="74">
        <f>S6-S8</f>
        <v>75681</v>
      </c>
      <c r="T10" s="74"/>
      <c r="X10" s="3" t="s">
        <v>278</v>
      </c>
      <c r="Y10" s="3">
        <v>20000</v>
      </c>
    </row>
    <row r="11" spans="6:28" x14ac:dyDescent="0.25">
      <c r="F11" s="60" t="s">
        <v>7</v>
      </c>
      <c r="G11" s="60" t="s">
        <v>7</v>
      </c>
      <c r="H11" s="3" t="s">
        <v>18</v>
      </c>
      <c r="I11" s="3">
        <f>J11/0.25</f>
        <v>1520</v>
      </c>
      <c r="J11" s="3">
        <v>380</v>
      </c>
      <c r="K11" s="3"/>
      <c r="L11" s="3"/>
      <c r="M11" s="3"/>
      <c r="R11" s="68"/>
      <c r="S11" s="74"/>
      <c r="T11" s="74"/>
      <c r="X11" s="7"/>
      <c r="Y11" s="7">
        <f>SUM(Y6:Y10)</f>
        <v>76000</v>
      </c>
    </row>
    <row r="12" spans="6:28" x14ac:dyDescent="0.25">
      <c r="F12" s="60" t="s">
        <v>8</v>
      </c>
      <c r="G12" s="60" t="s">
        <v>8</v>
      </c>
      <c r="H12" s="3" t="s">
        <v>19</v>
      </c>
      <c r="I12" s="3">
        <f>J12/16</f>
        <v>20.75</v>
      </c>
      <c r="J12" s="3">
        <v>332</v>
      </c>
      <c r="K12" s="3"/>
      <c r="L12" s="3"/>
      <c r="M12" s="3"/>
    </row>
    <row r="13" spans="6:28" x14ac:dyDescent="0.25">
      <c r="F13" s="60" t="s">
        <v>9</v>
      </c>
      <c r="G13" s="60" t="s">
        <v>9</v>
      </c>
      <c r="H13" s="3" t="s">
        <v>15</v>
      </c>
      <c r="I13" s="3">
        <f>J13/2</f>
        <v>160</v>
      </c>
      <c r="J13" s="3">
        <v>320</v>
      </c>
      <c r="K13" s="3"/>
      <c r="L13" s="3"/>
      <c r="M13" s="3"/>
    </row>
    <row r="14" spans="6:28" x14ac:dyDescent="0.25">
      <c r="F14" s="60" t="s">
        <v>10</v>
      </c>
      <c r="G14" s="60" t="s">
        <v>10</v>
      </c>
      <c r="H14" s="3">
        <v>45</v>
      </c>
      <c r="I14" s="3">
        <f>J14/45</f>
        <v>45</v>
      </c>
      <c r="J14" s="3">
        <v>2025</v>
      </c>
      <c r="K14" s="3"/>
      <c r="L14" s="3"/>
      <c r="M14" s="3"/>
    </row>
    <row r="15" spans="6:28" x14ac:dyDescent="0.25">
      <c r="F15" s="60" t="s">
        <v>11</v>
      </c>
      <c r="G15" s="60" t="s">
        <v>11</v>
      </c>
      <c r="H15" s="3" t="s">
        <v>20</v>
      </c>
      <c r="I15" s="3">
        <f>J15/9</f>
        <v>96</v>
      </c>
      <c r="J15" s="3">
        <v>864</v>
      </c>
      <c r="K15" s="3"/>
      <c r="L15" s="3"/>
      <c r="M15" s="3"/>
      <c r="V15" s="1">
        <f>45*450</f>
        <v>20250</v>
      </c>
    </row>
    <row r="16" spans="6:28" x14ac:dyDescent="0.25">
      <c r="F16" s="60" t="s">
        <v>12</v>
      </c>
      <c r="G16" s="60" t="s">
        <v>12</v>
      </c>
      <c r="H16" s="3" t="s">
        <v>21</v>
      </c>
      <c r="I16" s="3">
        <f>J16/200</f>
        <v>57</v>
      </c>
      <c r="J16" s="3">
        <v>11400</v>
      </c>
      <c r="K16" s="3"/>
      <c r="L16" s="3"/>
      <c r="M16" s="3"/>
      <c r="AA16" s="1">
        <f>20000-Y10</f>
        <v>0</v>
      </c>
    </row>
    <row r="17" spans="6:26" x14ac:dyDescent="0.25">
      <c r="F17" s="60" t="s">
        <v>13</v>
      </c>
      <c r="G17" s="60" t="s">
        <v>13</v>
      </c>
      <c r="H17" s="3"/>
      <c r="I17" s="3">
        <f>J17/45</f>
        <v>70</v>
      </c>
      <c r="J17" s="3">
        <v>3150</v>
      </c>
      <c r="K17" s="3"/>
      <c r="L17" s="3"/>
      <c r="M17" s="3"/>
      <c r="X17" s="1" t="s">
        <v>407</v>
      </c>
    </row>
    <row r="18" spans="6:26" x14ac:dyDescent="0.25">
      <c r="F18" s="60" t="s">
        <v>42</v>
      </c>
      <c r="G18" s="60"/>
      <c r="H18" s="3" t="s">
        <v>43</v>
      </c>
      <c r="I18" s="3">
        <v>57</v>
      </c>
      <c r="J18" s="3">
        <f>I18*29</f>
        <v>1653</v>
      </c>
      <c r="K18" s="3"/>
      <c r="L18" s="3"/>
      <c r="M18" s="3"/>
      <c r="X18" s="1" t="s">
        <v>376</v>
      </c>
      <c r="Y18" s="1">
        <v>20100</v>
      </c>
    </row>
    <row r="19" spans="6:26" x14ac:dyDescent="0.25">
      <c r="F19" s="60"/>
      <c r="G19" s="60"/>
      <c r="H19" s="3"/>
      <c r="I19" s="5" t="s">
        <v>26</v>
      </c>
      <c r="J19" s="6">
        <f>SUM(J5:J18)</f>
        <v>23710</v>
      </c>
      <c r="K19" s="3"/>
      <c r="L19" s="3"/>
      <c r="M19" s="3"/>
      <c r="X19" s="1" t="s">
        <v>72</v>
      </c>
      <c r="Y19" s="1">
        <v>240</v>
      </c>
    </row>
    <row r="20" spans="6:26" x14ac:dyDescent="0.25">
      <c r="X20" s="1" t="s">
        <v>408</v>
      </c>
      <c r="Y20" s="1">
        <v>840</v>
      </c>
    </row>
    <row r="21" spans="6:26" x14ac:dyDescent="0.25">
      <c r="X21" s="1" t="s">
        <v>409</v>
      </c>
      <c r="Y21" s="1">
        <v>1100</v>
      </c>
    </row>
    <row r="22" spans="6:26" x14ac:dyDescent="0.25">
      <c r="R22" s="1">
        <f>33*15</f>
        <v>495</v>
      </c>
      <c r="X22" s="1" t="s">
        <v>77</v>
      </c>
      <c r="Y22" s="1">
        <v>260</v>
      </c>
    </row>
    <row r="23" spans="6:26" x14ac:dyDescent="0.25">
      <c r="Y23" s="1">
        <f>SUM(Y18:Y22)</f>
        <v>22540</v>
      </c>
      <c r="Z23" s="1">
        <v>25320</v>
      </c>
    </row>
    <row r="24" spans="6:26" x14ac:dyDescent="0.25">
      <c r="Z24" s="1">
        <f>Z23-Y23</f>
        <v>2780</v>
      </c>
    </row>
    <row r="26" spans="6:26" x14ac:dyDescent="0.25">
      <c r="F26" s="73" t="s">
        <v>389</v>
      </c>
      <c r="G26" s="73"/>
      <c r="H26" s="73"/>
      <c r="I26" s="73"/>
      <c r="J26" s="73"/>
      <c r="K26" s="73"/>
      <c r="L26" s="73"/>
      <c r="M26" s="69">
        <v>930</v>
      </c>
      <c r="S26" s="1">
        <f>200000-2850+Y11</f>
        <v>273150</v>
      </c>
    </row>
    <row r="27" spans="6:26" x14ac:dyDescent="0.25">
      <c r="F27" s="73"/>
      <c r="G27" s="73"/>
      <c r="H27" s="73"/>
      <c r="I27" s="73"/>
      <c r="J27" s="73"/>
      <c r="K27" s="73"/>
      <c r="L27" s="73"/>
      <c r="M27" s="69"/>
      <c r="S27" s="10"/>
    </row>
    <row r="30" spans="6:26" x14ac:dyDescent="0.25">
      <c r="W30" s="61"/>
      <c r="X30" s="61"/>
    </row>
    <row r="31" spans="6:26" x14ac:dyDescent="0.25">
      <c r="W31" s="61"/>
      <c r="X31" s="61"/>
    </row>
    <row r="32" spans="6:26" x14ac:dyDescent="0.25">
      <c r="W32" s="61"/>
      <c r="X32" s="61"/>
    </row>
    <row r="33" spans="23:24" x14ac:dyDescent="0.25">
      <c r="W33" s="61"/>
      <c r="X33" s="61"/>
    </row>
    <row r="34" spans="23:24" x14ac:dyDescent="0.25">
      <c r="W34" s="61"/>
      <c r="X34" s="61"/>
    </row>
    <row r="35" spans="23:24" x14ac:dyDescent="0.25">
      <c r="W35" s="61"/>
      <c r="X35" s="61"/>
    </row>
    <row r="36" spans="23:24" x14ac:dyDescent="0.25">
      <c r="W36" s="61"/>
      <c r="X36" s="61"/>
    </row>
  </sheetData>
  <mergeCells count="35">
    <mergeCell ref="AA7:AA8"/>
    <mergeCell ref="AB7:AB8"/>
    <mergeCell ref="F26:L27"/>
    <mergeCell ref="S6:T7"/>
    <mergeCell ref="S8:T9"/>
    <mergeCell ref="S10:T11"/>
    <mergeCell ref="W34:X34"/>
    <mergeCell ref="F10:G10"/>
    <mergeCell ref="F11:G11"/>
    <mergeCell ref="F12:G12"/>
    <mergeCell ref="F13:G13"/>
    <mergeCell ref="F14:G14"/>
    <mergeCell ref="F15:G15"/>
    <mergeCell ref="M26:M27"/>
    <mergeCell ref="W35:X35"/>
    <mergeCell ref="X6:Y6"/>
    <mergeCell ref="W36:X36"/>
    <mergeCell ref="F4:G4"/>
    <mergeCell ref="F3:M3"/>
    <mergeCell ref="F18:G18"/>
    <mergeCell ref="F19:G19"/>
    <mergeCell ref="R6:R7"/>
    <mergeCell ref="R8:R9"/>
    <mergeCell ref="R10:R11"/>
    <mergeCell ref="F16:G16"/>
    <mergeCell ref="F17:G17"/>
    <mergeCell ref="W30:X30"/>
    <mergeCell ref="W31:X31"/>
    <mergeCell ref="W32:X32"/>
    <mergeCell ref="W33:X33"/>
    <mergeCell ref="F5:G5"/>
    <mergeCell ref="F6:G6"/>
    <mergeCell ref="F7:G7"/>
    <mergeCell ref="F8:G8"/>
    <mergeCell ref="F9:G9"/>
  </mergeCells>
  <pageMargins left="1" right="1" top="1" bottom="1" header="0.5" footer="0.5"/>
  <pageSetup paperSize="9" scale="9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756C-7F34-41E6-A5A0-4607CB080E6B}">
  <dimension ref="D2:Z92"/>
  <sheetViews>
    <sheetView workbookViewId="0">
      <selection activeCell="N12" sqref="N12"/>
    </sheetView>
  </sheetViews>
  <sheetFormatPr defaultColWidth="9.140625" defaultRowHeight="15" x14ac:dyDescent="0.25"/>
  <cols>
    <col min="1" max="4" width="9.140625" style="1"/>
    <col min="5" max="5" width="12" style="1" customWidth="1"/>
    <col min="6" max="8" width="9.140625" style="1"/>
    <col min="9" max="9" width="19.28515625" style="1" customWidth="1"/>
    <col min="10" max="10" width="9.140625" style="1"/>
    <col min="11" max="11" width="14.85546875" style="1" customWidth="1"/>
    <col min="12" max="14" width="9.140625" style="1"/>
    <col min="15" max="15" width="16.7109375" style="1" customWidth="1"/>
    <col min="16" max="16" width="20.140625" style="1" customWidth="1"/>
    <col min="17" max="17" width="13.7109375" style="1" bestFit="1" customWidth="1"/>
    <col min="18" max="18" width="9.140625" style="1"/>
    <col min="19" max="19" width="28.5703125" style="1" customWidth="1"/>
    <col min="20" max="21" width="9.140625" style="1"/>
    <col min="22" max="22" width="11.7109375" style="1" customWidth="1"/>
    <col min="23" max="24" width="9.140625" style="1"/>
    <col min="25" max="25" width="12.140625" style="1" customWidth="1"/>
    <col min="26" max="16384" width="9.140625" style="1"/>
  </cols>
  <sheetData>
    <row r="2" spans="4:22" ht="20.25" x14ac:dyDescent="0.25">
      <c r="O2" s="87" t="s">
        <v>168</v>
      </c>
      <c r="P2" s="87"/>
      <c r="Q2" s="31">
        <f>H16+H32+R40+Z40+H57+N59+V67+H92+N92+T84</f>
        <v>510303</v>
      </c>
    </row>
    <row r="3" spans="4:22" x14ac:dyDescent="0.25">
      <c r="D3" s="7" t="s">
        <v>44</v>
      </c>
      <c r="E3" s="8">
        <v>45564</v>
      </c>
      <c r="F3" s="3"/>
      <c r="G3" s="3"/>
      <c r="H3" s="3"/>
    </row>
    <row r="4" spans="4:22" x14ac:dyDescent="0.25">
      <c r="D4" s="3"/>
      <c r="E4" s="79" t="s">
        <v>37</v>
      </c>
      <c r="F4" s="79"/>
      <c r="G4" s="7" t="s">
        <v>47</v>
      </c>
      <c r="H4" s="7" t="s">
        <v>38</v>
      </c>
    </row>
    <row r="5" spans="4:22" x14ac:dyDescent="0.25">
      <c r="D5" s="3"/>
      <c r="E5" s="74" t="s">
        <v>30</v>
      </c>
      <c r="F5" s="74"/>
      <c r="G5" s="3"/>
      <c r="H5" s="3">
        <v>150</v>
      </c>
    </row>
    <row r="6" spans="4:22" x14ac:dyDescent="0.25">
      <c r="D6" s="3"/>
      <c r="E6" s="86" t="s">
        <v>12</v>
      </c>
      <c r="F6" s="86"/>
      <c r="G6" s="3" t="s">
        <v>58</v>
      </c>
      <c r="H6" s="3">
        <v>20200</v>
      </c>
    </row>
    <row r="7" spans="4:22" x14ac:dyDescent="0.25">
      <c r="D7" s="3"/>
      <c r="E7" s="86" t="s">
        <v>31</v>
      </c>
      <c r="F7" s="86"/>
      <c r="G7" s="3" t="s">
        <v>57</v>
      </c>
      <c r="H7" s="3">
        <v>5590</v>
      </c>
    </row>
    <row r="8" spans="4:22" x14ac:dyDescent="0.25">
      <c r="D8" s="3"/>
      <c r="E8" s="74" t="s">
        <v>30</v>
      </c>
      <c r="F8" s="74"/>
      <c r="G8" s="3"/>
      <c r="H8" s="3">
        <v>100</v>
      </c>
    </row>
    <row r="9" spans="4:22" x14ac:dyDescent="0.25">
      <c r="D9" s="3"/>
      <c r="E9" s="86" t="s">
        <v>32</v>
      </c>
      <c r="F9" s="86"/>
      <c r="G9" s="3" t="s">
        <v>56</v>
      </c>
      <c r="H9" s="3">
        <v>1600</v>
      </c>
    </row>
    <row r="10" spans="4:22" x14ac:dyDescent="0.25">
      <c r="D10" s="3"/>
      <c r="E10" s="86" t="s">
        <v>33</v>
      </c>
      <c r="F10" s="86"/>
      <c r="G10" s="3"/>
      <c r="H10" s="3">
        <v>38040</v>
      </c>
    </row>
    <row r="11" spans="4:22" x14ac:dyDescent="0.25">
      <c r="D11" s="3"/>
      <c r="E11" s="86" t="s">
        <v>34</v>
      </c>
      <c r="F11" s="86"/>
      <c r="G11" s="3">
        <v>6</v>
      </c>
      <c r="H11" s="3">
        <v>570</v>
      </c>
    </row>
    <row r="12" spans="4:22" x14ac:dyDescent="0.25">
      <c r="D12" s="3"/>
      <c r="E12" s="86" t="s">
        <v>35</v>
      </c>
      <c r="F12" s="86"/>
      <c r="G12" s="3">
        <v>17</v>
      </c>
      <c r="H12" s="3">
        <v>2040</v>
      </c>
    </row>
    <row r="13" spans="4:22" x14ac:dyDescent="0.25">
      <c r="D13" s="3"/>
      <c r="E13" s="74" t="s">
        <v>36</v>
      </c>
      <c r="F13" s="74"/>
      <c r="G13" s="3"/>
      <c r="H13" s="3">
        <v>110</v>
      </c>
      <c r="V13" s="1">
        <f>7*350</f>
        <v>2450</v>
      </c>
    </row>
    <row r="14" spans="4:22" x14ac:dyDescent="0.25">
      <c r="D14" s="3"/>
      <c r="E14" s="74" t="s">
        <v>41</v>
      </c>
      <c r="F14" s="74"/>
      <c r="G14" s="3"/>
      <c r="H14" s="3">
        <v>55</v>
      </c>
      <c r="V14" s="1">
        <v>240</v>
      </c>
    </row>
    <row r="15" spans="4:22" x14ac:dyDescent="0.25">
      <c r="D15" s="3"/>
      <c r="E15" s="74" t="s">
        <v>45</v>
      </c>
      <c r="F15" s="74"/>
      <c r="G15" s="3"/>
      <c r="H15" s="3">
        <v>300</v>
      </c>
      <c r="V15" s="1">
        <f>V13-V14</f>
        <v>2210</v>
      </c>
    </row>
    <row r="16" spans="4:22" x14ac:dyDescent="0.25">
      <c r="D16" s="3"/>
      <c r="E16" s="79" t="s">
        <v>39</v>
      </c>
      <c r="F16" s="79"/>
      <c r="G16" s="7"/>
      <c r="H16" s="9">
        <f>SUM(H5:H15)</f>
        <v>68755</v>
      </c>
      <c r="V16" s="1">
        <f>V15/25</f>
        <v>88.4</v>
      </c>
    </row>
    <row r="17" spans="4:26" x14ac:dyDescent="0.25">
      <c r="E17" s="70"/>
      <c r="F17" s="70"/>
    </row>
    <row r="18" spans="4:26" x14ac:dyDescent="0.25">
      <c r="E18" s="70"/>
      <c r="F18" s="70"/>
    </row>
    <row r="19" spans="4:26" x14ac:dyDescent="0.25">
      <c r="D19" s="7" t="s">
        <v>44</v>
      </c>
      <c r="E19" s="8">
        <v>45565</v>
      </c>
      <c r="F19" s="3"/>
      <c r="G19" s="3"/>
      <c r="H19" s="3"/>
      <c r="N19" s="7" t="s">
        <v>44</v>
      </c>
      <c r="O19" s="8">
        <v>45565</v>
      </c>
      <c r="P19" s="3"/>
      <c r="Q19" s="3"/>
      <c r="R19" s="3"/>
      <c r="U19" s="7" t="s">
        <v>44</v>
      </c>
      <c r="V19" s="8">
        <v>45571</v>
      </c>
      <c r="W19" s="3"/>
      <c r="X19" s="3"/>
      <c r="Y19" s="3"/>
      <c r="Z19" s="3"/>
    </row>
    <row r="20" spans="4:26" x14ac:dyDescent="0.25">
      <c r="D20" s="3"/>
      <c r="E20" s="79" t="s">
        <v>37</v>
      </c>
      <c r="F20" s="79"/>
      <c r="G20" s="7" t="s">
        <v>47</v>
      </c>
      <c r="H20" s="7" t="s">
        <v>38</v>
      </c>
      <c r="I20" s="1" t="s">
        <v>110</v>
      </c>
      <c r="N20" s="3"/>
      <c r="O20" s="79" t="s">
        <v>37</v>
      </c>
      <c r="P20" s="79"/>
      <c r="Q20" s="7" t="s">
        <v>47</v>
      </c>
      <c r="R20" s="7" t="s">
        <v>38</v>
      </c>
      <c r="U20" s="3"/>
      <c r="V20" s="79" t="s">
        <v>37</v>
      </c>
      <c r="W20" s="79"/>
      <c r="X20" s="7" t="s">
        <v>47</v>
      </c>
      <c r="Y20" s="7" t="s">
        <v>85</v>
      </c>
      <c r="Z20" s="7" t="s">
        <v>38</v>
      </c>
    </row>
    <row r="21" spans="4:26" x14ac:dyDescent="0.25">
      <c r="D21" s="3"/>
      <c r="E21" s="86" t="s">
        <v>46</v>
      </c>
      <c r="F21" s="86"/>
      <c r="G21" s="3">
        <v>26.1</v>
      </c>
      <c r="H21" s="74">
        <v>7960</v>
      </c>
      <c r="N21" s="3"/>
      <c r="O21" s="86" t="s">
        <v>59</v>
      </c>
      <c r="P21" s="86"/>
      <c r="Q21" s="3">
        <v>3</v>
      </c>
      <c r="R21" s="3">
        <v>960</v>
      </c>
      <c r="U21" s="3"/>
      <c r="V21" s="74" t="s">
        <v>74</v>
      </c>
      <c r="W21" s="74"/>
      <c r="X21" s="3" t="s">
        <v>161</v>
      </c>
      <c r="Y21" s="3"/>
      <c r="Z21" s="3">
        <v>640</v>
      </c>
    </row>
    <row r="22" spans="4:26" x14ac:dyDescent="0.25">
      <c r="D22" s="3"/>
      <c r="E22" s="86" t="s">
        <v>48</v>
      </c>
      <c r="F22" s="86"/>
      <c r="G22" s="3">
        <v>19</v>
      </c>
      <c r="H22" s="74"/>
      <c r="I22" s="29">
        <v>480</v>
      </c>
      <c r="J22" s="1">
        <v>120</v>
      </c>
      <c r="K22" s="1">
        <v>120</v>
      </c>
      <c r="L22" s="1">
        <v>120</v>
      </c>
      <c r="N22" s="3"/>
      <c r="O22" s="86" t="s">
        <v>60</v>
      </c>
      <c r="P22" s="86"/>
      <c r="Q22" s="3">
        <v>3</v>
      </c>
      <c r="R22" s="3">
        <v>840</v>
      </c>
      <c r="U22" s="3"/>
      <c r="V22" s="74" t="s">
        <v>162</v>
      </c>
      <c r="W22" s="74"/>
      <c r="X22" s="12" t="s">
        <v>163</v>
      </c>
      <c r="Y22" s="12">
        <v>550</v>
      </c>
      <c r="Z22" s="12">
        <v>110</v>
      </c>
    </row>
    <row r="23" spans="4:26" x14ac:dyDescent="0.25">
      <c r="D23" s="3"/>
      <c r="E23" s="74" t="s">
        <v>49</v>
      </c>
      <c r="F23" s="74"/>
      <c r="G23" s="3">
        <v>20.5</v>
      </c>
      <c r="H23" s="3">
        <v>1850</v>
      </c>
      <c r="I23" s="29">
        <v>215</v>
      </c>
      <c r="J23" s="1">
        <v>100</v>
      </c>
      <c r="K23" s="1">
        <v>115</v>
      </c>
      <c r="N23" s="3"/>
      <c r="O23" s="86" t="s">
        <v>61</v>
      </c>
      <c r="P23" s="86"/>
      <c r="Q23" s="3">
        <v>10</v>
      </c>
      <c r="R23" s="3">
        <v>1960</v>
      </c>
      <c r="U23" s="3"/>
      <c r="V23" s="86" t="s">
        <v>166</v>
      </c>
      <c r="W23" s="86"/>
      <c r="X23" s="12" t="s">
        <v>161</v>
      </c>
      <c r="Y23" s="12">
        <v>108</v>
      </c>
      <c r="Z23" s="12">
        <v>215</v>
      </c>
    </row>
    <row r="24" spans="4:26" x14ac:dyDescent="0.25">
      <c r="D24" s="3"/>
      <c r="E24" s="74" t="s">
        <v>30</v>
      </c>
      <c r="F24" s="74"/>
      <c r="G24" s="3">
        <v>100</v>
      </c>
      <c r="H24" s="3">
        <v>100</v>
      </c>
      <c r="N24" s="3"/>
      <c r="O24" s="86" t="s">
        <v>62</v>
      </c>
      <c r="P24" s="86"/>
      <c r="Q24" s="3">
        <v>5</v>
      </c>
      <c r="R24" s="3">
        <v>700</v>
      </c>
      <c r="U24" s="3"/>
      <c r="V24" s="86" t="s">
        <v>164</v>
      </c>
      <c r="W24" s="86"/>
      <c r="X24" s="12" t="s">
        <v>165</v>
      </c>
      <c r="Y24" s="12">
        <v>700</v>
      </c>
      <c r="Z24" s="12">
        <v>350</v>
      </c>
    </row>
    <row r="25" spans="4:26" x14ac:dyDescent="0.25">
      <c r="D25" s="3"/>
      <c r="E25" s="74" t="s">
        <v>50</v>
      </c>
      <c r="F25" s="74"/>
      <c r="G25" s="3">
        <v>650</v>
      </c>
      <c r="H25" s="3">
        <v>650</v>
      </c>
      <c r="N25" s="3"/>
      <c r="O25" s="86" t="s">
        <v>63</v>
      </c>
      <c r="P25" s="86"/>
      <c r="Q25" s="3">
        <v>120</v>
      </c>
      <c r="R25" s="3">
        <v>5560</v>
      </c>
      <c r="U25" s="3"/>
      <c r="V25" s="74"/>
      <c r="W25" s="74"/>
      <c r="X25" s="3"/>
      <c r="Y25" s="3"/>
      <c r="Z25" s="3"/>
    </row>
    <row r="26" spans="4:26" x14ac:dyDescent="0.25">
      <c r="D26" s="3"/>
      <c r="E26" s="74" t="s">
        <v>30</v>
      </c>
      <c r="F26" s="74"/>
      <c r="G26" s="3">
        <v>160</v>
      </c>
      <c r="H26" s="3">
        <v>160</v>
      </c>
      <c r="N26" s="3"/>
      <c r="O26" s="86" t="s">
        <v>64</v>
      </c>
      <c r="P26" s="86"/>
      <c r="Q26" s="3">
        <v>75</v>
      </c>
      <c r="R26" s="3">
        <v>6950</v>
      </c>
      <c r="U26" s="3"/>
      <c r="V26" s="74" t="s">
        <v>167</v>
      </c>
      <c r="W26" s="74"/>
      <c r="X26" s="3">
        <f>Z26/Y26</f>
        <v>13.222222222222221</v>
      </c>
      <c r="Y26" s="3">
        <v>36</v>
      </c>
      <c r="Z26" s="3">
        <v>476</v>
      </c>
    </row>
    <row r="27" spans="4:26" x14ac:dyDescent="0.25">
      <c r="D27" s="3"/>
      <c r="E27" s="74"/>
      <c r="F27" s="74"/>
      <c r="G27" s="3"/>
      <c r="H27" s="3"/>
      <c r="N27" s="3"/>
      <c r="O27" s="75" t="s">
        <v>65</v>
      </c>
      <c r="P27" s="76"/>
      <c r="Q27" s="3">
        <v>56</v>
      </c>
      <c r="R27" s="3">
        <v>390</v>
      </c>
      <c r="U27" s="3"/>
      <c r="V27" s="75" t="s">
        <v>63</v>
      </c>
      <c r="W27" s="76"/>
      <c r="X27" s="3">
        <f>Z27/Y27</f>
        <v>14.260869565217391</v>
      </c>
      <c r="Y27" s="3">
        <v>46</v>
      </c>
      <c r="Z27" s="3">
        <v>656</v>
      </c>
    </row>
    <row r="28" spans="4:26" x14ac:dyDescent="0.25">
      <c r="D28" s="3"/>
      <c r="E28" s="74"/>
      <c r="F28" s="74"/>
      <c r="G28" s="3"/>
      <c r="H28" s="3"/>
      <c r="N28" s="3"/>
      <c r="O28" s="75" t="s">
        <v>66</v>
      </c>
      <c r="P28" s="76"/>
      <c r="Q28" s="3" t="s">
        <v>78</v>
      </c>
      <c r="R28" s="3">
        <v>600</v>
      </c>
      <c r="U28" s="3"/>
      <c r="V28" s="75" t="s">
        <v>77</v>
      </c>
      <c r="W28" s="76"/>
      <c r="X28" s="3"/>
      <c r="Y28" s="3"/>
      <c r="Z28" s="3">
        <v>20</v>
      </c>
    </row>
    <row r="29" spans="4:26" x14ac:dyDescent="0.25">
      <c r="D29" s="3"/>
      <c r="E29" s="74"/>
      <c r="F29" s="74"/>
      <c r="G29" s="3"/>
      <c r="H29" s="3"/>
      <c r="N29" s="3"/>
      <c r="O29" s="75" t="s">
        <v>67</v>
      </c>
      <c r="P29" s="76"/>
      <c r="Q29" s="3"/>
      <c r="R29" s="3">
        <v>250</v>
      </c>
      <c r="U29" s="3"/>
      <c r="V29" s="75"/>
      <c r="W29" s="76"/>
      <c r="X29" s="3"/>
      <c r="Y29" s="3"/>
      <c r="Z29" s="3"/>
    </row>
    <row r="30" spans="4:26" x14ac:dyDescent="0.25">
      <c r="D30" s="3"/>
      <c r="E30" s="74"/>
      <c r="F30" s="74"/>
      <c r="G30" s="3"/>
      <c r="H30" s="3"/>
      <c r="N30" s="3"/>
      <c r="O30" s="75" t="s">
        <v>68</v>
      </c>
      <c r="P30" s="76"/>
      <c r="Q30" s="3">
        <v>45</v>
      </c>
      <c r="R30" s="3">
        <v>1600</v>
      </c>
      <c r="U30" s="3"/>
      <c r="V30" s="75"/>
      <c r="W30" s="76"/>
      <c r="X30" s="3"/>
      <c r="Y30" s="3"/>
      <c r="Z30" s="3"/>
    </row>
    <row r="31" spans="4:26" x14ac:dyDescent="0.25">
      <c r="D31" s="3"/>
      <c r="E31" s="74"/>
      <c r="F31" s="74"/>
      <c r="G31" s="3"/>
      <c r="H31" s="3"/>
      <c r="N31" s="3"/>
      <c r="O31" s="74" t="s">
        <v>69</v>
      </c>
      <c r="P31" s="74"/>
      <c r="Q31" s="3">
        <v>60</v>
      </c>
      <c r="R31" s="3">
        <v>1020</v>
      </c>
      <c r="U31" s="3"/>
      <c r="V31" s="74"/>
      <c r="W31" s="74"/>
      <c r="X31" s="3"/>
      <c r="Y31" s="3"/>
      <c r="Z31" s="3"/>
    </row>
    <row r="32" spans="4:26" x14ac:dyDescent="0.25">
      <c r="D32" s="3"/>
      <c r="E32" s="79" t="s">
        <v>39</v>
      </c>
      <c r="F32" s="79"/>
      <c r="G32" s="7"/>
      <c r="H32" s="9">
        <f>SUM(H21:H27)</f>
        <v>10720</v>
      </c>
      <c r="I32" s="1" t="s">
        <v>157</v>
      </c>
      <c r="J32" s="1">
        <f>H32/7</f>
        <v>1531.4285714285713</v>
      </c>
      <c r="N32" s="3"/>
      <c r="O32" s="74" t="s">
        <v>70</v>
      </c>
      <c r="P32" s="74"/>
      <c r="Q32" s="3">
        <v>7</v>
      </c>
      <c r="R32" s="3">
        <v>260</v>
      </c>
      <c r="U32" s="3"/>
      <c r="V32" s="74"/>
      <c r="W32" s="74"/>
      <c r="X32" s="3"/>
      <c r="Y32" s="3"/>
      <c r="Z32" s="3"/>
    </row>
    <row r="33" spans="4:26" x14ac:dyDescent="0.25">
      <c r="E33" s="70"/>
      <c r="F33" s="70"/>
      <c r="N33" s="3"/>
      <c r="O33" s="74" t="s">
        <v>71</v>
      </c>
      <c r="P33" s="74"/>
      <c r="Q33" s="3">
        <v>15</v>
      </c>
      <c r="R33" s="3">
        <v>550</v>
      </c>
      <c r="U33" s="3"/>
      <c r="V33" s="74"/>
      <c r="W33" s="74"/>
      <c r="X33" s="3"/>
      <c r="Y33" s="3"/>
      <c r="Z33" s="3"/>
    </row>
    <row r="34" spans="4:26" x14ac:dyDescent="0.25">
      <c r="E34" s="70"/>
      <c r="F34" s="70"/>
      <c r="N34" s="3"/>
      <c r="O34" s="74" t="s">
        <v>72</v>
      </c>
      <c r="P34" s="74"/>
      <c r="Q34" s="3" t="s">
        <v>79</v>
      </c>
      <c r="R34" s="3">
        <v>470</v>
      </c>
      <c r="U34" s="3"/>
      <c r="V34" s="74"/>
      <c r="W34" s="74"/>
      <c r="X34" s="3"/>
      <c r="Y34" s="3"/>
      <c r="Z34" s="3"/>
    </row>
    <row r="35" spans="4:26" x14ac:dyDescent="0.25">
      <c r="N35" s="3"/>
      <c r="O35" s="74" t="s">
        <v>73</v>
      </c>
      <c r="P35" s="74"/>
      <c r="Q35" s="3">
        <v>5</v>
      </c>
      <c r="R35" s="3">
        <v>200</v>
      </c>
      <c r="U35" s="3"/>
      <c r="V35" s="74"/>
      <c r="W35" s="74"/>
      <c r="X35" s="3"/>
      <c r="Y35" s="3"/>
      <c r="Z35" s="3"/>
    </row>
    <row r="36" spans="4:26" x14ac:dyDescent="0.25">
      <c r="N36" s="3"/>
      <c r="O36" s="75" t="s">
        <v>74</v>
      </c>
      <c r="P36" s="76"/>
      <c r="Q36" s="3">
        <v>5</v>
      </c>
      <c r="R36" s="3">
        <v>1400</v>
      </c>
      <c r="U36" s="3"/>
      <c r="V36" s="75"/>
      <c r="W36" s="76"/>
      <c r="X36" s="3"/>
      <c r="Y36" s="3"/>
      <c r="Z36" s="3"/>
    </row>
    <row r="37" spans="4:26" x14ac:dyDescent="0.25">
      <c r="N37" s="3"/>
      <c r="O37" s="75" t="s">
        <v>75</v>
      </c>
      <c r="P37" s="76"/>
      <c r="Q37" s="3">
        <v>15</v>
      </c>
      <c r="R37" s="3">
        <v>570</v>
      </c>
      <c r="U37" s="3"/>
      <c r="V37" s="75"/>
      <c r="W37" s="76"/>
      <c r="X37" s="3"/>
      <c r="Y37" s="3"/>
      <c r="Z37" s="3"/>
    </row>
    <row r="38" spans="4:26" x14ac:dyDescent="0.25">
      <c r="N38" s="3"/>
      <c r="O38" s="75" t="s">
        <v>76</v>
      </c>
      <c r="P38" s="76"/>
      <c r="Q38" s="3" t="s">
        <v>80</v>
      </c>
      <c r="R38" s="3">
        <v>1000</v>
      </c>
      <c r="U38" s="3"/>
      <c r="V38" s="75"/>
      <c r="W38" s="76"/>
      <c r="X38" s="3"/>
      <c r="Y38" s="3"/>
      <c r="Z38" s="3"/>
    </row>
    <row r="39" spans="4:26" x14ac:dyDescent="0.25">
      <c r="N39" s="3"/>
      <c r="O39" s="77" t="s">
        <v>77</v>
      </c>
      <c r="P39" s="78"/>
      <c r="Q39" s="3"/>
      <c r="R39" s="3">
        <v>540</v>
      </c>
      <c r="U39" s="3"/>
      <c r="V39" s="77"/>
      <c r="W39" s="78"/>
      <c r="X39" s="3"/>
      <c r="Y39" s="3"/>
      <c r="Z39" s="3"/>
    </row>
    <row r="40" spans="4:26" x14ac:dyDescent="0.25">
      <c r="N40" s="3"/>
      <c r="O40" s="79" t="s">
        <v>39</v>
      </c>
      <c r="P40" s="79"/>
      <c r="Q40" s="7"/>
      <c r="R40" s="9">
        <f>SUM(R21:R39)</f>
        <v>25820</v>
      </c>
      <c r="S40" s="1" t="s">
        <v>158</v>
      </c>
      <c r="T40" s="1">
        <f>R40/8</f>
        <v>3227.5</v>
      </c>
      <c r="U40" s="3"/>
      <c r="V40" s="79" t="s">
        <v>39</v>
      </c>
      <c r="W40" s="79"/>
      <c r="X40" s="7"/>
      <c r="Y40" s="7"/>
      <c r="Z40" s="9">
        <f>SUM(Z21:Z39)</f>
        <v>2467</v>
      </c>
    </row>
    <row r="46" spans="4:26" x14ac:dyDescent="0.25">
      <c r="D46" s="7" t="s">
        <v>44</v>
      </c>
      <c r="E46" s="8">
        <v>45582</v>
      </c>
      <c r="F46" s="3"/>
      <c r="G46" s="3"/>
      <c r="H46" s="3"/>
      <c r="J46" s="7" t="s">
        <v>44</v>
      </c>
      <c r="K46" s="8">
        <v>45583</v>
      </c>
      <c r="L46" s="3"/>
      <c r="M46" s="3"/>
      <c r="N46" s="3"/>
      <c r="R46" s="7" t="s">
        <v>44</v>
      </c>
      <c r="S46" s="8">
        <v>45583</v>
      </c>
      <c r="T46" s="3"/>
      <c r="U46" s="3"/>
      <c r="V46" s="3"/>
    </row>
    <row r="47" spans="4:26" x14ac:dyDescent="0.25">
      <c r="D47" s="3"/>
      <c r="E47" s="79" t="s">
        <v>37</v>
      </c>
      <c r="F47" s="79"/>
      <c r="G47" s="7" t="s">
        <v>47</v>
      </c>
      <c r="H47" s="7" t="s">
        <v>38</v>
      </c>
      <c r="J47" s="3"/>
      <c r="K47" s="79" t="s">
        <v>37</v>
      </c>
      <c r="L47" s="79"/>
      <c r="M47" s="7" t="s">
        <v>47</v>
      </c>
      <c r="N47" s="7" t="s">
        <v>38</v>
      </c>
      <c r="R47" s="3"/>
      <c r="S47" s="79" t="s">
        <v>37</v>
      </c>
      <c r="T47" s="79"/>
      <c r="U47" s="7" t="s">
        <v>47</v>
      </c>
      <c r="V47" s="7" t="s">
        <v>38</v>
      </c>
    </row>
    <row r="48" spans="4:26" x14ac:dyDescent="0.25">
      <c r="D48" s="3"/>
      <c r="E48" s="74" t="s">
        <v>30</v>
      </c>
      <c r="F48" s="74"/>
      <c r="G48" s="3"/>
      <c r="H48" s="3">
        <v>200</v>
      </c>
      <c r="J48" s="3"/>
      <c r="K48" s="86" t="s">
        <v>46</v>
      </c>
      <c r="L48" s="86"/>
      <c r="M48" s="3">
        <v>43.6</v>
      </c>
      <c r="N48" s="3">
        <v>7400</v>
      </c>
      <c r="O48" s="40">
        <v>610</v>
      </c>
      <c r="P48" s="1">
        <f>O48-150</f>
        <v>460</v>
      </c>
      <c r="R48" s="3"/>
      <c r="S48" s="86" t="s">
        <v>59</v>
      </c>
      <c r="T48" s="86"/>
      <c r="U48" s="3">
        <v>15</v>
      </c>
      <c r="V48" s="3">
        <v>3600</v>
      </c>
    </row>
    <row r="49" spans="4:22" x14ac:dyDescent="0.25">
      <c r="D49" s="3"/>
      <c r="E49" s="74" t="s">
        <v>12</v>
      </c>
      <c r="F49" s="74"/>
      <c r="G49" s="3" t="s">
        <v>224</v>
      </c>
      <c r="H49" s="3">
        <v>106920</v>
      </c>
      <c r="J49" s="3"/>
      <c r="K49" s="86" t="s">
        <v>48</v>
      </c>
      <c r="L49" s="86"/>
      <c r="M49" s="3">
        <v>42</v>
      </c>
      <c r="N49" s="3">
        <v>6330</v>
      </c>
      <c r="O49" s="40">
        <v>600</v>
      </c>
      <c r="P49" s="1">
        <f>O49-300</f>
        <v>300</v>
      </c>
      <c r="R49" s="3"/>
      <c r="S49" s="86" t="s">
        <v>60</v>
      </c>
      <c r="T49" s="86"/>
      <c r="U49" s="3">
        <v>21</v>
      </c>
      <c r="V49" s="3">
        <v>6150</v>
      </c>
    </row>
    <row r="50" spans="4:22" x14ac:dyDescent="0.25">
      <c r="D50" s="3"/>
      <c r="E50" s="74" t="s">
        <v>225</v>
      </c>
      <c r="F50" s="74"/>
      <c r="G50" s="3"/>
      <c r="H50" s="3">
        <v>1660</v>
      </c>
      <c r="J50" s="3"/>
      <c r="K50" s="86" t="s">
        <v>49</v>
      </c>
      <c r="L50" s="86"/>
      <c r="M50" s="3">
        <v>51.7</v>
      </c>
      <c r="N50" s="3">
        <v>5690</v>
      </c>
      <c r="O50" s="40">
        <v>530</v>
      </c>
      <c r="P50" s="1">
        <f>O50-90</f>
        <v>440</v>
      </c>
      <c r="R50" s="3"/>
      <c r="S50" s="86" t="s">
        <v>61</v>
      </c>
      <c r="T50" s="86"/>
      <c r="U50" s="3">
        <v>20</v>
      </c>
      <c r="V50" s="3">
        <v>3800</v>
      </c>
    </row>
    <row r="51" spans="4:22" x14ac:dyDescent="0.25">
      <c r="D51" s="3"/>
      <c r="E51" s="74" t="s">
        <v>226</v>
      </c>
      <c r="F51" s="74"/>
      <c r="G51" s="3" t="s">
        <v>229</v>
      </c>
      <c r="H51" s="3">
        <v>25000</v>
      </c>
      <c r="J51" s="3"/>
      <c r="K51" s="74" t="s">
        <v>30</v>
      </c>
      <c r="L51" s="74"/>
      <c r="M51" s="3"/>
      <c r="N51" s="3">
        <v>120</v>
      </c>
      <c r="O51" s="40">
        <f>SUM(O48:O50)</f>
        <v>1740</v>
      </c>
      <c r="R51" s="3"/>
      <c r="S51" s="86" t="s">
        <v>62</v>
      </c>
      <c r="T51" s="86"/>
      <c r="U51" s="3">
        <v>10</v>
      </c>
      <c r="V51" s="3">
        <v>1700</v>
      </c>
    </row>
    <row r="52" spans="4:22" x14ac:dyDescent="0.25">
      <c r="D52" s="3"/>
      <c r="E52" s="74" t="s">
        <v>227</v>
      </c>
      <c r="F52" s="74"/>
      <c r="G52" s="3" t="s">
        <v>230</v>
      </c>
      <c r="H52" s="3">
        <v>14400</v>
      </c>
      <c r="J52" s="3"/>
      <c r="K52" s="74" t="s">
        <v>50</v>
      </c>
      <c r="L52" s="74"/>
      <c r="M52" s="3"/>
      <c r="N52" s="3">
        <v>1360</v>
      </c>
      <c r="R52" s="3"/>
      <c r="S52" s="86" t="s">
        <v>63</v>
      </c>
      <c r="T52" s="86"/>
      <c r="U52" s="3">
        <v>260</v>
      </c>
      <c r="V52" s="3">
        <v>13080</v>
      </c>
    </row>
    <row r="53" spans="4:22" x14ac:dyDescent="0.25">
      <c r="D53" s="3"/>
      <c r="E53" s="74" t="s">
        <v>228</v>
      </c>
      <c r="F53" s="74"/>
      <c r="G53" s="3"/>
      <c r="H53" s="3">
        <v>420</v>
      </c>
      <c r="J53" s="3"/>
      <c r="K53" s="74" t="s">
        <v>30</v>
      </c>
      <c r="L53" s="74"/>
      <c r="M53" s="3"/>
      <c r="N53" s="3">
        <v>180</v>
      </c>
      <c r="R53" s="3"/>
      <c r="S53" s="86" t="s">
        <v>64</v>
      </c>
      <c r="T53" s="86"/>
      <c r="U53" s="3">
        <v>70</v>
      </c>
      <c r="V53" s="3">
        <v>7450</v>
      </c>
    </row>
    <row r="54" spans="4:22" x14ac:dyDescent="0.25">
      <c r="D54" s="3"/>
      <c r="E54" s="74" t="s">
        <v>231</v>
      </c>
      <c r="F54" s="74"/>
      <c r="G54" s="3"/>
      <c r="H54" s="3">
        <v>128871</v>
      </c>
      <c r="J54" s="3"/>
      <c r="K54" s="74" t="s">
        <v>242</v>
      </c>
      <c r="L54" s="74"/>
      <c r="M54" s="3"/>
      <c r="N54" s="3">
        <v>80</v>
      </c>
      <c r="R54" s="3"/>
      <c r="S54" s="75" t="s">
        <v>244</v>
      </c>
      <c r="T54" s="76"/>
      <c r="U54" s="3">
        <v>50</v>
      </c>
      <c r="V54" s="3">
        <v>1100</v>
      </c>
    </row>
    <row r="55" spans="4:22" x14ac:dyDescent="0.25">
      <c r="D55" s="3"/>
      <c r="E55" s="74" t="s">
        <v>30</v>
      </c>
      <c r="F55" s="74"/>
      <c r="G55" s="3"/>
      <c r="H55" s="3">
        <f>80+170</f>
        <v>250</v>
      </c>
      <c r="J55" s="3"/>
      <c r="K55" s="74" t="s">
        <v>243</v>
      </c>
      <c r="L55" s="74"/>
      <c r="M55" s="3">
        <v>1</v>
      </c>
      <c r="N55" s="3">
        <v>20</v>
      </c>
      <c r="R55" s="3"/>
      <c r="S55" s="75" t="s">
        <v>245</v>
      </c>
      <c r="T55" s="76"/>
      <c r="U55" s="3" t="s">
        <v>246</v>
      </c>
      <c r="V55" s="3">
        <v>600</v>
      </c>
    </row>
    <row r="56" spans="4:22" x14ac:dyDescent="0.25">
      <c r="D56" s="3"/>
      <c r="E56" s="74" t="s">
        <v>233</v>
      </c>
      <c r="F56" s="74"/>
      <c r="G56" s="3"/>
      <c r="H56" s="3">
        <f>400+500</f>
        <v>900</v>
      </c>
      <c r="J56" s="3"/>
      <c r="K56" s="74"/>
      <c r="L56" s="74"/>
      <c r="M56" s="3"/>
      <c r="N56" s="3"/>
      <c r="R56" s="3"/>
      <c r="S56" s="75" t="s">
        <v>247</v>
      </c>
      <c r="T56" s="76"/>
      <c r="U56" s="3" t="s">
        <v>248</v>
      </c>
      <c r="V56" s="3">
        <v>700</v>
      </c>
    </row>
    <row r="57" spans="4:22" x14ac:dyDescent="0.25">
      <c r="D57" s="3"/>
      <c r="E57" s="79" t="s">
        <v>39</v>
      </c>
      <c r="F57" s="79"/>
      <c r="G57" s="3"/>
      <c r="H57" s="32">
        <f>SUM(H48:H56)</f>
        <v>278621</v>
      </c>
      <c r="J57" s="3"/>
      <c r="K57" s="74"/>
      <c r="L57" s="74"/>
      <c r="M57" s="3"/>
      <c r="N57" s="3"/>
      <c r="R57" s="3"/>
      <c r="S57" s="75" t="s">
        <v>249</v>
      </c>
      <c r="T57" s="76"/>
      <c r="U57" s="3" t="s">
        <v>250</v>
      </c>
      <c r="V57" s="3">
        <v>480</v>
      </c>
    </row>
    <row r="58" spans="4:22" x14ac:dyDescent="0.25">
      <c r="E58" s="70"/>
      <c r="F58" s="70"/>
      <c r="J58" s="3"/>
      <c r="K58" s="74"/>
      <c r="L58" s="74"/>
      <c r="M58" s="3"/>
      <c r="N58" s="3"/>
      <c r="R58" s="3"/>
      <c r="S58" s="74" t="s">
        <v>251</v>
      </c>
      <c r="T58" s="74"/>
      <c r="U58" s="3" t="s">
        <v>252</v>
      </c>
      <c r="V58" s="3">
        <v>480</v>
      </c>
    </row>
    <row r="59" spans="4:22" x14ac:dyDescent="0.25">
      <c r="E59" s="70"/>
      <c r="F59" s="70"/>
      <c r="J59" s="3"/>
      <c r="K59" s="79" t="s">
        <v>39</v>
      </c>
      <c r="L59" s="79"/>
      <c r="M59" s="7"/>
      <c r="N59" s="9">
        <f>SUM(N48:N55)</f>
        <v>21180</v>
      </c>
      <c r="O59" s="1" t="s">
        <v>259</v>
      </c>
      <c r="P59" s="1">
        <f>N59/O51</f>
        <v>12.172413793103448</v>
      </c>
      <c r="R59" s="3"/>
      <c r="S59" s="74" t="s">
        <v>253</v>
      </c>
      <c r="T59" s="74"/>
      <c r="U59" s="3" t="s">
        <v>254</v>
      </c>
      <c r="V59" s="3">
        <v>510</v>
      </c>
    </row>
    <row r="60" spans="4:22" x14ac:dyDescent="0.25">
      <c r="E60" s="70"/>
      <c r="F60" s="70"/>
      <c r="R60" s="3"/>
      <c r="S60" s="74" t="s">
        <v>162</v>
      </c>
      <c r="T60" s="74"/>
      <c r="U60" s="3" t="s">
        <v>255</v>
      </c>
      <c r="V60" s="3">
        <v>350</v>
      </c>
    </row>
    <row r="61" spans="4:22" x14ac:dyDescent="0.25">
      <c r="E61" s="69"/>
      <c r="F61" s="69"/>
      <c r="R61" s="3"/>
      <c r="S61" s="74" t="s">
        <v>74</v>
      </c>
      <c r="T61" s="74"/>
      <c r="U61" s="3" t="s">
        <v>256</v>
      </c>
      <c r="V61" s="3">
        <v>2500</v>
      </c>
    </row>
    <row r="62" spans="4:22" x14ac:dyDescent="0.25">
      <c r="D62" s="24"/>
      <c r="E62" s="33"/>
      <c r="R62" s="3"/>
      <c r="S62" s="74" t="s">
        <v>257</v>
      </c>
      <c r="T62" s="74"/>
      <c r="U62" s="3" t="s">
        <v>258</v>
      </c>
      <c r="V62" s="3">
        <v>500</v>
      </c>
    </row>
    <row r="63" spans="4:22" x14ac:dyDescent="0.25">
      <c r="E63" s="69"/>
      <c r="F63" s="69"/>
      <c r="G63" s="24"/>
      <c r="H63" s="24"/>
      <c r="R63" s="3"/>
      <c r="S63" s="75" t="s">
        <v>242</v>
      </c>
      <c r="T63" s="76"/>
      <c r="U63" s="3"/>
      <c r="V63" s="3">
        <v>130</v>
      </c>
    </row>
    <row r="64" spans="4:22" x14ac:dyDescent="0.25">
      <c r="E64" s="70"/>
      <c r="F64" s="70"/>
      <c r="R64" s="3"/>
      <c r="S64" s="75" t="s">
        <v>77</v>
      </c>
      <c r="T64" s="76"/>
      <c r="U64" s="3"/>
      <c r="V64" s="3">
        <f>710-50</f>
        <v>660</v>
      </c>
    </row>
    <row r="65" spans="4:22" x14ac:dyDescent="0.25">
      <c r="E65" s="70"/>
      <c r="F65" s="70"/>
      <c r="R65" s="3"/>
      <c r="S65" s="75"/>
      <c r="T65" s="76"/>
      <c r="U65" s="3"/>
      <c r="V65" s="3"/>
    </row>
    <row r="66" spans="4:22" x14ac:dyDescent="0.25">
      <c r="E66" s="70"/>
      <c r="F66" s="70"/>
      <c r="R66" s="3"/>
      <c r="S66" s="77"/>
      <c r="T66" s="78"/>
      <c r="U66" s="3"/>
      <c r="V66" s="3"/>
    </row>
    <row r="67" spans="4:22" x14ac:dyDescent="0.25">
      <c r="E67" s="70"/>
      <c r="F67" s="70"/>
      <c r="R67" s="3"/>
      <c r="S67" s="79" t="s">
        <v>39</v>
      </c>
      <c r="T67" s="79"/>
      <c r="U67" s="7"/>
      <c r="V67" s="9">
        <f>SUM(V48:V66)</f>
        <v>43790</v>
      </c>
    </row>
    <row r="68" spans="4:22" x14ac:dyDescent="0.25">
      <c r="E68" s="70"/>
      <c r="F68" s="70"/>
    </row>
    <row r="69" spans="4:22" x14ac:dyDescent="0.25">
      <c r="E69" s="70"/>
      <c r="F69" s="70"/>
    </row>
    <row r="70" spans="4:22" x14ac:dyDescent="0.25">
      <c r="E70" s="70"/>
      <c r="F70" s="70"/>
    </row>
    <row r="71" spans="4:22" x14ac:dyDescent="0.25">
      <c r="D71" s="7" t="s">
        <v>44</v>
      </c>
      <c r="E71" s="8">
        <v>45588</v>
      </c>
      <c r="F71" s="3"/>
      <c r="G71" s="3"/>
      <c r="H71" s="3"/>
      <c r="J71" s="7" t="s">
        <v>44</v>
      </c>
      <c r="K71" s="8">
        <v>45595</v>
      </c>
      <c r="L71" s="3"/>
      <c r="M71" s="3"/>
      <c r="N71" s="3"/>
      <c r="P71" s="7" t="s">
        <v>44</v>
      </c>
      <c r="Q71" s="8">
        <v>45595</v>
      </c>
      <c r="R71" s="3"/>
      <c r="S71" s="3"/>
      <c r="T71" s="3"/>
    </row>
    <row r="72" spans="4:22" x14ac:dyDescent="0.25">
      <c r="D72" s="3"/>
      <c r="E72" s="79" t="s">
        <v>37</v>
      </c>
      <c r="F72" s="79"/>
      <c r="G72" s="7" t="s">
        <v>47</v>
      </c>
      <c r="H72" s="7" t="s">
        <v>38</v>
      </c>
      <c r="J72" s="3"/>
      <c r="K72" s="79" t="s">
        <v>37</v>
      </c>
      <c r="L72" s="79"/>
      <c r="M72" s="7" t="s">
        <v>47</v>
      </c>
      <c r="N72" s="7" t="s">
        <v>38</v>
      </c>
      <c r="P72" s="3"/>
      <c r="Q72" s="79" t="s">
        <v>37</v>
      </c>
      <c r="R72" s="79"/>
      <c r="S72" s="7" t="s">
        <v>47</v>
      </c>
      <c r="T72" s="7" t="s">
        <v>38</v>
      </c>
    </row>
    <row r="73" spans="4:22" x14ac:dyDescent="0.25">
      <c r="D73" s="3"/>
      <c r="E73" s="83" t="s">
        <v>310</v>
      </c>
      <c r="F73" s="83"/>
      <c r="G73" s="3"/>
      <c r="H73" s="3">
        <v>1500</v>
      </c>
      <c r="J73" s="3"/>
      <c r="K73" s="83" t="s">
        <v>77</v>
      </c>
      <c r="L73" s="83"/>
      <c r="M73" s="3"/>
      <c r="N73" s="3">
        <v>140</v>
      </c>
      <c r="P73" s="3"/>
      <c r="Q73" s="86" t="s">
        <v>360</v>
      </c>
      <c r="R73" s="86"/>
      <c r="S73" s="3">
        <v>20</v>
      </c>
      <c r="T73" s="3">
        <v>2800</v>
      </c>
      <c r="U73" s="1" t="s">
        <v>373</v>
      </c>
    </row>
    <row r="74" spans="4:22" x14ac:dyDescent="0.25">
      <c r="D74" s="3"/>
      <c r="E74" s="83" t="s">
        <v>66</v>
      </c>
      <c r="F74" s="83"/>
      <c r="G74" s="3"/>
      <c r="H74" s="3">
        <v>600</v>
      </c>
      <c r="J74" s="3"/>
      <c r="K74" s="83" t="s">
        <v>349</v>
      </c>
      <c r="L74" s="83"/>
      <c r="M74" s="3">
        <v>70</v>
      </c>
      <c r="N74" s="3">
        <v>560</v>
      </c>
      <c r="P74" s="3"/>
      <c r="Q74" s="83" t="s">
        <v>361</v>
      </c>
      <c r="R74" s="83"/>
      <c r="S74" s="3">
        <v>2.2000000000000002</v>
      </c>
      <c r="T74" s="3">
        <v>1340</v>
      </c>
    </row>
    <row r="75" spans="4:22" x14ac:dyDescent="0.25">
      <c r="D75" s="3"/>
      <c r="E75" s="83" t="s">
        <v>65</v>
      </c>
      <c r="F75" s="83"/>
      <c r="G75" s="3"/>
      <c r="H75" s="3">
        <v>700</v>
      </c>
      <c r="J75" s="3"/>
      <c r="K75" s="83" t="s">
        <v>75</v>
      </c>
      <c r="L75" s="83"/>
      <c r="M75" s="3">
        <v>15</v>
      </c>
      <c r="N75" s="3">
        <v>600</v>
      </c>
      <c r="P75" s="3"/>
      <c r="Q75" s="83" t="s">
        <v>49</v>
      </c>
      <c r="R75" s="83"/>
      <c r="S75" s="3">
        <v>17.3</v>
      </c>
      <c r="T75" s="3">
        <v>1730</v>
      </c>
    </row>
    <row r="76" spans="4:22" x14ac:dyDescent="0.25">
      <c r="D76" s="3"/>
      <c r="E76" s="83" t="s">
        <v>311</v>
      </c>
      <c r="F76" s="83"/>
      <c r="G76" s="3"/>
      <c r="H76" s="3">
        <v>780</v>
      </c>
      <c r="J76" s="3"/>
      <c r="K76" s="83" t="s">
        <v>60</v>
      </c>
      <c r="L76" s="83"/>
      <c r="M76" s="3">
        <v>10</v>
      </c>
      <c r="N76" s="3">
        <v>1050</v>
      </c>
      <c r="P76" s="3"/>
      <c r="Q76" s="74" t="s">
        <v>30</v>
      </c>
      <c r="R76" s="74"/>
      <c r="S76" s="3"/>
      <c r="T76" s="3">
        <v>240</v>
      </c>
    </row>
    <row r="77" spans="4:22" x14ac:dyDescent="0.25">
      <c r="D77" s="3"/>
      <c r="E77" s="83" t="s">
        <v>69</v>
      </c>
      <c r="F77" s="83"/>
      <c r="G77" s="3"/>
      <c r="H77" s="3">
        <v>600</v>
      </c>
      <c r="J77" s="3"/>
      <c r="K77" s="83" t="s">
        <v>69</v>
      </c>
      <c r="L77" s="83"/>
      <c r="M77" s="3">
        <v>50</v>
      </c>
      <c r="N77" s="3">
        <v>1100</v>
      </c>
      <c r="P77" s="3"/>
      <c r="Q77" s="74" t="s">
        <v>50</v>
      </c>
      <c r="R77" s="74"/>
      <c r="S77" s="3"/>
      <c r="T77" s="3">
        <v>470</v>
      </c>
    </row>
    <row r="78" spans="4:22" x14ac:dyDescent="0.25">
      <c r="D78" s="3"/>
      <c r="E78" s="83" t="s">
        <v>60</v>
      </c>
      <c r="F78" s="83"/>
      <c r="G78" s="3"/>
      <c r="H78" s="3">
        <v>1600</v>
      </c>
      <c r="J78" s="3"/>
      <c r="K78" s="83" t="s">
        <v>350</v>
      </c>
      <c r="L78" s="83"/>
      <c r="M78" s="3"/>
      <c r="N78" s="3">
        <v>160</v>
      </c>
      <c r="P78" s="3"/>
      <c r="Q78" s="74"/>
      <c r="R78" s="74"/>
      <c r="S78" s="3"/>
      <c r="T78" s="3"/>
    </row>
    <row r="79" spans="4:22" x14ac:dyDescent="0.25">
      <c r="D79" s="3"/>
      <c r="E79" s="84" t="s">
        <v>304</v>
      </c>
      <c r="F79" s="85"/>
      <c r="G79" s="3"/>
      <c r="H79" s="3">
        <v>500</v>
      </c>
      <c r="J79" s="3"/>
      <c r="K79" s="84" t="s">
        <v>72</v>
      </c>
      <c r="L79" s="85"/>
      <c r="M79" s="3">
        <v>60</v>
      </c>
      <c r="N79" s="3">
        <v>250</v>
      </c>
      <c r="P79" s="3"/>
      <c r="Q79" s="74" t="s">
        <v>242</v>
      </c>
      <c r="R79" s="74"/>
      <c r="S79" s="3"/>
      <c r="T79" s="3">
        <v>20</v>
      </c>
    </row>
    <row r="80" spans="4:22" x14ac:dyDescent="0.25">
      <c r="D80" s="3"/>
      <c r="E80" s="84" t="s">
        <v>312</v>
      </c>
      <c r="F80" s="85"/>
      <c r="G80" s="3"/>
      <c r="H80" s="3">
        <v>900</v>
      </c>
      <c r="J80" s="3"/>
      <c r="K80" s="84" t="s">
        <v>304</v>
      </c>
      <c r="L80" s="85"/>
      <c r="M80" s="3">
        <v>5</v>
      </c>
      <c r="N80" s="3">
        <v>400</v>
      </c>
      <c r="P80" s="3"/>
      <c r="Q80" s="74"/>
      <c r="R80" s="74"/>
      <c r="S80" s="3"/>
      <c r="T80" s="3"/>
    </row>
    <row r="81" spans="4:20" x14ac:dyDescent="0.25">
      <c r="D81" s="3"/>
      <c r="E81" s="75" t="s">
        <v>313</v>
      </c>
      <c r="F81" s="76"/>
      <c r="G81" s="3"/>
      <c r="H81" s="3">
        <v>1200</v>
      </c>
      <c r="J81" s="3"/>
      <c r="K81" s="80" t="s">
        <v>351</v>
      </c>
      <c r="L81" s="81"/>
      <c r="M81" s="3" t="s">
        <v>363</v>
      </c>
      <c r="N81" s="3">
        <v>4750</v>
      </c>
      <c r="P81" s="3"/>
      <c r="Q81" s="74"/>
      <c r="R81" s="74"/>
      <c r="S81" s="3"/>
      <c r="T81" s="3"/>
    </row>
    <row r="82" spans="4:20" x14ac:dyDescent="0.25">
      <c r="D82" s="3"/>
      <c r="E82" s="75" t="s">
        <v>314</v>
      </c>
      <c r="F82" s="76"/>
      <c r="G82" s="3"/>
      <c r="H82" s="3">
        <v>900</v>
      </c>
      <c r="J82" s="3"/>
      <c r="K82" s="75" t="s">
        <v>352</v>
      </c>
      <c r="L82" s="76"/>
      <c r="M82" s="3">
        <v>15</v>
      </c>
      <c r="N82" s="3">
        <v>750</v>
      </c>
      <c r="P82" s="3"/>
      <c r="Q82" s="74"/>
      <c r="R82" s="74"/>
      <c r="S82" s="3"/>
      <c r="T82" s="3"/>
    </row>
    <row r="83" spans="4:20" x14ac:dyDescent="0.25">
      <c r="D83" s="3"/>
      <c r="E83" s="74" t="s">
        <v>64</v>
      </c>
      <c r="F83" s="74"/>
      <c r="G83" s="3">
        <v>75</v>
      </c>
      <c r="H83" s="3">
        <v>8890</v>
      </c>
      <c r="J83" s="3"/>
      <c r="K83" s="74" t="s">
        <v>353</v>
      </c>
      <c r="L83" s="74"/>
      <c r="M83" s="3">
        <v>7</v>
      </c>
      <c r="N83" s="3">
        <v>250</v>
      </c>
      <c r="P83" s="3"/>
      <c r="Q83" s="74"/>
      <c r="R83" s="74"/>
      <c r="S83" s="3"/>
      <c r="T83" s="3"/>
    </row>
    <row r="84" spans="4:20" x14ac:dyDescent="0.25">
      <c r="D84" s="3"/>
      <c r="E84" s="74" t="s">
        <v>315</v>
      </c>
      <c r="F84" s="74"/>
      <c r="G84" s="3">
        <v>140</v>
      </c>
      <c r="H84" s="3">
        <v>7580</v>
      </c>
      <c r="J84" s="3"/>
      <c r="K84" s="74" t="s">
        <v>313</v>
      </c>
      <c r="L84" s="74"/>
      <c r="M84" s="3" t="s">
        <v>362</v>
      </c>
      <c r="N84" s="3">
        <v>600</v>
      </c>
      <c r="P84" s="3"/>
      <c r="Q84" s="79" t="s">
        <v>39</v>
      </c>
      <c r="R84" s="79"/>
      <c r="S84" s="7"/>
      <c r="T84" s="9">
        <f>SUM(T73:T80)</f>
        <v>6600</v>
      </c>
    </row>
    <row r="85" spans="4:20" x14ac:dyDescent="0.25">
      <c r="D85" s="3"/>
      <c r="E85" s="74" t="s">
        <v>316</v>
      </c>
      <c r="F85" s="74"/>
      <c r="G85" s="3"/>
      <c r="H85" s="3">
        <v>210</v>
      </c>
      <c r="J85" s="3"/>
      <c r="K85" s="74" t="s">
        <v>354</v>
      </c>
      <c r="L85" s="74"/>
      <c r="M85" s="3">
        <v>20</v>
      </c>
      <c r="N85" s="3">
        <v>920</v>
      </c>
    </row>
    <row r="86" spans="4:20" x14ac:dyDescent="0.25">
      <c r="D86" s="3"/>
      <c r="E86" s="74" t="s">
        <v>77</v>
      </c>
      <c r="F86" s="74"/>
      <c r="G86" s="3"/>
      <c r="H86" s="3">
        <f>140+400</f>
        <v>540</v>
      </c>
      <c r="J86" s="3"/>
      <c r="K86" s="82" t="s">
        <v>356</v>
      </c>
      <c r="L86" s="82"/>
      <c r="M86" s="3">
        <v>60</v>
      </c>
      <c r="N86" s="3">
        <v>3310</v>
      </c>
    </row>
    <row r="87" spans="4:20" x14ac:dyDescent="0.25">
      <c r="D87" s="3"/>
      <c r="E87" s="74"/>
      <c r="F87" s="74"/>
      <c r="G87" s="3"/>
      <c r="H87" s="3"/>
      <c r="J87" s="3"/>
      <c r="K87" s="82" t="s">
        <v>64</v>
      </c>
      <c r="L87" s="82"/>
      <c r="M87" s="3">
        <v>75</v>
      </c>
      <c r="N87" s="3">
        <v>9950</v>
      </c>
    </row>
    <row r="88" spans="4:20" x14ac:dyDescent="0.25">
      <c r="D88" s="3"/>
      <c r="E88" s="75"/>
      <c r="F88" s="76"/>
      <c r="G88" s="3"/>
      <c r="H88" s="3"/>
      <c r="J88" s="3"/>
      <c r="K88" s="75" t="s">
        <v>355</v>
      </c>
      <c r="L88" s="76"/>
      <c r="M88" s="3"/>
      <c r="N88" s="3">
        <v>60</v>
      </c>
    </row>
    <row r="89" spans="4:20" x14ac:dyDescent="0.25">
      <c r="D89" s="3"/>
      <c r="E89" s="75"/>
      <c r="F89" s="76"/>
      <c r="G89" s="3"/>
      <c r="H89" s="3"/>
      <c r="J89" s="3"/>
      <c r="K89" s="75" t="s">
        <v>77</v>
      </c>
      <c r="L89" s="76"/>
      <c r="M89" s="3"/>
      <c r="N89" s="3">
        <v>400</v>
      </c>
    </row>
    <row r="90" spans="4:20" x14ac:dyDescent="0.25">
      <c r="D90" s="3"/>
      <c r="E90" s="75"/>
      <c r="F90" s="76"/>
      <c r="G90" s="3"/>
      <c r="H90" s="3"/>
      <c r="J90" s="3"/>
      <c r="K90" s="75" t="s">
        <v>66</v>
      </c>
      <c r="L90" s="76"/>
      <c r="M90" s="3"/>
      <c r="N90" s="3">
        <v>600</v>
      </c>
    </row>
    <row r="91" spans="4:20" x14ac:dyDescent="0.25">
      <c r="D91" s="3"/>
      <c r="E91" s="77"/>
      <c r="F91" s="78"/>
      <c r="G91" s="3"/>
      <c r="H91" s="3"/>
      <c r="J91" s="3"/>
      <c r="K91" s="77"/>
      <c r="L91" s="78"/>
      <c r="M91" s="3"/>
      <c r="N91" s="3"/>
    </row>
    <row r="92" spans="4:20" x14ac:dyDescent="0.25">
      <c r="D92" s="3"/>
      <c r="E92" s="79" t="s">
        <v>39</v>
      </c>
      <c r="F92" s="79"/>
      <c r="G92" s="7"/>
      <c r="H92" s="9">
        <f>SUM(H73:H91)</f>
        <v>26500</v>
      </c>
      <c r="J92" s="3"/>
      <c r="K92" s="79" t="s">
        <v>39</v>
      </c>
      <c r="L92" s="79"/>
      <c r="M92" s="7"/>
      <c r="N92" s="9">
        <f>SUM(N73:N91)</f>
        <v>25850</v>
      </c>
    </row>
  </sheetData>
  <mergeCells count="186">
    <mergeCell ref="Q81:R81"/>
    <mergeCell ref="Q82:R82"/>
    <mergeCell ref="Q83:R83"/>
    <mergeCell ref="Q84:R84"/>
    <mergeCell ref="Q72:R72"/>
    <mergeCell ref="Q73:R73"/>
    <mergeCell ref="Q74:R74"/>
    <mergeCell ref="Q75:R75"/>
    <mergeCell ref="Q76:R76"/>
    <mergeCell ref="Q77:R77"/>
    <mergeCell ref="Q78:R78"/>
    <mergeCell ref="Q79:R79"/>
    <mergeCell ref="Q80:R80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K55:L55"/>
    <mergeCell ref="K56:L56"/>
    <mergeCell ref="K57:L57"/>
    <mergeCell ref="K58:L58"/>
    <mergeCell ref="K59:L59"/>
    <mergeCell ref="K47:L47"/>
    <mergeCell ref="K48:L48"/>
    <mergeCell ref="K49:L49"/>
    <mergeCell ref="K50:L50"/>
    <mergeCell ref="K51:L51"/>
    <mergeCell ref="K52:L52"/>
    <mergeCell ref="K53:L53"/>
    <mergeCell ref="K54:L54"/>
    <mergeCell ref="E33:F33"/>
    <mergeCell ref="E34:F34"/>
    <mergeCell ref="E23:F23"/>
    <mergeCell ref="E24:F24"/>
    <mergeCell ref="E25:F25"/>
    <mergeCell ref="E26:F26"/>
    <mergeCell ref="E27:F27"/>
    <mergeCell ref="E28:F28"/>
    <mergeCell ref="H21:H22"/>
    <mergeCell ref="E4:F4"/>
    <mergeCell ref="E29:F29"/>
    <mergeCell ref="E30:F30"/>
    <mergeCell ref="E31:F31"/>
    <mergeCell ref="E32:F32"/>
    <mergeCell ref="E17:F17"/>
    <mergeCell ref="E5:F5"/>
    <mergeCell ref="E6:F6"/>
    <mergeCell ref="E7:F7"/>
    <mergeCell ref="E8:F8"/>
    <mergeCell ref="E9:F9"/>
    <mergeCell ref="E10:F10"/>
    <mergeCell ref="E18:F18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O24:P24"/>
    <mergeCell ref="O25:P25"/>
    <mergeCell ref="O26:P26"/>
    <mergeCell ref="O31:P31"/>
    <mergeCell ref="O32:P32"/>
    <mergeCell ref="O20:P20"/>
    <mergeCell ref="O21:P21"/>
    <mergeCell ref="O22:P22"/>
    <mergeCell ref="O23:P23"/>
    <mergeCell ref="O35:P35"/>
    <mergeCell ref="O40:P40"/>
    <mergeCell ref="O27:P27"/>
    <mergeCell ref="O28:P28"/>
    <mergeCell ref="O29:P29"/>
    <mergeCell ref="O30:P30"/>
    <mergeCell ref="O36:P36"/>
    <mergeCell ref="O37:P37"/>
    <mergeCell ref="O38:P38"/>
    <mergeCell ref="O39:P39"/>
    <mergeCell ref="V40:W40"/>
    <mergeCell ref="O2:P2"/>
    <mergeCell ref="V35:W35"/>
    <mergeCell ref="V36:W36"/>
    <mergeCell ref="V37:W37"/>
    <mergeCell ref="V38:W38"/>
    <mergeCell ref="V39:W39"/>
    <mergeCell ref="V30:W30"/>
    <mergeCell ref="V31:W31"/>
    <mergeCell ref="V32:W32"/>
    <mergeCell ref="V33:W33"/>
    <mergeCell ref="V34:W34"/>
    <mergeCell ref="V25:W25"/>
    <mergeCell ref="V26:W26"/>
    <mergeCell ref="V27:W27"/>
    <mergeCell ref="V28:W28"/>
    <mergeCell ref="V29:W29"/>
    <mergeCell ref="V20:W20"/>
    <mergeCell ref="V21:W21"/>
    <mergeCell ref="V22:W22"/>
    <mergeCell ref="V23:W23"/>
    <mergeCell ref="V24:W24"/>
    <mergeCell ref="O33:P33"/>
    <mergeCell ref="O34:P34"/>
    <mergeCell ref="E63:F63"/>
    <mergeCell ref="E52:F52"/>
    <mergeCell ref="E53:F53"/>
    <mergeCell ref="E54:F54"/>
    <mergeCell ref="E57:F57"/>
    <mergeCell ref="E58:F58"/>
    <mergeCell ref="E47:F47"/>
    <mergeCell ref="E48:F48"/>
    <mergeCell ref="E49:F49"/>
    <mergeCell ref="E50:F50"/>
    <mergeCell ref="E51:F51"/>
    <mergeCell ref="E83:F83"/>
    <mergeCell ref="E55:F55"/>
    <mergeCell ref="E56:F56"/>
    <mergeCell ref="E78:F78"/>
    <mergeCell ref="E79:F79"/>
    <mergeCell ref="E80:F80"/>
    <mergeCell ref="E81:F81"/>
    <mergeCell ref="E82:F82"/>
    <mergeCell ref="E74:F74"/>
    <mergeCell ref="E75:F75"/>
    <mergeCell ref="E76:F76"/>
    <mergeCell ref="E77:F77"/>
    <mergeCell ref="E69:F69"/>
    <mergeCell ref="E70:F70"/>
    <mergeCell ref="E72:F72"/>
    <mergeCell ref="E73:F73"/>
    <mergeCell ref="E64:F64"/>
    <mergeCell ref="E65:F65"/>
    <mergeCell ref="E66:F66"/>
    <mergeCell ref="E67:F67"/>
    <mergeCell ref="E68:F68"/>
    <mergeCell ref="E59:F59"/>
    <mergeCell ref="E60:F60"/>
    <mergeCell ref="E61:F61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65:T65"/>
    <mergeCell ref="S66:T66"/>
    <mergeCell ref="S67:T67"/>
    <mergeCell ref="S56:T56"/>
    <mergeCell ref="S57:T57"/>
    <mergeCell ref="S58:T58"/>
    <mergeCell ref="S59:T59"/>
    <mergeCell ref="S60:T60"/>
    <mergeCell ref="S61:T61"/>
    <mergeCell ref="S62:T62"/>
    <mergeCell ref="S63:T63"/>
    <mergeCell ref="S64:T64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DD94-24BF-4601-A1CD-510B6A3BDF76}">
  <dimension ref="B1:X203"/>
  <sheetViews>
    <sheetView zoomScaleNormal="100" workbookViewId="0">
      <selection activeCell="P142" sqref="P142"/>
    </sheetView>
  </sheetViews>
  <sheetFormatPr defaultRowHeight="15" x14ac:dyDescent="0.25"/>
  <cols>
    <col min="2" max="2" width="12.42578125" customWidth="1"/>
    <col min="3" max="3" width="19.7109375" customWidth="1"/>
    <col min="9" max="9" width="13.5703125" customWidth="1"/>
    <col min="10" max="10" width="15.28515625" customWidth="1"/>
    <col min="11" max="11" width="12.5703125" customWidth="1"/>
    <col min="12" max="12" width="12.28515625" customWidth="1"/>
    <col min="18" max="18" width="20" customWidth="1"/>
    <col min="22" max="22" width="10.42578125" bestFit="1" customWidth="1"/>
  </cols>
  <sheetData>
    <row r="1" spans="2:24" ht="21" x14ac:dyDescent="0.25">
      <c r="V1" s="91" t="s">
        <v>88</v>
      </c>
      <c r="W1" s="91"/>
    </row>
    <row r="2" spans="2:24" ht="18.75" x14ac:dyDescent="0.25">
      <c r="J2" s="92" t="s">
        <v>87</v>
      </c>
      <c r="K2" s="92"/>
      <c r="L2" s="15">
        <f>F16+F29+W38+F42+F56+F69+F82+F95+F108+F121+F134+F151+F164+F177+F190+F203+M16+M29+M42+M56+M69+M82+M95+M108+M121+M134+M151+M164+M177+M190+M203</f>
        <v>436366</v>
      </c>
      <c r="M2" s="14"/>
      <c r="V2" s="11">
        <v>45565</v>
      </c>
      <c r="W2" s="12">
        <v>200</v>
      </c>
    </row>
    <row r="3" spans="2:24" ht="18.75" x14ac:dyDescent="0.25">
      <c r="J3" s="26"/>
      <c r="K3" s="26"/>
      <c r="L3" s="27"/>
      <c r="M3" s="14"/>
      <c r="V3" s="11">
        <v>45566</v>
      </c>
      <c r="W3" s="12">
        <v>200</v>
      </c>
    </row>
    <row r="4" spans="2:24" ht="18.75" x14ac:dyDescent="0.25">
      <c r="J4" s="26"/>
      <c r="K4" s="26"/>
      <c r="L4" s="27"/>
      <c r="M4" s="14"/>
      <c r="V4" s="11">
        <v>45567</v>
      </c>
      <c r="W4" s="12">
        <v>200</v>
      </c>
    </row>
    <row r="5" spans="2:24" x14ac:dyDescent="0.25">
      <c r="B5" s="88">
        <v>45565</v>
      </c>
      <c r="C5" s="12"/>
      <c r="D5" s="12"/>
      <c r="E5" s="12"/>
      <c r="F5" s="12"/>
      <c r="I5" s="88">
        <v>45591</v>
      </c>
      <c r="J5" s="12"/>
      <c r="K5" s="12"/>
      <c r="L5" s="12"/>
      <c r="M5" s="12"/>
      <c r="V5" s="11">
        <v>45568</v>
      </c>
      <c r="W5" s="12">
        <v>200</v>
      </c>
    </row>
    <row r="6" spans="2:24" x14ac:dyDescent="0.25">
      <c r="B6" s="89"/>
      <c r="C6" s="19" t="s">
        <v>37</v>
      </c>
      <c r="D6" s="19" t="s">
        <v>47</v>
      </c>
      <c r="E6" s="19" t="s">
        <v>85</v>
      </c>
      <c r="F6" s="19" t="s">
        <v>86</v>
      </c>
      <c r="I6" s="89"/>
      <c r="J6" s="19" t="s">
        <v>37</v>
      </c>
      <c r="K6" s="19" t="s">
        <v>47</v>
      </c>
      <c r="L6" s="19" t="s">
        <v>85</v>
      </c>
      <c r="M6" s="19" t="s">
        <v>86</v>
      </c>
      <c r="V6" s="11">
        <v>45569</v>
      </c>
      <c r="W6" s="12">
        <v>200</v>
      </c>
    </row>
    <row r="7" spans="2:24" x14ac:dyDescent="0.25">
      <c r="B7" s="89"/>
      <c r="C7" s="36" t="s">
        <v>51</v>
      </c>
      <c r="D7" s="3" t="s">
        <v>54</v>
      </c>
      <c r="E7" s="12">
        <v>180</v>
      </c>
      <c r="F7" s="3">
        <v>6660</v>
      </c>
      <c r="I7" s="89"/>
      <c r="J7" s="41" t="s">
        <v>51</v>
      </c>
      <c r="K7" s="12">
        <v>108.8</v>
      </c>
      <c r="L7" s="12">
        <v>190</v>
      </c>
      <c r="M7" s="12">
        <v>20672</v>
      </c>
      <c r="V7" s="11">
        <v>45570</v>
      </c>
      <c r="W7" s="12">
        <v>200</v>
      </c>
    </row>
    <row r="8" spans="2:24" ht="15" customHeight="1" x14ac:dyDescent="0.25">
      <c r="B8" s="89"/>
      <c r="C8" s="36" t="s">
        <v>52</v>
      </c>
      <c r="D8" s="3" t="s">
        <v>55</v>
      </c>
      <c r="E8" s="12">
        <v>13.4</v>
      </c>
      <c r="F8" s="3">
        <v>2000</v>
      </c>
      <c r="I8" s="89"/>
      <c r="J8" s="41" t="s">
        <v>52</v>
      </c>
      <c r="K8" s="12">
        <v>600</v>
      </c>
      <c r="L8" s="12"/>
      <c r="M8" s="12">
        <v>7440</v>
      </c>
      <c r="Q8" s="93" t="s">
        <v>232</v>
      </c>
      <c r="R8" s="94"/>
      <c r="V8" s="11">
        <v>45571</v>
      </c>
      <c r="W8" s="12">
        <v>200</v>
      </c>
    </row>
    <row r="9" spans="2:24" ht="15" customHeight="1" x14ac:dyDescent="0.25">
      <c r="B9" s="89"/>
      <c r="C9" s="28" t="s">
        <v>53</v>
      </c>
      <c r="D9" s="28"/>
      <c r="E9" s="12"/>
      <c r="F9" s="3">
        <v>100</v>
      </c>
      <c r="I9" s="89"/>
      <c r="J9" s="12"/>
      <c r="K9" s="12"/>
      <c r="L9" s="12"/>
      <c r="M9" s="12"/>
      <c r="O9" s="12">
        <f>180*26.1+19*170+1850+910</f>
        <v>10688</v>
      </c>
      <c r="Q9" s="95"/>
      <c r="R9" s="96"/>
      <c r="V9" s="11">
        <v>45572</v>
      </c>
      <c r="W9" s="12">
        <v>200</v>
      </c>
    </row>
    <row r="10" spans="2:24" x14ac:dyDescent="0.25">
      <c r="B10" s="89"/>
      <c r="C10" s="28" t="s">
        <v>30</v>
      </c>
      <c r="D10" s="28"/>
      <c r="E10" s="12"/>
      <c r="F10" s="3">
        <v>30</v>
      </c>
      <c r="I10" s="89"/>
      <c r="J10" s="12" t="s">
        <v>77</v>
      </c>
      <c r="K10" s="12"/>
      <c r="L10" s="12"/>
      <c r="M10" s="12">
        <f>50+40</f>
        <v>90</v>
      </c>
      <c r="O10">
        <f>170/12</f>
        <v>14.166666666666666</v>
      </c>
      <c r="Q10" s="12" t="s">
        <v>117</v>
      </c>
      <c r="R10" s="34">
        <f>O9/845</f>
        <v>12.648520710059172</v>
      </c>
      <c r="V10" s="11">
        <v>45582</v>
      </c>
      <c r="W10" s="12">
        <f>200+160</f>
        <v>360</v>
      </c>
      <c r="X10" t="s">
        <v>234</v>
      </c>
    </row>
    <row r="11" spans="2:24" x14ac:dyDescent="0.25">
      <c r="B11" s="89"/>
      <c r="C11" s="12"/>
      <c r="D11" s="12"/>
      <c r="E11" s="12"/>
      <c r="F11" s="12"/>
      <c r="I11" s="89"/>
      <c r="J11" s="12" t="s">
        <v>331</v>
      </c>
      <c r="K11" s="12"/>
      <c r="L11" s="12"/>
      <c r="M11" s="12">
        <v>400</v>
      </c>
      <c r="Q11" s="12" t="s">
        <v>106</v>
      </c>
      <c r="R11" s="12">
        <v>13.6</v>
      </c>
      <c r="V11" s="11">
        <v>45583</v>
      </c>
      <c r="W11" s="12">
        <f>100+200</f>
        <v>300</v>
      </c>
    </row>
    <row r="12" spans="2:24" x14ac:dyDescent="0.25">
      <c r="B12" s="89"/>
      <c r="C12" s="12"/>
      <c r="D12" s="12"/>
      <c r="E12" s="12"/>
      <c r="F12" s="12"/>
      <c r="I12" s="89"/>
      <c r="J12" s="12"/>
      <c r="K12" s="12"/>
      <c r="L12" s="12"/>
      <c r="M12" s="12"/>
      <c r="Q12" s="12" t="s">
        <v>91</v>
      </c>
      <c r="R12" s="12">
        <f>380/25</f>
        <v>15.2</v>
      </c>
      <c r="V12" s="11">
        <v>45584</v>
      </c>
      <c r="W12" s="12">
        <v>200</v>
      </c>
    </row>
    <row r="13" spans="2:24" x14ac:dyDescent="0.25">
      <c r="B13" s="89"/>
      <c r="C13" s="12"/>
      <c r="D13" s="12"/>
      <c r="E13" s="12"/>
      <c r="F13" s="12"/>
      <c r="I13" s="89"/>
      <c r="J13" s="12"/>
      <c r="K13" s="12"/>
      <c r="L13" s="12"/>
      <c r="M13" s="12"/>
      <c r="V13" s="11">
        <v>45585</v>
      </c>
      <c r="W13" s="12">
        <v>400</v>
      </c>
    </row>
    <row r="14" spans="2:24" x14ac:dyDescent="0.25">
      <c r="B14" s="89"/>
      <c r="C14" s="12"/>
      <c r="D14" s="12"/>
      <c r="E14" s="12"/>
      <c r="F14" s="12"/>
      <c r="I14" s="89"/>
      <c r="J14" s="12"/>
      <c r="K14" s="12"/>
      <c r="L14" s="12"/>
      <c r="M14" s="12"/>
      <c r="V14" s="11">
        <v>45586</v>
      </c>
      <c r="W14" s="12">
        <v>200</v>
      </c>
    </row>
    <row r="15" spans="2:24" x14ac:dyDescent="0.25">
      <c r="B15" s="89"/>
      <c r="C15" s="12"/>
      <c r="D15" s="12"/>
      <c r="E15" s="12"/>
      <c r="F15" s="12"/>
      <c r="I15" s="89"/>
      <c r="J15" s="12"/>
      <c r="K15" s="12"/>
      <c r="L15" s="12"/>
      <c r="M15" s="12"/>
      <c r="V15" s="11">
        <v>45587</v>
      </c>
      <c r="W15" s="12">
        <v>200</v>
      </c>
    </row>
    <row r="16" spans="2:24" x14ac:dyDescent="0.25">
      <c r="B16" s="90"/>
      <c r="C16" s="12" t="s">
        <v>26</v>
      </c>
      <c r="D16" s="12"/>
      <c r="E16" s="12"/>
      <c r="F16" s="13">
        <f>SUM(F7:F15)</f>
        <v>8790</v>
      </c>
      <c r="I16" s="90"/>
      <c r="J16" s="12" t="s">
        <v>26</v>
      </c>
      <c r="K16" s="12"/>
      <c r="L16" s="12"/>
      <c r="M16" s="13">
        <f>SUM(M7:M15)</f>
        <v>28602</v>
      </c>
      <c r="V16" s="11">
        <v>45588</v>
      </c>
      <c r="W16" s="12">
        <v>200</v>
      </c>
    </row>
    <row r="17" spans="2:24" x14ac:dyDescent="0.25">
      <c r="J17" s="14"/>
      <c r="K17" s="14"/>
      <c r="L17" s="14"/>
      <c r="M17" s="14"/>
      <c r="V17" s="11">
        <v>45589</v>
      </c>
      <c r="W17" s="12">
        <v>200</v>
      </c>
    </row>
    <row r="18" spans="2:24" x14ac:dyDescent="0.25">
      <c r="B18" s="88">
        <v>45566</v>
      </c>
      <c r="C18" s="12"/>
      <c r="D18" s="12"/>
      <c r="E18" s="12"/>
      <c r="F18" s="12"/>
      <c r="I18" s="88">
        <v>45592</v>
      </c>
      <c r="J18" s="12"/>
      <c r="K18" s="12"/>
      <c r="L18" s="12"/>
      <c r="M18" s="12"/>
      <c r="V18" s="11">
        <v>45590</v>
      </c>
      <c r="W18" s="12">
        <v>200</v>
      </c>
    </row>
    <row r="19" spans="2:24" x14ac:dyDescent="0.25">
      <c r="B19" s="89"/>
      <c r="C19" s="19" t="s">
        <v>37</v>
      </c>
      <c r="D19" s="19" t="s">
        <v>47</v>
      </c>
      <c r="E19" s="19" t="s">
        <v>85</v>
      </c>
      <c r="F19" s="19" t="s">
        <v>86</v>
      </c>
      <c r="I19" s="89"/>
      <c r="J19" s="19" t="s">
        <v>37</v>
      </c>
      <c r="K19" s="19" t="s">
        <v>47</v>
      </c>
      <c r="L19" s="19" t="s">
        <v>85</v>
      </c>
      <c r="M19" s="19" t="s">
        <v>86</v>
      </c>
      <c r="V19" s="11">
        <v>45591</v>
      </c>
      <c r="W19" s="12">
        <v>400</v>
      </c>
      <c r="X19" t="s">
        <v>335</v>
      </c>
    </row>
    <row r="20" spans="2:24" x14ac:dyDescent="0.25">
      <c r="B20" s="89"/>
      <c r="C20" s="38" t="s">
        <v>51</v>
      </c>
      <c r="D20" s="12" t="s">
        <v>81</v>
      </c>
      <c r="E20" s="12">
        <v>185</v>
      </c>
      <c r="F20" s="12">
        <v>13412</v>
      </c>
      <c r="I20" s="89"/>
      <c r="J20" s="12" t="s">
        <v>51</v>
      </c>
      <c r="K20" s="12"/>
      <c r="L20" s="12"/>
      <c r="M20" s="12"/>
      <c r="V20" s="11">
        <v>45592</v>
      </c>
      <c r="W20" s="12">
        <v>200</v>
      </c>
    </row>
    <row r="21" spans="2:24" x14ac:dyDescent="0.25">
      <c r="B21" s="89"/>
      <c r="C21" s="38" t="s">
        <v>52</v>
      </c>
      <c r="D21" s="12" t="s">
        <v>82</v>
      </c>
      <c r="E21" s="12">
        <v>13.4</v>
      </c>
      <c r="F21" s="12">
        <v>670</v>
      </c>
      <c r="I21" s="89"/>
      <c r="J21" s="12" t="s">
        <v>52</v>
      </c>
      <c r="K21" s="97" t="s">
        <v>337</v>
      </c>
      <c r="L21" s="98"/>
      <c r="M21" s="12"/>
      <c r="V21" s="11">
        <v>45593</v>
      </c>
      <c r="W21" s="12">
        <v>200</v>
      </c>
    </row>
    <row r="22" spans="2:24" x14ac:dyDescent="0.25">
      <c r="B22" s="89"/>
      <c r="C22" s="38" t="s">
        <v>83</v>
      </c>
      <c r="D22" s="12" t="s">
        <v>15</v>
      </c>
      <c r="E22" s="12">
        <v>85</v>
      </c>
      <c r="F22" s="12">
        <v>170</v>
      </c>
      <c r="I22" s="89"/>
      <c r="J22" s="12"/>
      <c r="K22" s="99"/>
      <c r="L22" s="100"/>
      <c r="M22" s="12"/>
      <c r="V22" s="11">
        <v>45594</v>
      </c>
      <c r="W22" s="12">
        <v>200</v>
      </c>
    </row>
    <row r="23" spans="2:24" x14ac:dyDescent="0.25">
      <c r="B23" s="89"/>
      <c r="C23" s="12" t="s">
        <v>77</v>
      </c>
      <c r="D23" s="12" t="s">
        <v>84</v>
      </c>
      <c r="E23" s="12"/>
      <c r="F23" s="12">
        <v>30</v>
      </c>
      <c r="I23" s="89"/>
      <c r="J23" s="12" t="s">
        <v>77</v>
      </c>
      <c r="K23" s="101"/>
      <c r="L23" s="102"/>
      <c r="M23" s="12"/>
      <c r="V23" s="11">
        <v>45595</v>
      </c>
      <c r="W23" s="12">
        <v>200</v>
      </c>
    </row>
    <row r="24" spans="2:24" x14ac:dyDescent="0.25">
      <c r="B24" s="89"/>
      <c r="C24" s="12"/>
      <c r="D24" s="12"/>
      <c r="E24" s="12"/>
      <c r="F24" s="12"/>
      <c r="I24" s="89"/>
      <c r="J24" s="12"/>
      <c r="K24" s="12"/>
      <c r="L24" s="12"/>
      <c r="M24" s="12"/>
      <c r="V24" s="11">
        <v>45596</v>
      </c>
      <c r="W24" s="12">
        <v>400</v>
      </c>
    </row>
    <row r="25" spans="2:24" x14ac:dyDescent="0.25">
      <c r="B25" s="89"/>
      <c r="C25" s="12"/>
      <c r="D25" s="12"/>
      <c r="E25" s="12"/>
      <c r="F25" s="12"/>
      <c r="I25" s="89"/>
      <c r="J25" s="12"/>
      <c r="K25" s="12"/>
      <c r="L25" s="12"/>
      <c r="M25" s="12"/>
      <c r="V25" s="11">
        <v>45597</v>
      </c>
      <c r="W25" s="12">
        <v>200</v>
      </c>
    </row>
    <row r="26" spans="2:24" x14ac:dyDescent="0.25">
      <c r="B26" s="89"/>
      <c r="C26" s="12"/>
      <c r="D26" s="12"/>
      <c r="E26" s="12"/>
      <c r="F26" s="12"/>
      <c r="I26" s="89"/>
      <c r="J26" s="12"/>
      <c r="K26" s="12"/>
      <c r="L26" s="12"/>
      <c r="M26" s="12"/>
      <c r="V26" s="11">
        <v>45598</v>
      </c>
      <c r="W26" s="12">
        <v>200</v>
      </c>
    </row>
    <row r="27" spans="2:24" x14ac:dyDescent="0.25">
      <c r="B27" s="89"/>
      <c r="C27" s="12"/>
      <c r="D27" s="12"/>
      <c r="E27" s="12"/>
      <c r="F27" s="12"/>
      <c r="I27" s="89"/>
      <c r="J27" s="12"/>
      <c r="K27" s="12"/>
      <c r="L27" s="12"/>
      <c r="M27" s="12"/>
      <c r="V27" s="11">
        <v>45599</v>
      </c>
      <c r="W27" s="12">
        <v>200</v>
      </c>
    </row>
    <row r="28" spans="2:24" x14ac:dyDescent="0.25">
      <c r="B28" s="89"/>
      <c r="C28" s="12"/>
      <c r="D28" s="12"/>
      <c r="E28" s="12"/>
      <c r="F28" s="12"/>
      <c r="I28" s="89"/>
      <c r="J28" s="12"/>
      <c r="K28" s="12"/>
      <c r="L28" s="12"/>
      <c r="M28" s="12"/>
      <c r="V28" s="11">
        <v>45600</v>
      </c>
      <c r="W28" s="12">
        <v>200</v>
      </c>
    </row>
    <row r="29" spans="2:24" x14ac:dyDescent="0.25">
      <c r="B29" s="90"/>
      <c r="C29" s="12" t="s">
        <v>26</v>
      </c>
      <c r="D29" s="12"/>
      <c r="E29" s="12"/>
      <c r="F29" s="13">
        <f>SUM(F20:F28)</f>
        <v>14282</v>
      </c>
      <c r="I29" s="90"/>
      <c r="J29" s="12" t="s">
        <v>26</v>
      </c>
      <c r="K29" s="12"/>
      <c r="L29" s="12"/>
      <c r="M29" s="13">
        <f>SUM(M20:M28)</f>
        <v>0</v>
      </c>
      <c r="V29" s="11">
        <v>45601</v>
      </c>
      <c r="W29" s="12">
        <v>200</v>
      </c>
    </row>
    <row r="30" spans="2:24" x14ac:dyDescent="0.25">
      <c r="V30" s="11">
        <v>45602</v>
      </c>
      <c r="W30" s="12"/>
    </row>
    <row r="31" spans="2:24" x14ac:dyDescent="0.25">
      <c r="B31" s="88">
        <v>45567</v>
      </c>
      <c r="C31" s="12"/>
      <c r="D31" s="12"/>
      <c r="E31" s="12"/>
      <c r="F31" s="12"/>
      <c r="I31" s="88">
        <v>45593</v>
      </c>
      <c r="J31" s="12"/>
      <c r="K31" s="12"/>
      <c r="L31" s="12"/>
      <c r="M31" s="12"/>
      <c r="V31" s="12"/>
      <c r="W31" s="12"/>
    </row>
    <row r="32" spans="2:24" x14ac:dyDescent="0.25">
      <c r="B32" s="89"/>
      <c r="C32" s="19" t="s">
        <v>37</v>
      </c>
      <c r="D32" s="19" t="s">
        <v>47</v>
      </c>
      <c r="E32" s="19" t="s">
        <v>85</v>
      </c>
      <c r="F32" s="19" t="s">
        <v>86</v>
      </c>
      <c r="I32" s="89"/>
      <c r="J32" s="19" t="s">
        <v>37</v>
      </c>
      <c r="K32" s="19" t="s">
        <v>47</v>
      </c>
      <c r="L32" s="19" t="s">
        <v>85</v>
      </c>
      <c r="M32" s="19" t="s">
        <v>86</v>
      </c>
      <c r="V32" s="12"/>
      <c r="W32" s="12"/>
    </row>
    <row r="33" spans="2:23" x14ac:dyDescent="0.25">
      <c r="B33" s="89"/>
      <c r="C33" s="38" t="s">
        <v>51</v>
      </c>
      <c r="D33" s="12" t="s">
        <v>112</v>
      </c>
      <c r="E33" s="12">
        <v>185</v>
      </c>
      <c r="F33" s="12">
        <v>5320</v>
      </c>
      <c r="I33" s="89"/>
      <c r="J33" s="41" t="s">
        <v>51</v>
      </c>
      <c r="K33" s="12" t="s">
        <v>339</v>
      </c>
      <c r="L33" s="12">
        <v>190</v>
      </c>
      <c r="M33" s="12">
        <v>7870</v>
      </c>
      <c r="V33" s="12"/>
      <c r="W33" s="12"/>
    </row>
    <row r="34" spans="2:23" x14ac:dyDescent="0.25">
      <c r="B34" s="89"/>
      <c r="C34" s="38" t="s">
        <v>52</v>
      </c>
      <c r="D34" s="12" t="s">
        <v>113</v>
      </c>
      <c r="E34" s="12">
        <v>13.4</v>
      </c>
      <c r="F34" s="12">
        <v>2680</v>
      </c>
      <c r="I34" s="89"/>
      <c r="J34" s="41" t="s">
        <v>52</v>
      </c>
      <c r="K34" s="12" t="s">
        <v>340</v>
      </c>
      <c r="L34" s="12">
        <v>12.4</v>
      </c>
      <c r="M34" s="12">
        <v>3100</v>
      </c>
      <c r="V34" s="12"/>
      <c r="W34" s="12"/>
    </row>
    <row r="35" spans="2:23" x14ac:dyDescent="0.25">
      <c r="B35" s="89"/>
      <c r="C35" s="12"/>
      <c r="D35" s="12"/>
      <c r="E35" s="12"/>
      <c r="F35" s="12"/>
      <c r="I35" s="89"/>
      <c r="J35" s="12"/>
      <c r="K35" s="12"/>
      <c r="L35" s="12"/>
      <c r="M35" s="12"/>
      <c r="V35" s="12"/>
      <c r="W35" s="12"/>
    </row>
    <row r="36" spans="2:23" x14ac:dyDescent="0.25">
      <c r="B36" s="89"/>
      <c r="C36" s="12" t="s">
        <v>77</v>
      </c>
      <c r="D36" s="12"/>
      <c r="E36" s="12"/>
      <c r="F36" s="12">
        <v>30</v>
      </c>
      <c r="I36" s="89"/>
      <c r="J36" s="12" t="s">
        <v>77</v>
      </c>
      <c r="K36" s="12"/>
      <c r="L36" s="12"/>
      <c r="M36" s="12">
        <v>30</v>
      </c>
      <c r="V36" s="12"/>
      <c r="W36" s="12"/>
    </row>
    <row r="37" spans="2:23" x14ac:dyDescent="0.25">
      <c r="B37" s="89"/>
      <c r="C37" s="12"/>
      <c r="D37" s="12"/>
      <c r="E37" s="12"/>
      <c r="F37" s="12"/>
      <c r="I37" s="89"/>
      <c r="J37" s="12"/>
      <c r="K37" s="12"/>
      <c r="L37" s="12"/>
      <c r="M37" s="12"/>
      <c r="V37" s="12"/>
      <c r="W37" s="12"/>
    </row>
    <row r="38" spans="2:23" x14ac:dyDescent="0.25">
      <c r="B38" s="89"/>
      <c r="C38" s="12"/>
      <c r="D38" s="12"/>
      <c r="E38" s="12"/>
      <c r="F38" s="12"/>
      <c r="I38" s="89"/>
      <c r="J38" s="12"/>
      <c r="K38" s="12"/>
      <c r="L38" s="12"/>
      <c r="M38" s="12"/>
      <c r="V38" s="12" t="s">
        <v>26</v>
      </c>
      <c r="W38" s="12">
        <f>SUM(W2:W36)</f>
        <v>6460</v>
      </c>
    </row>
    <row r="39" spans="2:23" x14ac:dyDescent="0.25">
      <c r="B39" s="89"/>
      <c r="C39" s="12"/>
      <c r="D39" s="12"/>
      <c r="E39" s="12"/>
      <c r="F39" s="12"/>
      <c r="I39" s="89"/>
      <c r="J39" s="12"/>
      <c r="K39" s="12"/>
      <c r="L39" s="12"/>
      <c r="M39" s="12"/>
    </row>
    <row r="40" spans="2:23" x14ac:dyDescent="0.25">
      <c r="B40" s="89"/>
      <c r="C40" s="12"/>
      <c r="D40" s="12"/>
      <c r="E40" s="12"/>
      <c r="F40" s="12"/>
      <c r="I40" s="89"/>
      <c r="J40" s="12"/>
      <c r="K40" s="12"/>
      <c r="L40" s="12"/>
      <c r="M40" s="12"/>
    </row>
    <row r="41" spans="2:23" x14ac:dyDescent="0.25">
      <c r="B41" s="89"/>
      <c r="C41" s="12"/>
      <c r="D41" s="12"/>
      <c r="E41" s="12"/>
      <c r="F41" s="12"/>
      <c r="I41" s="89"/>
      <c r="J41" s="12"/>
      <c r="K41" s="12"/>
      <c r="L41" s="12"/>
      <c r="M41" s="12"/>
    </row>
    <row r="42" spans="2:23" x14ac:dyDescent="0.25">
      <c r="B42" s="90"/>
      <c r="C42" s="12" t="s">
        <v>26</v>
      </c>
      <c r="D42" s="12"/>
      <c r="E42" s="12"/>
      <c r="F42" s="13">
        <f>SUM(F33:F41)</f>
        <v>8030</v>
      </c>
      <c r="I42" s="90"/>
      <c r="J42" s="12" t="s">
        <v>26</v>
      </c>
      <c r="K42" s="12"/>
      <c r="L42" s="12"/>
      <c r="M42" s="13">
        <f>SUM(M33:M41)</f>
        <v>11000</v>
      </c>
    </row>
    <row r="44" spans="2:23" x14ac:dyDescent="0.25">
      <c r="B44" s="88">
        <v>45568</v>
      </c>
      <c r="C44" s="12"/>
      <c r="D44" s="12"/>
      <c r="E44" s="12"/>
      <c r="F44" s="12"/>
      <c r="I44" s="88">
        <v>45594</v>
      </c>
      <c r="J44" s="12"/>
      <c r="K44" s="12"/>
      <c r="L44" s="12"/>
      <c r="M44" s="12"/>
    </row>
    <row r="45" spans="2:23" x14ac:dyDescent="0.25">
      <c r="B45" s="89"/>
      <c r="C45" s="19" t="s">
        <v>37</v>
      </c>
      <c r="D45" s="19" t="s">
        <v>47</v>
      </c>
      <c r="E45" s="19" t="s">
        <v>85</v>
      </c>
      <c r="F45" s="19" t="s">
        <v>86</v>
      </c>
      <c r="I45" s="89"/>
      <c r="J45" s="19" t="s">
        <v>37</v>
      </c>
      <c r="K45" s="19" t="s">
        <v>47</v>
      </c>
      <c r="L45" s="19" t="s">
        <v>85</v>
      </c>
      <c r="M45" s="19" t="s">
        <v>86</v>
      </c>
    </row>
    <row r="46" spans="2:23" x14ac:dyDescent="0.25">
      <c r="B46" s="89"/>
      <c r="C46" s="38" t="s">
        <v>51</v>
      </c>
      <c r="D46" s="12" t="s">
        <v>121</v>
      </c>
      <c r="E46" s="12">
        <v>185</v>
      </c>
      <c r="F46" s="12">
        <v>16224</v>
      </c>
      <c r="I46" s="89"/>
      <c r="J46" s="41" t="s">
        <v>51</v>
      </c>
      <c r="K46" s="12">
        <v>32.049999999999997</v>
      </c>
      <c r="L46" s="12">
        <v>190</v>
      </c>
      <c r="M46" s="12">
        <v>6080</v>
      </c>
    </row>
    <row r="47" spans="2:23" x14ac:dyDescent="0.25">
      <c r="B47" s="89"/>
      <c r="C47" s="38" t="s">
        <v>52</v>
      </c>
      <c r="D47" s="12" t="s">
        <v>123</v>
      </c>
      <c r="E47" s="12">
        <v>13.5</v>
      </c>
      <c r="F47" s="12">
        <v>1755</v>
      </c>
      <c r="I47" s="89"/>
      <c r="J47" s="41" t="s">
        <v>52</v>
      </c>
      <c r="K47" s="12" t="s">
        <v>348</v>
      </c>
      <c r="L47" s="12">
        <v>12.4</v>
      </c>
      <c r="M47" s="12">
        <v>10540</v>
      </c>
    </row>
    <row r="48" spans="2:23" x14ac:dyDescent="0.25">
      <c r="B48" s="89"/>
      <c r="C48" s="38" t="s">
        <v>120</v>
      </c>
      <c r="D48" s="12" t="s">
        <v>122</v>
      </c>
      <c r="E48" s="12">
        <v>85</v>
      </c>
      <c r="F48" s="12">
        <v>340</v>
      </c>
      <c r="I48" s="89"/>
      <c r="J48" s="12" t="s">
        <v>343</v>
      </c>
      <c r="K48" s="12">
        <v>54</v>
      </c>
      <c r="L48" s="12">
        <v>720</v>
      </c>
      <c r="M48" s="12">
        <f>720*54</f>
        <v>38880</v>
      </c>
    </row>
    <row r="49" spans="2:13" x14ac:dyDescent="0.25">
      <c r="B49" s="89"/>
      <c r="C49" s="12" t="s">
        <v>77</v>
      </c>
      <c r="D49" s="12"/>
      <c r="E49" s="12"/>
      <c r="F49" s="12">
        <v>40</v>
      </c>
      <c r="I49" s="89"/>
      <c r="J49" s="12" t="s">
        <v>77</v>
      </c>
      <c r="K49" s="12"/>
      <c r="L49" s="12"/>
      <c r="M49" s="12">
        <v>450</v>
      </c>
    </row>
    <row r="50" spans="2:13" x14ac:dyDescent="0.25">
      <c r="B50" s="89"/>
      <c r="C50" s="12"/>
      <c r="D50" s="12"/>
      <c r="E50" s="12"/>
      <c r="F50" s="12"/>
      <c r="I50" s="89"/>
      <c r="J50" s="12" t="s">
        <v>344</v>
      </c>
      <c r="K50" s="12">
        <v>3</v>
      </c>
      <c r="L50" s="12">
        <v>950</v>
      </c>
      <c r="M50" s="12">
        <f>3*950</f>
        <v>2850</v>
      </c>
    </row>
    <row r="51" spans="2:13" x14ac:dyDescent="0.25">
      <c r="B51" s="89"/>
      <c r="C51" s="12"/>
      <c r="D51" s="12"/>
      <c r="E51" s="12"/>
      <c r="F51" s="12"/>
      <c r="I51" s="89"/>
      <c r="J51" s="12" t="s">
        <v>386</v>
      </c>
      <c r="K51" s="12"/>
      <c r="L51" s="12"/>
      <c r="M51" s="12">
        <v>90</v>
      </c>
    </row>
    <row r="52" spans="2:13" x14ac:dyDescent="0.25">
      <c r="B52" s="89"/>
      <c r="C52" s="12"/>
      <c r="D52" s="12"/>
      <c r="E52" s="12"/>
      <c r="F52" s="12"/>
      <c r="I52" s="89"/>
      <c r="J52" s="12" t="s">
        <v>345</v>
      </c>
      <c r="K52" s="12">
        <v>500</v>
      </c>
      <c r="L52" s="12"/>
      <c r="M52" s="12">
        <f>250</f>
        <v>250</v>
      </c>
    </row>
    <row r="53" spans="2:13" x14ac:dyDescent="0.25">
      <c r="B53" s="89"/>
      <c r="C53" s="12"/>
      <c r="D53" s="12"/>
      <c r="E53" s="12"/>
      <c r="F53" s="12"/>
      <c r="I53" s="89"/>
      <c r="J53" s="12" t="s">
        <v>346</v>
      </c>
      <c r="K53" s="12">
        <v>3</v>
      </c>
      <c r="L53" s="12">
        <v>700</v>
      </c>
      <c r="M53" s="12">
        <v>2100</v>
      </c>
    </row>
    <row r="54" spans="2:13" x14ac:dyDescent="0.25">
      <c r="B54" s="89"/>
      <c r="C54" s="12"/>
      <c r="D54" s="12"/>
      <c r="E54" s="12"/>
      <c r="F54" s="12"/>
      <c r="I54" s="89"/>
      <c r="J54" s="12" t="s">
        <v>347</v>
      </c>
      <c r="K54" s="12"/>
      <c r="L54" s="12"/>
      <c r="M54" s="12">
        <f>3000+1800+3500</f>
        <v>8300</v>
      </c>
    </row>
    <row r="55" spans="2:13" x14ac:dyDescent="0.25">
      <c r="B55" s="89"/>
      <c r="C55" s="12"/>
      <c r="D55" s="12"/>
      <c r="E55" s="12"/>
      <c r="F55" s="12"/>
      <c r="I55" s="89"/>
      <c r="J55" s="12" t="s">
        <v>365</v>
      </c>
      <c r="K55" s="12"/>
      <c r="L55" s="12"/>
      <c r="M55" s="12">
        <v>600</v>
      </c>
    </row>
    <row r="56" spans="2:13" x14ac:dyDescent="0.25">
      <c r="B56" s="90"/>
      <c r="C56" s="12" t="s">
        <v>26</v>
      </c>
      <c r="D56" s="12"/>
      <c r="E56" s="12"/>
      <c r="F56" s="13">
        <f>SUM(F46:F55)</f>
        <v>18359</v>
      </c>
      <c r="I56" s="90"/>
      <c r="J56" s="12" t="s">
        <v>26</v>
      </c>
      <c r="K56" s="12"/>
      <c r="L56" s="12"/>
      <c r="M56" s="13">
        <f>SUM(M46:M55)</f>
        <v>70140</v>
      </c>
    </row>
    <row r="58" spans="2:13" x14ac:dyDescent="0.25">
      <c r="B58" s="88">
        <v>45569</v>
      </c>
      <c r="C58" s="12"/>
      <c r="D58" s="12"/>
      <c r="E58" s="12"/>
      <c r="F58" s="12"/>
      <c r="I58" s="88">
        <v>45595</v>
      </c>
      <c r="J58" s="12"/>
      <c r="K58" s="12"/>
      <c r="L58" s="12"/>
      <c r="M58" s="12"/>
    </row>
    <row r="59" spans="2:13" x14ac:dyDescent="0.25">
      <c r="B59" s="89"/>
      <c r="C59" s="19" t="s">
        <v>37</v>
      </c>
      <c r="D59" s="19" t="s">
        <v>47</v>
      </c>
      <c r="E59" s="19" t="s">
        <v>85</v>
      </c>
      <c r="F59" s="19" t="s">
        <v>86</v>
      </c>
      <c r="I59" s="89"/>
      <c r="J59" s="19" t="s">
        <v>37</v>
      </c>
      <c r="K59" s="19" t="s">
        <v>47</v>
      </c>
      <c r="L59" s="19" t="s">
        <v>85</v>
      </c>
      <c r="M59" s="19" t="s">
        <v>86</v>
      </c>
    </row>
    <row r="60" spans="2:13" x14ac:dyDescent="0.25">
      <c r="B60" s="89"/>
      <c r="C60" s="38" t="s">
        <v>51</v>
      </c>
      <c r="D60" s="12" t="s">
        <v>136</v>
      </c>
      <c r="E60" s="12">
        <v>190</v>
      </c>
      <c r="F60" s="12">
        <v>2300</v>
      </c>
      <c r="I60" s="89"/>
      <c r="J60" s="12" t="s">
        <v>51</v>
      </c>
      <c r="K60" s="97" t="s">
        <v>368</v>
      </c>
      <c r="L60" s="98"/>
      <c r="M60" s="12"/>
    </row>
    <row r="61" spans="2:13" x14ac:dyDescent="0.25">
      <c r="B61" s="89"/>
      <c r="C61" s="38" t="s">
        <v>52</v>
      </c>
      <c r="D61" s="12" t="s">
        <v>137</v>
      </c>
      <c r="E61" s="12">
        <v>13.5</v>
      </c>
      <c r="F61" s="12">
        <v>1350</v>
      </c>
      <c r="I61" s="89"/>
      <c r="J61" s="12" t="s">
        <v>52</v>
      </c>
      <c r="K61" s="101"/>
      <c r="L61" s="102"/>
      <c r="M61" s="12"/>
    </row>
    <row r="62" spans="2:13" x14ac:dyDescent="0.25">
      <c r="B62" s="89"/>
      <c r="C62" s="12"/>
      <c r="D62" s="12"/>
      <c r="E62" s="12"/>
      <c r="F62" s="12"/>
      <c r="I62" s="89"/>
      <c r="J62" s="12" t="s">
        <v>366</v>
      </c>
      <c r="K62" s="12"/>
      <c r="L62" s="12"/>
      <c r="M62" s="12">
        <v>200</v>
      </c>
    </row>
    <row r="63" spans="2:13" x14ac:dyDescent="0.25">
      <c r="B63" s="89"/>
      <c r="C63" s="12" t="s">
        <v>77</v>
      </c>
      <c r="D63" s="12"/>
      <c r="E63" s="12"/>
      <c r="F63" s="12">
        <v>30</v>
      </c>
      <c r="I63" s="89"/>
      <c r="J63" s="12" t="s">
        <v>367</v>
      </c>
      <c r="K63" s="12"/>
      <c r="L63" s="12"/>
      <c r="M63" s="12">
        <v>30</v>
      </c>
    </row>
    <row r="64" spans="2:13" x14ac:dyDescent="0.25">
      <c r="B64" s="89"/>
      <c r="C64" s="12"/>
      <c r="D64" s="12"/>
      <c r="E64" s="12"/>
      <c r="F64" s="12"/>
      <c r="I64" s="89"/>
      <c r="J64" s="12"/>
      <c r="K64" s="12"/>
      <c r="L64" s="12"/>
      <c r="M64" s="12"/>
    </row>
    <row r="65" spans="2:13" x14ac:dyDescent="0.25">
      <c r="B65" s="89"/>
      <c r="C65" s="12"/>
      <c r="D65" s="12"/>
      <c r="E65" s="12"/>
      <c r="F65" s="12"/>
      <c r="I65" s="89"/>
      <c r="J65" s="12"/>
      <c r="K65" s="12"/>
      <c r="L65" s="12"/>
      <c r="M65" s="12"/>
    </row>
    <row r="66" spans="2:13" x14ac:dyDescent="0.25">
      <c r="B66" s="89"/>
      <c r="C66" s="12"/>
      <c r="D66" s="12"/>
      <c r="E66" s="12"/>
      <c r="F66" s="12"/>
      <c r="I66" s="89"/>
      <c r="J66" s="12"/>
      <c r="K66" s="12"/>
      <c r="L66" s="12"/>
      <c r="M66" s="12"/>
    </row>
    <row r="67" spans="2:13" x14ac:dyDescent="0.25">
      <c r="B67" s="89"/>
      <c r="C67" s="12"/>
      <c r="D67" s="12"/>
      <c r="E67" s="12"/>
      <c r="F67" s="12"/>
      <c r="I67" s="89"/>
      <c r="J67" s="12"/>
      <c r="K67" s="12"/>
      <c r="L67" s="12"/>
      <c r="M67" s="12"/>
    </row>
    <row r="68" spans="2:13" x14ac:dyDescent="0.25">
      <c r="B68" s="89"/>
      <c r="C68" s="12"/>
      <c r="D68" s="12"/>
      <c r="E68" s="12"/>
      <c r="F68" s="12"/>
      <c r="I68" s="89"/>
      <c r="J68" s="12"/>
      <c r="K68" s="12"/>
      <c r="L68" s="12"/>
      <c r="M68" s="12"/>
    </row>
    <row r="69" spans="2:13" x14ac:dyDescent="0.25">
      <c r="B69" s="90"/>
      <c r="C69" s="12" t="s">
        <v>26</v>
      </c>
      <c r="D69" s="12"/>
      <c r="E69" s="12"/>
      <c r="F69" s="13">
        <f>SUM(F60:F68)</f>
        <v>3680</v>
      </c>
      <c r="I69" s="90"/>
      <c r="J69" s="12" t="s">
        <v>26</v>
      </c>
      <c r="K69" s="12"/>
      <c r="L69" s="12"/>
      <c r="M69" s="13">
        <f>SUM(M60:M68)</f>
        <v>230</v>
      </c>
    </row>
    <row r="71" spans="2:13" x14ac:dyDescent="0.25">
      <c r="B71" s="88">
        <v>45570</v>
      </c>
      <c r="C71" s="12"/>
      <c r="D71" s="12"/>
      <c r="E71" s="12"/>
      <c r="F71" s="12"/>
      <c r="I71" s="88">
        <v>45596</v>
      </c>
      <c r="J71" s="12"/>
      <c r="K71" s="12"/>
      <c r="L71" s="12"/>
      <c r="M71" s="12"/>
    </row>
    <row r="72" spans="2:13" x14ac:dyDescent="0.25">
      <c r="B72" s="89"/>
      <c r="C72" s="19" t="s">
        <v>37</v>
      </c>
      <c r="D72" s="19" t="s">
        <v>47</v>
      </c>
      <c r="E72" s="19" t="s">
        <v>85</v>
      </c>
      <c r="F72" s="19" t="s">
        <v>86</v>
      </c>
      <c r="I72" s="89"/>
      <c r="J72" s="19" t="s">
        <v>37</v>
      </c>
      <c r="K72" s="19" t="s">
        <v>47</v>
      </c>
      <c r="L72" s="19" t="s">
        <v>85</v>
      </c>
      <c r="M72" s="19" t="s">
        <v>86</v>
      </c>
    </row>
    <row r="73" spans="2:13" x14ac:dyDescent="0.25">
      <c r="B73" s="89"/>
      <c r="C73" s="38" t="s">
        <v>51</v>
      </c>
      <c r="D73" s="12" t="s">
        <v>140</v>
      </c>
      <c r="E73" s="12">
        <v>190</v>
      </c>
      <c r="F73" s="12">
        <v>6118</v>
      </c>
      <c r="I73" s="89"/>
      <c r="J73" s="41" t="s">
        <v>51</v>
      </c>
      <c r="K73" s="12">
        <f>56.7+54.4</f>
        <v>111.1</v>
      </c>
      <c r="L73" s="12">
        <v>187</v>
      </c>
      <c r="M73" s="12">
        <v>20775</v>
      </c>
    </row>
    <row r="74" spans="2:13" x14ac:dyDescent="0.25">
      <c r="B74" s="89"/>
      <c r="C74" s="38" t="s">
        <v>52</v>
      </c>
      <c r="D74" s="12" t="s">
        <v>137</v>
      </c>
      <c r="E74" s="12">
        <v>13.5</v>
      </c>
      <c r="F74" s="12">
        <v>1350</v>
      </c>
      <c r="I74" s="89"/>
      <c r="J74" s="12" t="s">
        <v>52</v>
      </c>
      <c r="K74" s="12"/>
      <c r="L74" s="12"/>
      <c r="M74" s="12"/>
    </row>
    <row r="75" spans="2:13" x14ac:dyDescent="0.25">
      <c r="B75" s="89"/>
      <c r="C75" s="12" t="s">
        <v>141</v>
      </c>
      <c r="D75" s="12"/>
      <c r="E75" s="12"/>
      <c r="F75" s="12">
        <v>80</v>
      </c>
      <c r="I75" s="89"/>
      <c r="J75" s="12"/>
      <c r="K75" s="12"/>
      <c r="L75" s="12"/>
      <c r="M75" s="12"/>
    </row>
    <row r="76" spans="2:13" x14ac:dyDescent="0.25">
      <c r="B76" s="89"/>
      <c r="C76" s="12" t="s">
        <v>77</v>
      </c>
      <c r="D76" s="12"/>
      <c r="E76" s="12"/>
      <c r="F76" s="12">
        <v>30</v>
      </c>
      <c r="I76" s="89"/>
      <c r="J76" s="12" t="s">
        <v>77</v>
      </c>
      <c r="K76" s="12"/>
      <c r="L76" s="12"/>
      <c r="M76" s="12">
        <v>60</v>
      </c>
    </row>
    <row r="77" spans="2:13" x14ac:dyDescent="0.25">
      <c r="B77" s="89"/>
      <c r="C77" s="12"/>
      <c r="D77" s="12"/>
      <c r="E77" s="12"/>
      <c r="F77" s="12"/>
      <c r="I77" s="89"/>
      <c r="J77" s="41" t="s">
        <v>374</v>
      </c>
      <c r="K77" s="12"/>
      <c r="L77" s="12"/>
      <c r="M77" s="12">
        <f>1650*5</f>
        <v>8250</v>
      </c>
    </row>
    <row r="78" spans="2:13" x14ac:dyDescent="0.25">
      <c r="B78" s="89"/>
      <c r="C78" s="12"/>
      <c r="D78" s="12"/>
      <c r="E78" s="12"/>
      <c r="F78" s="12"/>
      <c r="I78" s="89"/>
      <c r="J78" s="41" t="s">
        <v>120</v>
      </c>
      <c r="K78" s="12">
        <v>6</v>
      </c>
      <c r="L78" s="12">
        <v>85</v>
      </c>
      <c r="M78" s="12">
        <v>510</v>
      </c>
    </row>
    <row r="79" spans="2:13" x14ac:dyDescent="0.25">
      <c r="B79" s="89"/>
      <c r="C79" s="12"/>
      <c r="D79" s="12"/>
      <c r="E79" s="12"/>
      <c r="F79" s="12"/>
      <c r="I79" s="89"/>
      <c r="J79" s="12"/>
      <c r="K79" s="12"/>
      <c r="L79" s="12"/>
      <c r="M79" s="12"/>
    </row>
    <row r="80" spans="2:13" x14ac:dyDescent="0.25">
      <c r="B80" s="89"/>
      <c r="C80" s="12"/>
      <c r="D80" s="12"/>
      <c r="E80" s="12"/>
      <c r="F80" s="12"/>
      <c r="I80" s="89"/>
      <c r="J80" s="12"/>
      <c r="K80" s="12"/>
      <c r="L80" s="12"/>
      <c r="M80" s="12"/>
    </row>
    <row r="81" spans="2:13" x14ac:dyDescent="0.25">
      <c r="B81" s="89"/>
      <c r="C81" s="12"/>
      <c r="D81" s="12"/>
      <c r="E81" s="12"/>
      <c r="F81" s="12"/>
      <c r="I81" s="89"/>
      <c r="J81" s="12"/>
      <c r="K81" s="12"/>
      <c r="L81" s="12"/>
      <c r="M81" s="12"/>
    </row>
    <row r="82" spans="2:13" x14ac:dyDescent="0.25">
      <c r="B82" s="90"/>
      <c r="C82" s="12" t="s">
        <v>26</v>
      </c>
      <c r="D82" s="12"/>
      <c r="E82" s="12"/>
      <c r="F82" s="13">
        <f>SUM(F73:F81)</f>
        <v>7578</v>
      </c>
      <c r="I82" s="90"/>
      <c r="J82" s="12" t="s">
        <v>26</v>
      </c>
      <c r="K82" s="12"/>
      <c r="L82" s="12"/>
      <c r="M82" s="13">
        <f>SUM(M73:M81)</f>
        <v>29595</v>
      </c>
    </row>
    <row r="84" spans="2:13" x14ac:dyDescent="0.25">
      <c r="B84" s="88">
        <v>45571</v>
      </c>
      <c r="C84" s="12"/>
      <c r="D84" s="12"/>
      <c r="E84" s="12"/>
      <c r="F84" s="12"/>
      <c r="I84" s="88">
        <v>45597</v>
      </c>
      <c r="J84" s="12"/>
      <c r="K84" s="12"/>
      <c r="L84" s="12"/>
      <c r="M84" s="12"/>
    </row>
    <row r="85" spans="2:13" x14ac:dyDescent="0.25">
      <c r="B85" s="89"/>
      <c r="C85" s="19" t="s">
        <v>37</v>
      </c>
      <c r="D85" s="19" t="s">
        <v>47</v>
      </c>
      <c r="E85" s="19" t="s">
        <v>85</v>
      </c>
      <c r="F85" s="19" t="s">
        <v>86</v>
      </c>
      <c r="I85" s="89"/>
      <c r="J85" s="19" t="s">
        <v>37</v>
      </c>
      <c r="K85" s="19" t="s">
        <v>47</v>
      </c>
      <c r="L85" s="19" t="s">
        <v>85</v>
      </c>
      <c r="M85" s="19" t="s">
        <v>86</v>
      </c>
    </row>
    <row r="86" spans="2:13" x14ac:dyDescent="0.25">
      <c r="B86" s="89"/>
      <c r="C86" s="38" t="s">
        <v>51</v>
      </c>
      <c r="D86" s="12" t="s">
        <v>159</v>
      </c>
      <c r="E86" s="12">
        <v>190</v>
      </c>
      <c r="F86" s="12">
        <v>2750</v>
      </c>
      <c r="I86" s="89"/>
      <c r="J86" s="41" t="s">
        <v>51</v>
      </c>
      <c r="K86" s="12">
        <v>41.5</v>
      </c>
      <c r="L86" s="12">
        <v>190</v>
      </c>
      <c r="M86" s="12">
        <v>7885</v>
      </c>
    </row>
    <row r="87" spans="2:13" x14ac:dyDescent="0.25">
      <c r="B87" s="89"/>
      <c r="C87" s="38" t="s">
        <v>52</v>
      </c>
      <c r="D87" s="12" t="s">
        <v>160</v>
      </c>
      <c r="E87" s="12">
        <v>13.6</v>
      </c>
      <c r="F87" s="12">
        <v>950</v>
      </c>
      <c r="I87" s="89"/>
      <c r="J87" s="41" t="s">
        <v>52</v>
      </c>
      <c r="K87" s="12">
        <v>475</v>
      </c>
      <c r="L87" s="12">
        <v>12.4</v>
      </c>
      <c r="M87" s="12">
        <v>5890</v>
      </c>
    </row>
    <row r="88" spans="2:13" x14ac:dyDescent="0.25">
      <c r="B88" s="89"/>
      <c r="C88" s="12"/>
      <c r="D88" s="12"/>
      <c r="E88" s="12"/>
      <c r="F88" s="12"/>
      <c r="I88" s="89"/>
      <c r="J88" s="12"/>
      <c r="K88" s="12"/>
      <c r="L88" s="12"/>
      <c r="M88" s="12"/>
    </row>
    <row r="89" spans="2:13" x14ac:dyDescent="0.25">
      <c r="B89" s="89"/>
      <c r="C89" s="12" t="s">
        <v>77</v>
      </c>
      <c r="D89" s="12"/>
      <c r="E89" s="12"/>
      <c r="F89" s="12">
        <v>30</v>
      </c>
      <c r="I89" s="89"/>
      <c r="J89" s="12" t="s">
        <v>77</v>
      </c>
      <c r="K89" s="12"/>
      <c r="L89" s="12"/>
      <c r="M89" s="12">
        <v>30</v>
      </c>
    </row>
    <row r="90" spans="2:13" x14ac:dyDescent="0.25">
      <c r="B90" s="89"/>
      <c r="C90" s="12"/>
      <c r="D90" s="12"/>
      <c r="E90" s="12"/>
      <c r="F90" s="12"/>
      <c r="I90" s="89"/>
      <c r="J90" s="12"/>
      <c r="K90" s="12"/>
      <c r="L90" s="12"/>
      <c r="M90" s="12"/>
    </row>
    <row r="91" spans="2:13" x14ac:dyDescent="0.25">
      <c r="B91" s="89"/>
      <c r="C91" s="12"/>
      <c r="D91" s="12"/>
      <c r="E91" s="12"/>
      <c r="F91" s="12"/>
      <c r="I91" s="89"/>
      <c r="J91" s="12"/>
      <c r="K91" s="12"/>
      <c r="L91" s="12"/>
      <c r="M91" s="12"/>
    </row>
    <row r="92" spans="2:13" x14ac:dyDescent="0.25">
      <c r="B92" s="89"/>
      <c r="C92" s="12"/>
      <c r="D92" s="12"/>
      <c r="E92" s="12"/>
      <c r="F92" s="12"/>
      <c r="I92" s="89"/>
      <c r="J92" s="12"/>
      <c r="K92" s="12"/>
      <c r="L92" s="12"/>
      <c r="M92" s="12"/>
    </row>
    <row r="93" spans="2:13" x14ac:dyDescent="0.25">
      <c r="B93" s="89"/>
      <c r="C93" s="12"/>
      <c r="D93" s="12"/>
      <c r="E93" s="12"/>
      <c r="F93" s="12"/>
      <c r="I93" s="89"/>
      <c r="J93" s="12"/>
      <c r="K93" s="12"/>
      <c r="L93" s="12"/>
      <c r="M93" s="12"/>
    </row>
    <row r="94" spans="2:13" x14ac:dyDescent="0.25">
      <c r="B94" s="89"/>
      <c r="C94" s="12"/>
      <c r="D94" s="12"/>
      <c r="E94" s="12"/>
      <c r="F94" s="12"/>
      <c r="I94" s="89"/>
      <c r="J94" s="12"/>
      <c r="K94" s="12"/>
      <c r="L94" s="12"/>
      <c r="M94" s="12"/>
    </row>
    <row r="95" spans="2:13" x14ac:dyDescent="0.25">
      <c r="B95" s="90"/>
      <c r="C95" s="12" t="s">
        <v>26</v>
      </c>
      <c r="D95" s="12"/>
      <c r="E95" s="12"/>
      <c r="F95" s="13">
        <f>SUM(F86:F94)</f>
        <v>3730</v>
      </c>
      <c r="I95" s="90"/>
      <c r="J95" s="12" t="s">
        <v>26</v>
      </c>
      <c r="K95" s="12"/>
      <c r="L95" s="12"/>
      <c r="M95" s="13">
        <f>SUM(M86:M94)</f>
        <v>13805</v>
      </c>
    </row>
    <row r="97" spans="2:13" x14ac:dyDescent="0.25">
      <c r="B97" s="88">
        <v>45572</v>
      </c>
      <c r="C97" s="12"/>
      <c r="D97" s="12"/>
      <c r="E97" s="12"/>
      <c r="F97" s="12"/>
      <c r="I97" s="88">
        <v>45598</v>
      </c>
      <c r="J97" s="12"/>
      <c r="K97" s="12"/>
      <c r="L97" s="12"/>
      <c r="M97" s="12"/>
    </row>
    <row r="98" spans="2:13" x14ac:dyDescent="0.25">
      <c r="B98" s="89"/>
      <c r="C98" s="19" t="s">
        <v>37</v>
      </c>
      <c r="D98" s="19" t="s">
        <v>47</v>
      </c>
      <c r="E98" s="19" t="s">
        <v>85</v>
      </c>
      <c r="F98" s="19" t="s">
        <v>86</v>
      </c>
      <c r="I98" s="89"/>
      <c r="J98" s="19" t="s">
        <v>37</v>
      </c>
      <c r="K98" s="19" t="s">
        <v>47</v>
      </c>
      <c r="L98" s="19" t="s">
        <v>85</v>
      </c>
      <c r="M98" s="19" t="s">
        <v>86</v>
      </c>
    </row>
    <row r="99" spans="2:13" x14ac:dyDescent="0.25">
      <c r="B99" s="89"/>
      <c r="C99" s="38" t="s">
        <v>51</v>
      </c>
      <c r="D99" s="12" t="s">
        <v>221</v>
      </c>
      <c r="E99" s="12">
        <v>190</v>
      </c>
      <c r="F99" s="12">
        <v>3000</v>
      </c>
      <c r="I99" s="89"/>
      <c r="J99" s="41" t="s">
        <v>51</v>
      </c>
      <c r="K99" s="12">
        <v>81.55</v>
      </c>
      <c r="L99" s="12">
        <v>187</v>
      </c>
      <c r="M99" s="12">
        <v>15250</v>
      </c>
    </row>
    <row r="100" spans="2:13" x14ac:dyDescent="0.25">
      <c r="B100" s="89"/>
      <c r="C100" s="38" t="s">
        <v>52</v>
      </c>
      <c r="D100" s="12" t="s">
        <v>222</v>
      </c>
      <c r="E100" s="12">
        <v>13.3</v>
      </c>
      <c r="F100" s="12">
        <v>798</v>
      </c>
      <c r="I100" s="89"/>
      <c r="J100" s="41" t="s">
        <v>52</v>
      </c>
      <c r="K100" s="12">
        <v>100</v>
      </c>
      <c r="L100" s="12">
        <v>12.4</v>
      </c>
      <c r="M100" s="12">
        <v>1240</v>
      </c>
    </row>
    <row r="101" spans="2:13" x14ac:dyDescent="0.25">
      <c r="B101" s="89"/>
      <c r="C101" s="12" t="s">
        <v>223</v>
      </c>
      <c r="D101" s="12"/>
      <c r="E101" s="12"/>
      <c r="F101" s="12">
        <v>210</v>
      </c>
      <c r="I101" s="89"/>
      <c r="J101" s="12"/>
      <c r="K101" s="12"/>
      <c r="L101" s="12"/>
      <c r="M101" s="12"/>
    </row>
    <row r="102" spans="2:13" x14ac:dyDescent="0.25">
      <c r="B102" s="89"/>
      <c r="C102" s="12" t="s">
        <v>77</v>
      </c>
      <c r="D102" s="12"/>
      <c r="E102" s="12"/>
      <c r="F102" s="12"/>
      <c r="I102" s="89"/>
      <c r="J102" s="12" t="s">
        <v>77</v>
      </c>
      <c r="K102" s="12"/>
      <c r="L102" s="12"/>
      <c r="M102" s="12">
        <v>30</v>
      </c>
    </row>
    <row r="103" spans="2:13" x14ac:dyDescent="0.25">
      <c r="B103" s="89"/>
      <c r="C103" s="12"/>
      <c r="D103" s="12"/>
      <c r="E103" s="12"/>
      <c r="F103" s="12"/>
      <c r="I103" s="89"/>
      <c r="J103" s="12"/>
      <c r="K103" s="12"/>
      <c r="L103" s="12"/>
      <c r="M103" s="12"/>
    </row>
    <row r="104" spans="2:13" x14ac:dyDescent="0.25">
      <c r="B104" s="89"/>
      <c r="C104" s="12"/>
      <c r="D104" s="12"/>
      <c r="E104" s="12"/>
      <c r="F104" s="12"/>
      <c r="I104" s="89"/>
      <c r="J104" s="12"/>
      <c r="K104" s="12"/>
      <c r="L104" s="12"/>
      <c r="M104" s="12"/>
    </row>
    <row r="105" spans="2:13" x14ac:dyDescent="0.25">
      <c r="B105" s="89"/>
      <c r="C105" s="12"/>
      <c r="D105" s="12"/>
      <c r="E105" s="12"/>
      <c r="F105" s="12"/>
      <c r="I105" s="89"/>
      <c r="J105" s="12"/>
      <c r="K105" s="12"/>
      <c r="L105" s="12"/>
      <c r="M105" s="12"/>
    </row>
    <row r="106" spans="2:13" x14ac:dyDescent="0.25">
      <c r="B106" s="89"/>
      <c r="C106" s="12"/>
      <c r="D106" s="12"/>
      <c r="E106" s="12"/>
      <c r="F106" s="12"/>
      <c r="I106" s="89"/>
      <c r="J106" s="12"/>
      <c r="K106" s="12"/>
      <c r="L106" s="12"/>
      <c r="M106" s="12"/>
    </row>
    <row r="107" spans="2:13" x14ac:dyDescent="0.25">
      <c r="B107" s="89"/>
      <c r="C107" s="12"/>
      <c r="D107" s="12"/>
      <c r="E107" s="12"/>
      <c r="F107" s="12"/>
      <c r="I107" s="89"/>
      <c r="J107" s="12"/>
      <c r="K107" s="12"/>
      <c r="L107" s="12"/>
      <c r="M107" s="12"/>
    </row>
    <row r="108" spans="2:13" x14ac:dyDescent="0.25">
      <c r="B108" s="90"/>
      <c r="C108" s="12" t="s">
        <v>26</v>
      </c>
      <c r="D108" s="12"/>
      <c r="E108" s="12"/>
      <c r="F108" s="13">
        <f>SUM(F99:F107)</f>
        <v>4008</v>
      </c>
      <c r="I108" s="90"/>
      <c r="J108" s="12" t="s">
        <v>26</v>
      </c>
      <c r="K108" s="12"/>
      <c r="L108" s="12"/>
      <c r="M108" s="13">
        <f>SUM(M99:M107)</f>
        <v>16520</v>
      </c>
    </row>
    <row r="110" spans="2:13" x14ac:dyDescent="0.25">
      <c r="B110" s="88">
        <v>45584</v>
      </c>
      <c r="C110" s="12"/>
      <c r="D110" s="12"/>
      <c r="E110" s="12"/>
      <c r="F110" s="12"/>
      <c r="I110" s="88">
        <v>45599</v>
      </c>
      <c r="J110" s="12"/>
      <c r="K110" s="12"/>
      <c r="L110" s="12"/>
      <c r="M110" s="12"/>
    </row>
    <row r="111" spans="2:13" x14ac:dyDescent="0.25">
      <c r="B111" s="89"/>
      <c r="C111" s="19" t="s">
        <v>37</v>
      </c>
      <c r="D111" s="19" t="s">
        <v>47</v>
      </c>
      <c r="E111" s="19" t="s">
        <v>85</v>
      </c>
      <c r="F111" s="19" t="s">
        <v>86</v>
      </c>
      <c r="I111" s="89"/>
      <c r="J111" s="19" t="s">
        <v>37</v>
      </c>
      <c r="K111" s="19" t="s">
        <v>47</v>
      </c>
      <c r="L111" s="19" t="s">
        <v>85</v>
      </c>
      <c r="M111" s="19" t="s">
        <v>86</v>
      </c>
    </row>
    <row r="112" spans="2:13" x14ac:dyDescent="0.25">
      <c r="B112" s="89"/>
      <c r="C112" s="41" t="s">
        <v>51</v>
      </c>
      <c r="D112" s="12" t="s">
        <v>263</v>
      </c>
      <c r="E112" s="12">
        <v>190</v>
      </c>
      <c r="F112" s="12">
        <v>5852</v>
      </c>
      <c r="I112" s="89"/>
      <c r="J112" s="12" t="s">
        <v>51</v>
      </c>
      <c r="K112" s="97" t="s">
        <v>337</v>
      </c>
      <c r="L112" s="98"/>
      <c r="M112" s="12"/>
    </row>
    <row r="113" spans="2:18" x14ac:dyDescent="0.25">
      <c r="B113" s="89"/>
      <c r="C113" s="41" t="s">
        <v>52</v>
      </c>
      <c r="D113" s="12" t="s">
        <v>264</v>
      </c>
      <c r="E113" s="12">
        <v>11.7</v>
      </c>
      <c r="F113" s="12">
        <v>3515</v>
      </c>
      <c r="I113" s="89"/>
      <c r="J113" s="12" t="s">
        <v>52</v>
      </c>
      <c r="K113" s="99"/>
      <c r="L113" s="100"/>
      <c r="M113" s="12"/>
    </row>
    <row r="114" spans="2:18" x14ac:dyDescent="0.25">
      <c r="B114" s="89"/>
      <c r="C114" s="12"/>
      <c r="D114" s="12"/>
      <c r="E114" s="12"/>
      <c r="F114" s="12"/>
      <c r="I114" s="89"/>
      <c r="J114" s="12"/>
      <c r="K114" s="101"/>
      <c r="L114" s="102"/>
      <c r="M114" s="12"/>
    </row>
    <row r="115" spans="2:18" x14ac:dyDescent="0.25">
      <c r="B115" s="89"/>
      <c r="C115" s="12" t="s">
        <v>77</v>
      </c>
      <c r="D115" s="12"/>
      <c r="E115" s="12"/>
      <c r="F115" s="12">
        <v>40</v>
      </c>
      <c r="I115" s="89"/>
      <c r="J115" s="12" t="s">
        <v>77</v>
      </c>
      <c r="K115" s="12"/>
      <c r="L115" s="12"/>
      <c r="M115" s="12"/>
    </row>
    <row r="116" spans="2:18" x14ac:dyDescent="0.25">
      <c r="B116" s="89"/>
      <c r="C116" s="12" t="s">
        <v>275</v>
      </c>
      <c r="D116" s="12"/>
      <c r="E116" s="12"/>
      <c r="F116" s="12">
        <v>100</v>
      </c>
      <c r="I116" s="89"/>
      <c r="J116" s="12"/>
      <c r="K116" s="12"/>
      <c r="L116" s="12"/>
      <c r="M116" s="12"/>
    </row>
    <row r="117" spans="2:18" x14ac:dyDescent="0.25">
      <c r="B117" s="89"/>
      <c r="C117" s="12"/>
      <c r="D117" s="12"/>
      <c r="E117" s="12"/>
      <c r="F117" s="12"/>
      <c r="I117" s="89"/>
      <c r="J117" s="12" t="s">
        <v>120</v>
      </c>
      <c r="K117" s="12" t="s">
        <v>406</v>
      </c>
      <c r="L117" s="12"/>
      <c r="M117" s="12">
        <v>170</v>
      </c>
      <c r="R117">
        <f>10500+11300+15200</f>
        <v>37000</v>
      </c>
    </row>
    <row r="118" spans="2:18" x14ac:dyDescent="0.25">
      <c r="B118" s="89"/>
      <c r="C118" s="12"/>
      <c r="D118" s="12"/>
      <c r="E118" s="12"/>
      <c r="F118" s="12"/>
      <c r="I118" s="89"/>
      <c r="J118" s="12"/>
      <c r="K118" s="12"/>
      <c r="L118" s="12"/>
      <c r="M118" s="12"/>
    </row>
    <row r="119" spans="2:18" x14ac:dyDescent="0.25">
      <c r="B119" s="89"/>
      <c r="C119" s="12"/>
      <c r="D119" s="12"/>
      <c r="E119" s="12"/>
      <c r="F119" s="12"/>
      <c r="I119" s="89"/>
      <c r="J119" s="12"/>
      <c r="K119" s="12"/>
      <c r="L119" s="12"/>
      <c r="M119" s="12"/>
    </row>
    <row r="120" spans="2:18" x14ac:dyDescent="0.25">
      <c r="B120" s="89"/>
      <c r="C120" s="12"/>
      <c r="D120" s="12"/>
      <c r="E120" s="12"/>
      <c r="F120" s="12"/>
      <c r="I120" s="89"/>
      <c r="J120" s="12"/>
      <c r="K120" s="12"/>
      <c r="L120" s="12"/>
      <c r="M120" s="12"/>
    </row>
    <row r="121" spans="2:18" x14ac:dyDescent="0.25">
      <c r="B121" s="90"/>
      <c r="C121" s="12" t="s">
        <v>26</v>
      </c>
      <c r="D121" s="12"/>
      <c r="E121" s="12"/>
      <c r="F121" s="13">
        <f>SUM(F112:F120)</f>
        <v>9507</v>
      </c>
      <c r="I121" s="90"/>
      <c r="J121" s="12" t="s">
        <v>26</v>
      </c>
      <c r="K121" s="12"/>
      <c r="L121" s="12"/>
      <c r="M121" s="13">
        <f>SUM(M112:M120)</f>
        <v>170</v>
      </c>
    </row>
    <row r="123" spans="2:18" x14ac:dyDescent="0.25">
      <c r="B123" s="88">
        <v>45585</v>
      </c>
      <c r="C123" s="12"/>
      <c r="D123" s="12"/>
      <c r="E123" s="12"/>
      <c r="F123" s="12"/>
      <c r="I123" s="88">
        <v>45600</v>
      </c>
      <c r="J123" s="12"/>
      <c r="K123" s="12"/>
      <c r="L123" s="12"/>
      <c r="M123" s="12"/>
    </row>
    <row r="124" spans="2:18" x14ac:dyDescent="0.25">
      <c r="B124" s="89"/>
      <c r="C124" s="19" t="s">
        <v>37</v>
      </c>
      <c r="D124" s="19" t="s">
        <v>47</v>
      </c>
      <c r="E124" s="19" t="s">
        <v>85</v>
      </c>
      <c r="F124" s="19" t="s">
        <v>86</v>
      </c>
      <c r="I124" s="89"/>
      <c r="J124" s="19" t="s">
        <v>37</v>
      </c>
      <c r="K124" s="19" t="s">
        <v>47</v>
      </c>
      <c r="L124" s="19" t="s">
        <v>85</v>
      </c>
      <c r="M124" s="19" t="s">
        <v>86</v>
      </c>
    </row>
    <row r="125" spans="2:18" x14ac:dyDescent="0.25">
      <c r="B125" s="89"/>
      <c r="C125" s="41" t="s">
        <v>51</v>
      </c>
      <c r="D125" s="12" t="s">
        <v>276</v>
      </c>
      <c r="E125" s="12">
        <v>190</v>
      </c>
      <c r="F125" s="12">
        <v>4294</v>
      </c>
      <c r="I125" s="89"/>
      <c r="J125" s="41" t="s">
        <v>51</v>
      </c>
      <c r="K125" s="12">
        <v>61.1</v>
      </c>
      <c r="L125" s="12">
        <v>185</v>
      </c>
      <c r="M125" s="12">
        <v>11300</v>
      </c>
    </row>
    <row r="126" spans="2:18" x14ac:dyDescent="0.25">
      <c r="B126" s="89"/>
      <c r="C126" s="41" t="s">
        <v>52</v>
      </c>
      <c r="D126" s="12" t="s">
        <v>277</v>
      </c>
      <c r="E126" s="12">
        <v>11.7</v>
      </c>
      <c r="F126" s="12">
        <v>5499</v>
      </c>
      <c r="I126" s="89"/>
      <c r="J126" s="41" t="s">
        <v>52</v>
      </c>
      <c r="K126" s="12">
        <v>450</v>
      </c>
      <c r="L126" s="12">
        <v>12.4</v>
      </c>
      <c r="M126" s="12">
        <v>5580</v>
      </c>
    </row>
    <row r="127" spans="2:18" x14ac:dyDescent="0.25">
      <c r="B127" s="89"/>
      <c r="C127" s="12"/>
      <c r="D127" s="12"/>
      <c r="E127" s="12"/>
      <c r="F127" s="12"/>
      <c r="I127" s="89"/>
      <c r="J127" s="12" t="s">
        <v>417</v>
      </c>
      <c r="K127" s="12"/>
      <c r="L127" s="12"/>
      <c r="M127" s="12">
        <v>1000</v>
      </c>
    </row>
    <row r="128" spans="2:18" x14ac:dyDescent="0.25">
      <c r="B128" s="89"/>
      <c r="C128" s="12" t="s">
        <v>77</v>
      </c>
      <c r="D128" s="12"/>
      <c r="E128" s="12"/>
      <c r="F128" s="12">
        <v>30</v>
      </c>
      <c r="I128" s="89"/>
      <c r="J128" s="12" t="s">
        <v>77</v>
      </c>
      <c r="K128" s="12"/>
      <c r="L128" s="12"/>
      <c r="M128" s="12">
        <v>40</v>
      </c>
    </row>
    <row r="129" spans="2:18" x14ac:dyDescent="0.25">
      <c r="B129" s="89"/>
      <c r="C129" s="12" t="s">
        <v>274</v>
      </c>
      <c r="D129" s="12"/>
      <c r="E129" s="12"/>
      <c r="F129" s="12">
        <v>1200</v>
      </c>
      <c r="I129" s="89"/>
      <c r="J129" s="12" t="s">
        <v>415</v>
      </c>
      <c r="K129" s="12">
        <v>45</v>
      </c>
      <c r="L129" s="12">
        <v>450</v>
      </c>
      <c r="M129" s="12">
        <v>20250</v>
      </c>
    </row>
    <row r="130" spans="2:18" x14ac:dyDescent="0.25">
      <c r="B130" s="89"/>
      <c r="C130" s="12"/>
      <c r="D130" s="12"/>
      <c r="E130" s="12"/>
      <c r="F130" s="12"/>
      <c r="I130" s="89"/>
      <c r="J130" s="12" t="s">
        <v>408</v>
      </c>
      <c r="K130" s="12"/>
      <c r="L130" s="12"/>
      <c r="M130" s="12">
        <v>840</v>
      </c>
    </row>
    <row r="131" spans="2:18" x14ac:dyDescent="0.25">
      <c r="B131" s="89"/>
      <c r="C131" s="12"/>
      <c r="D131" s="12"/>
      <c r="E131" s="12"/>
      <c r="F131" s="12"/>
      <c r="I131" s="89"/>
      <c r="J131" s="12" t="s">
        <v>72</v>
      </c>
      <c r="K131" s="12"/>
      <c r="L131" s="12"/>
      <c r="M131" s="12">
        <v>240</v>
      </c>
      <c r="R131">
        <f>45*12</f>
        <v>540</v>
      </c>
    </row>
    <row r="132" spans="2:18" x14ac:dyDescent="0.25">
      <c r="B132" s="89"/>
      <c r="C132" s="12"/>
      <c r="D132" s="12"/>
      <c r="E132" s="12"/>
      <c r="F132" s="12"/>
      <c r="I132" s="89"/>
      <c r="J132" s="12" t="s">
        <v>416</v>
      </c>
      <c r="K132" s="12"/>
      <c r="L132" s="12"/>
      <c r="M132" s="12">
        <v>1200</v>
      </c>
    </row>
    <row r="133" spans="2:18" x14ac:dyDescent="0.25">
      <c r="B133" s="89"/>
      <c r="C133" s="12"/>
      <c r="D133" s="12"/>
      <c r="E133" s="12"/>
      <c r="F133" s="12"/>
      <c r="I133" s="89"/>
      <c r="J133" s="12" t="s">
        <v>77</v>
      </c>
      <c r="K133" s="12"/>
      <c r="L133" s="12"/>
      <c r="M133" s="12">
        <v>260</v>
      </c>
      <c r="P133">
        <f>SUM(M129:M133)</f>
        <v>22790</v>
      </c>
    </row>
    <row r="134" spans="2:18" x14ac:dyDescent="0.25">
      <c r="B134" s="90"/>
      <c r="C134" s="12" t="s">
        <v>26</v>
      </c>
      <c r="D134" s="12"/>
      <c r="E134" s="12"/>
      <c r="F134" s="13">
        <f>SUM(F125:F133)</f>
        <v>11023</v>
      </c>
      <c r="I134" s="90"/>
      <c r="J134" s="12" t="s">
        <v>26</v>
      </c>
      <c r="K134" s="12"/>
      <c r="L134" s="12"/>
      <c r="M134" s="13">
        <f>SUM(M125:M133)</f>
        <v>40710</v>
      </c>
      <c r="P134">
        <f>25320-P133</f>
        <v>2530</v>
      </c>
    </row>
    <row r="136" spans="2:18" x14ac:dyDescent="0.25">
      <c r="B136" s="88">
        <v>45586</v>
      </c>
      <c r="C136" s="12"/>
      <c r="D136" s="12"/>
      <c r="E136" s="12"/>
      <c r="F136" s="12"/>
      <c r="I136" s="88">
        <v>45601</v>
      </c>
      <c r="J136" s="12"/>
      <c r="K136" s="12"/>
      <c r="L136" s="12"/>
      <c r="M136" s="12"/>
    </row>
    <row r="137" spans="2:18" x14ac:dyDescent="0.25">
      <c r="B137" s="89"/>
      <c r="C137" s="19" t="s">
        <v>37</v>
      </c>
      <c r="D137" s="19" t="s">
        <v>47</v>
      </c>
      <c r="E137" s="19" t="s">
        <v>85</v>
      </c>
      <c r="F137" s="19" t="s">
        <v>86</v>
      </c>
      <c r="I137" s="89"/>
      <c r="J137" s="19" t="s">
        <v>37</v>
      </c>
      <c r="K137" s="19" t="s">
        <v>47</v>
      </c>
      <c r="L137" s="19" t="s">
        <v>85</v>
      </c>
      <c r="M137" s="19" t="s">
        <v>86</v>
      </c>
    </row>
    <row r="138" spans="2:18" x14ac:dyDescent="0.25">
      <c r="B138" s="89"/>
      <c r="C138" s="41" t="s">
        <v>51</v>
      </c>
      <c r="D138" s="12" t="s">
        <v>299</v>
      </c>
      <c r="E138" s="12">
        <v>190</v>
      </c>
      <c r="F138" s="12">
        <v>7533</v>
      </c>
      <c r="I138" s="89"/>
      <c r="J138" s="41" t="s">
        <v>51</v>
      </c>
      <c r="K138" s="12">
        <v>71.3</v>
      </c>
      <c r="L138" s="12">
        <v>184</v>
      </c>
      <c r="M138" s="12">
        <v>13119</v>
      </c>
    </row>
    <row r="139" spans="2:18" x14ac:dyDescent="0.25">
      <c r="B139" s="89"/>
      <c r="C139" s="41" t="s">
        <v>52</v>
      </c>
      <c r="D139" s="12" t="s">
        <v>300</v>
      </c>
      <c r="E139" s="12">
        <v>11.8</v>
      </c>
      <c r="F139" s="12">
        <v>6726</v>
      </c>
      <c r="I139" s="89"/>
      <c r="J139" s="41" t="s">
        <v>52</v>
      </c>
      <c r="K139" s="12">
        <v>600</v>
      </c>
      <c r="L139" s="12">
        <v>12.2</v>
      </c>
      <c r="M139" s="12">
        <v>7320</v>
      </c>
    </row>
    <row r="140" spans="2:18" x14ac:dyDescent="0.25">
      <c r="B140" s="89"/>
      <c r="C140" s="12"/>
      <c r="D140" s="12"/>
      <c r="E140" s="12"/>
      <c r="F140" s="12"/>
      <c r="I140" s="89"/>
      <c r="J140" s="41" t="s">
        <v>401</v>
      </c>
      <c r="K140" s="12">
        <v>20</v>
      </c>
      <c r="L140" s="12">
        <v>90</v>
      </c>
      <c r="M140" s="12">
        <v>1800</v>
      </c>
    </row>
    <row r="141" spans="2:18" x14ac:dyDescent="0.25">
      <c r="B141" s="89"/>
      <c r="C141" s="12" t="s">
        <v>77</v>
      </c>
      <c r="D141" s="12"/>
      <c r="E141" s="12"/>
      <c r="F141" s="12">
        <v>60</v>
      </c>
      <c r="I141" s="89"/>
      <c r="J141" s="12" t="s">
        <v>77</v>
      </c>
      <c r="K141" s="12"/>
      <c r="L141" s="12"/>
      <c r="M141" s="12">
        <v>90</v>
      </c>
    </row>
    <row r="142" spans="2:18" x14ac:dyDescent="0.25">
      <c r="B142" s="89"/>
      <c r="C142" s="12"/>
      <c r="D142" s="12"/>
      <c r="E142" s="12"/>
      <c r="F142" s="12"/>
      <c r="I142" s="89"/>
      <c r="J142" s="41" t="s">
        <v>402</v>
      </c>
      <c r="K142" s="12">
        <v>25</v>
      </c>
      <c r="L142" s="12">
        <v>95</v>
      </c>
      <c r="M142" s="12">
        <v>2375</v>
      </c>
    </row>
    <row r="143" spans="2:18" x14ac:dyDescent="0.25">
      <c r="B143" s="89"/>
      <c r="C143" s="12"/>
      <c r="D143" s="12"/>
      <c r="E143" s="12"/>
      <c r="F143" s="12"/>
      <c r="I143" s="89"/>
      <c r="J143" s="41" t="s">
        <v>120</v>
      </c>
      <c r="K143" s="12" t="s">
        <v>403</v>
      </c>
      <c r="L143" s="12">
        <v>85</v>
      </c>
      <c r="M143" s="12">
        <v>510</v>
      </c>
    </row>
    <row r="144" spans="2:18" x14ac:dyDescent="0.25">
      <c r="B144" s="89"/>
      <c r="C144" s="12"/>
      <c r="D144" s="12"/>
      <c r="E144" s="12"/>
      <c r="F144" s="12"/>
      <c r="I144" s="89"/>
      <c r="J144" s="12" t="s">
        <v>404</v>
      </c>
      <c r="K144" s="12" t="s">
        <v>258</v>
      </c>
      <c r="L144" s="12">
        <v>320</v>
      </c>
      <c r="M144" s="12">
        <v>10570</v>
      </c>
    </row>
    <row r="145" spans="2:13" x14ac:dyDescent="0.25">
      <c r="B145" s="89"/>
      <c r="C145" s="12"/>
      <c r="D145" s="12"/>
      <c r="E145" s="12"/>
      <c r="F145" s="12"/>
      <c r="I145" s="89"/>
      <c r="J145" s="12" t="s">
        <v>405</v>
      </c>
      <c r="K145" s="12"/>
      <c r="L145" s="12"/>
      <c r="M145" s="12">
        <v>1000</v>
      </c>
    </row>
    <row r="146" spans="2:13" x14ac:dyDescent="0.25">
      <c r="B146" s="89"/>
      <c r="C146" s="12"/>
      <c r="D146" s="12"/>
      <c r="E146" s="12"/>
      <c r="F146" s="12"/>
      <c r="I146" s="89"/>
      <c r="J146" s="41" t="s">
        <v>412</v>
      </c>
      <c r="K146" s="12" t="s">
        <v>254</v>
      </c>
      <c r="L146" s="12"/>
      <c r="M146" s="12">
        <v>1148</v>
      </c>
    </row>
    <row r="147" spans="2:13" x14ac:dyDescent="0.25">
      <c r="B147" s="89"/>
      <c r="C147" s="12"/>
      <c r="D147" s="12"/>
      <c r="E147" s="12"/>
      <c r="F147" s="12"/>
      <c r="I147" s="89"/>
      <c r="J147" s="12" t="s">
        <v>343</v>
      </c>
      <c r="K147" s="12" t="s">
        <v>410</v>
      </c>
      <c r="L147" s="12">
        <v>690</v>
      </c>
      <c r="M147" s="12">
        <f>690*27</f>
        <v>18630</v>
      </c>
    </row>
    <row r="148" spans="2:13" x14ac:dyDescent="0.25">
      <c r="B148" s="89"/>
      <c r="C148" s="12"/>
      <c r="D148" s="12"/>
      <c r="E148" s="12"/>
      <c r="F148" s="12"/>
      <c r="I148" s="89"/>
      <c r="J148" s="41" t="s">
        <v>414</v>
      </c>
      <c r="K148" s="12">
        <v>4</v>
      </c>
      <c r="L148" s="12"/>
      <c r="M148" s="12">
        <v>260</v>
      </c>
    </row>
    <row r="149" spans="2:13" x14ac:dyDescent="0.25">
      <c r="B149" s="89"/>
      <c r="C149" s="12"/>
      <c r="D149" s="12"/>
      <c r="E149" s="12"/>
      <c r="F149" s="12"/>
      <c r="I149" s="89"/>
      <c r="J149" s="41" t="s">
        <v>413</v>
      </c>
      <c r="K149" s="12"/>
      <c r="L149" s="12"/>
      <c r="M149" s="12">
        <v>760</v>
      </c>
    </row>
    <row r="150" spans="2:13" x14ac:dyDescent="0.25">
      <c r="B150" s="89"/>
      <c r="C150" s="12"/>
      <c r="D150" s="12"/>
      <c r="E150" s="12"/>
      <c r="F150" s="12"/>
      <c r="I150" s="89"/>
      <c r="J150" s="12" t="s">
        <v>344</v>
      </c>
      <c r="K150" s="12" t="s">
        <v>411</v>
      </c>
      <c r="L150" s="59">
        <f>M150/1.5</f>
        <v>933.33333333333337</v>
      </c>
      <c r="M150" s="12">
        <v>1400</v>
      </c>
    </row>
    <row r="151" spans="2:13" x14ac:dyDescent="0.25">
      <c r="B151" s="90"/>
      <c r="C151" s="12" t="s">
        <v>26</v>
      </c>
      <c r="D151" s="12"/>
      <c r="E151" s="12"/>
      <c r="F151" s="13">
        <f>SUM(F138:F150)</f>
        <v>14319</v>
      </c>
      <c r="I151" s="90"/>
      <c r="J151" s="12" t="s">
        <v>26</v>
      </c>
      <c r="K151" s="12"/>
      <c r="L151" s="12"/>
      <c r="M151" s="13">
        <f>SUM(M138:M150)</f>
        <v>58982</v>
      </c>
    </row>
    <row r="153" spans="2:13" x14ac:dyDescent="0.25">
      <c r="B153" s="88">
        <v>45587</v>
      </c>
      <c r="C153" s="12"/>
      <c r="D153" s="12"/>
      <c r="E153" s="12"/>
      <c r="F153" s="12"/>
      <c r="I153" s="88">
        <v>45602</v>
      </c>
      <c r="J153" s="12"/>
      <c r="K153" s="12"/>
      <c r="L153" s="12"/>
      <c r="M153" s="12"/>
    </row>
    <row r="154" spans="2:13" x14ac:dyDescent="0.25">
      <c r="B154" s="89"/>
      <c r="C154" s="19" t="s">
        <v>37</v>
      </c>
      <c r="D154" s="19" t="s">
        <v>47</v>
      </c>
      <c r="E154" s="19" t="s">
        <v>85</v>
      </c>
      <c r="F154" s="19" t="s">
        <v>86</v>
      </c>
      <c r="I154" s="89"/>
      <c r="J154" s="19" t="s">
        <v>37</v>
      </c>
      <c r="K154" s="19" t="s">
        <v>47</v>
      </c>
      <c r="L154" s="19" t="s">
        <v>85</v>
      </c>
      <c r="M154" s="19" t="s">
        <v>86</v>
      </c>
    </row>
    <row r="155" spans="2:13" x14ac:dyDescent="0.25">
      <c r="B155" s="89"/>
      <c r="C155" s="12" t="s">
        <v>309</v>
      </c>
      <c r="D155" s="12"/>
      <c r="E155" s="12"/>
      <c r="F155" s="12">
        <v>100</v>
      </c>
      <c r="I155" s="89"/>
      <c r="J155" s="12" t="s">
        <v>51</v>
      </c>
      <c r="K155" s="12"/>
      <c r="L155" s="12"/>
      <c r="M155" s="12"/>
    </row>
    <row r="156" spans="2:13" x14ac:dyDescent="0.25">
      <c r="B156" s="89"/>
      <c r="C156" s="12" t="s">
        <v>307</v>
      </c>
      <c r="D156" s="12"/>
      <c r="E156" s="12"/>
      <c r="F156" s="12">
        <v>650</v>
      </c>
      <c r="I156" s="89"/>
      <c r="J156" s="12" t="s">
        <v>52</v>
      </c>
      <c r="K156" s="12"/>
      <c r="L156" s="12"/>
      <c r="M156" s="12"/>
    </row>
    <row r="157" spans="2:13" x14ac:dyDescent="0.25">
      <c r="B157" s="89"/>
      <c r="C157" s="12" t="s">
        <v>301</v>
      </c>
      <c r="D157" s="12" t="s">
        <v>302</v>
      </c>
      <c r="E157" s="12">
        <v>300</v>
      </c>
      <c r="F157" s="12">
        <v>19530</v>
      </c>
      <c r="I157" s="89"/>
      <c r="J157" s="12"/>
      <c r="K157" s="12"/>
      <c r="L157" s="12"/>
      <c r="M157" s="12"/>
    </row>
    <row r="158" spans="2:13" x14ac:dyDescent="0.25">
      <c r="B158" s="89"/>
      <c r="C158" s="12" t="s">
        <v>308</v>
      </c>
      <c r="D158" s="12"/>
      <c r="E158" s="12"/>
      <c r="F158" s="12">
        <f>50+120</f>
        <v>170</v>
      </c>
      <c r="I158" s="89"/>
      <c r="J158" s="12" t="s">
        <v>77</v>
      </c>
      <c r="K158" s="12"/>
      <c r="L158" s="12"/>
      <c r="M158" s="12"/>
    </row>
    <row r="159" spans="2:13" x14ac:dyDescent="0.25">
      <c r="B159" s="89"/>
      <c r="C159" s="12" t="s">
        <v>303</v>
      </c>
      <c r="D159" s="12" t="s">
        <v>161</v>
      </c>
      <c r="E159" s="12">
        <v>530</v>
      </c>
      <c r="F159" s="12">
        <v>1060</v>
      </c>
      <c r="I159" s="89"/>
      <c r="J159" s="12"/>
      <c r="K159" s="12"/>
      <c r="L159" s="12"/>
      <c r="M159" s="12"/>
    </row>
    <row r="160" spans="2:13" x14ac:dyDescent="0.25">
      <c r="B160" s="89"/>
      <c r="C160" s="12" t="s">
        <v>304</v>
      </c>
      <c r="D160" s="12" t="s">
        <v>161</v>
      </c>
      <c r="E160" s="12">
        <v>130</v>
      </c>
      <c r="F160" s="12">
        <v>260</v>
      </c>
      <c r="I160" s="89"/>
      <c r="J160" s="12"/>
      <c r="K160" s="12"/>
      <c r="L160" s="12"/>
      <c r="M160" s="12"/>
    </row>
    <row r="161" spans="2:13" x14ac:dyDescent="0.25">
      <c r="B161" s="89"/>
      <c r="C161" s="12" t="s">
        <v>305</v>
      </c>
      <c r="D161" s="12" t="s">
        <v>255</v>
      </c>
      <c r="E161" s="12">
        <f>F161/5</f>
        <v>130</v>
      </c>
      <c r="F161" s="12">
        <v>650</v>
      </c>
      <c r="I161" s="89"/>
      <c r="J161" s="12"/>
      <c r="K161" s="12"/>
      <c r="L161" s="12"/>
      <c r="M161" s="12"/>
    </row>
    <row r="162" spans="2:13" x14ac:dyDescent="0.25">
      <c r="B162" s="89"/>
      <c r="C162" s="12" t="s">
        <v>306</v>
      </c>
      <c r="D162" s="12" t="s">
        <v>273</v>
      </c>
      <c r="E162" s="12">
        <v>60</v>
      </c>
      <c r="F162" s="12">
        <v>360</v>
      </c>
      <c r="I162" s="89"/>
      <c r="J162" s="12"/>
      <c r="K162" s="12"/>
      <c r="L162" s="12"/>
      <c r="M162" s="12"/>
    </row>
    <row r="163" spans="2:13" x14ac:dyDescent="0.25">
      <c r="B163" s="89"/>
      <c r="C163" s="12" t="s">
        <v>77</v>
      </c>
      <c r="D163" s="12"/>
      <c r="E163" s="12"/>
      <c r="F163" s="12">
        <f>120+350+25</f>
        <v>495</v>
      </c>
      <c r="I163" s="89"/>
      <c r="J163" s="12"/>
      <c r="K163" s="12"/>
      <c r="L163" s="12"/>
      <c r="M163" s="12"/>
    </row>
    <row r="164" spans="2:13" x14ac:dyDescent="0.25">
      <c r="B164" s="90"/>
      <c r="C164" s="12" t="s">
        <v>26</v>
      </c>
      <c r="D164" s="12"/>
      <c r="E164" s="12"/>
      <c r="F164" s="13">
        <f>SUM(F155:F163)</f>
        <v>23275</v>
      </c>
      <c r="I164" s="90"/>
      <c r="J164" s="12" t="s">
        <v>26</v>
      </c>
      <c r="K164" s="12"/>
      <c r="L164" s="12"/>
      <c r="M164" s="13">
        <f>SUM(M155:M163)</f>
        <v>0</v>
      </c>
    </row>
    <row r="166" spans="2:13" x14ac:dyDescent="0.25">
      <c r="B166" s="88">
        <v>45588</v>
      </c>
      <c r="C166" s="12"/>
      <c r="D166" s="12"/>
      <c r="E166" s="12"/>
      <c r="F166" s="12"/>
      <c r="I166" s="88">
        <v>45603</v>
      </c>
      <c r="J166" s="12"/>
      <c r="K166" s="12"/>
      <c r="L166" s="12"/>
      <c r="M166" s="12"/>
    </row>
    <row r="167" spans="2:13" x14ac:dyDescent="0.25">
      <c r="B167" s="89"/>
      <c r="C167" s="19" t="s">
        <v>37</v>
      </c>
      <c r="D167" s="19" t="s">
        <v>47</v>
      </c>
      <c r="E167" s="19" t="s">
        <v>85</v>
      </c>
      <c r="F167" s="19" t="s">
        <v>86</v>
      </c>
      <c r="I167" s="89"/>
      <c r="J167" s="19" t="s">
        <v>37</v>
      </c>
      <c r="K167" s="19" t="s">
        <v>47</v>
      </c>
      <c r="L167" s="19" t="s">
        <v>85</v>
      </c>
      <c r="M167" s="19" t="s">
        <v>86</v>
      </c>
    </row>
    <row r="168" spans="2:13" x14ac:dyDescent="0.25">
      <c r="B168" s="89"/>
      <c r="C168" s="41" t="s">
        <v>51</v>
      </c>
      <c r="D168" s="12" t="s">
        <v>317</v>
      </c>
      <c r="E168" s="12">
        <v>190</v>
      </c>
      <c r="F168" s="12">
        <v>3173</v>
      </c>
      <c r="I168" s="89"/>
      <c r="J168" s="12" t="s">
        <v>51</v>
      </c>
      <c r="K168" s="12"/>
      <c r="L168" s="12"/>
      <c r="M168" s="12"/>
    </row>
    <row r="169" spans="2:13" x14ac:dyDescent="0.25">
      <c r="B169" s="89"/>
      <c r="C169" s="41" t="s">
        <v>52</v>
      </c>
      <c r="D169" s="12" t="s">
        <v>264</v>
      </c>
      <c r="E169" s="12">
        <v>12</v>
      </c>
      <c r="F169" s="12">
        <v>3600</v>
      </c>
      <c r="I169" s="89"/>
      <c r="J169" s="12" t="s">
        <v>52</v>
      </c>
      <c r="K169" s="12"/>
      <c r="L169" s="12"/>
      <c r="M169" s="12"/>
    </row>
    <row r="170" spans="2:13" x14ac:dyDescent="0.25">
      <c r="B170" s="89"/>
      <c r="C170" s="12"/>
      <c r="D170" s="12"/>
      <c r="E170" s="12"/>
      <c r="F170" s="12"/>
      <c r="I170" s="89"/>
      <c r="J170" s="12"/>
      <c r="K170" s="12"/>
      <c r="L170" s="12"/>
      <c r="M170" s="12"/>
    </row>
    <row r="171" spans="2:13" x14ac:dyDescent="0.25">
      <c r="B171" s="89"/>
      <c r="C171" s="12" t="s">
        <v>77</v>
      </c>
      <c r="D171" s="12"/>
      <c r="E171" s="12"/>
      <c r="F171" s="12">
        <v>30</v>
      </c>
      <c r="I171" s="89"/>
      <c r="J171" s="12" t="s">
        <v>77</v>
      </c>
      <c r="K171" s="12"/>
      <c r="L171" s="12"/>
      <c r="M171" s="12"/>
    </row>
    <row r="172" spans="2:13" x14ac:dyDescent="0.25">
      <c r="B172" s="89"/>
      <c r="C172" s="12"/>
      <c r="D172" s="12"/>
      <c r="E172" s="12"/>
      <c r="F172" s="12"/>
      <c r="I172" s="89"/>
      <c r="J172" s="12"/>
      <c r="K172" s="12"/>
      <c r="L172" s="12"/>
      <c r="M172" s="12"/>
    </row>
    <row r="173" spans="2:13" x14ac:dyDescent="0.25">
      <c r="B173" s="89"/>
      <c r="C173" s="12"/>
      <c r="D173" s="12"/>
      <c r="E173" s="12"/>
      <c r="F173" s="12"/>
      <c r="I173" s="89"/>
      <c r="J173" s="12"/>
      <c r="K173" s="12"/>
      <c r="L173" s="12"/>
      <c r="M173" s="12"/>
    </row>
    <row r="174" spans="2:13" x14ac:dyDescent="0.25">
      <c r="B174" s="89"/>
      <c r="C174" s="12"/>
      <c r="D174" s="12"/>
      <c r="E174" s="12"/>
      <c r="F174" s="12"/>
      <c r="I174" s="89"/>
      <c r="J174" s="12"/>
      <c r="K174" s="12"/>
      <c r="L174" s="12"/>
      <c r="M174" s="12"/>
    </row>
    <row r="175" spans="2:13" x14ac:dyDescent="0.25">
      <c r="B175" s="89"/>
      <c r="C175" s="12"/>
      <c r="D175" s="12"/>
      <c r="E175" s="12"/>
      <c r="F175" s="12"/>
      <c r="I175" s="89"/>
      <c r="J175" s="12"/>
      <c r="K175" s="12"/>
      <c r="L175" s="12"/>
      <c r="M175" s="12"/>
    </row>
    <row r="176" spans="2:13" x14ac:dyDescent="0.25">
      <c r="B176" s="89"/>
      <c r="C176" s="12"/>
      <c r="D176" s="12"/>
      <c r="E176" s="12"/>
      <c r="F176" s="12"/>
      <c r="I176" s="89"/>
      <c r="J176" s="12"/>
      <c r="K176" s="12"/>
      <c r="L176" s="12"/>
      <c r="M176" s="12"/>
    </row>
    <row r="177" spans="2:13" x14ac:dyDescent="0.25">
      <c r="B177" s="90"/>
      <c r="C177" s="12" t="s">
        <v>26</v>
      </c>
      <c r="D177" s="12"/>
      <c r="E177" s="12"/>
      <c r="F177" s="13">
        <f>SUM(F168:F176)</f>
        <v>6803</v>
      </c>
      <c r="I177" s="90"/>
      <c r="J177" s="12" t="s">
        <v>26</v>
      </c>
      <c r="K177" s="12"/>
      <c r="L177" s="12"/>
      <c r="M177" s="13">
        <f>SUM(M168:M176)</f>
        <v>0</v>
      </c>
    </row>
    <row r="179" spans="2:13" x14ac:dyDescent="0.25">
      <c r="B179" s="88">
        <v>45589</v>
      </c>
      <c r="C179" s="12"/>
      <c r="D179" s="12"/>
      <c r="E179" s="12"/>
      <c r="F179" s="12"/>
      <c r="I179" s="88">
        <v>45604</v>
      </c>
      <c r="J179" s="12"/>
      <c r="K179" s="12"/>
      <c r="L179" s="12"/>
      <c r="M179" s="12"/>
    </row>
    <row r="180" spans="2:13" x14ac:dyDescent="0.25">
      <c r="B180" s="89"/>
      <c r="C180" s="19" t="s">
        <v>37</v>
      </c>
      <c r="D180" s="19" t="s">
        <v>47</v>
      </c>
      <c r="E180" s="19" t="s">
        <v>85</v>
      </c>
      <c r="F180" s="19" t="s">
        <v>86</v>
      </c>
      <c r="I180" s="89"/>
      <c r="J180" s="19" t="s">
        <v>37</v>
      </c>
      <c r="K180" s="19" t="s">
        <v>47</v>
      </c>
      <c r="L180" s="19" t="s">
        <v>85</v>
      </c>
      <c r="M180" s="19" t="s">
        <v>86</v>
      </c>
    </row>
    <row r="181" spans="2:13" x14ac:dyDescent="0.25">
      <c r="B181" s="89"/>
      <c r="C181" s="41" t="s">
        <v>51</v>
      </c>
      <c r="D181" s="12" t="s">
        <v>324</v>
      </c>
      <c r="E181" s="12">
        <v>190</v>
      </c>
      <c r="F181" s="12">
        <v>14858</v>
      </c>
      <c r="I181" s="89"/>
      <c r="J181" s="12" t="s">
        <v>51</v>
      </c>
      <c r="K181" s="12"/>
      <c r="L181" s="12"/>
      <c r="M181" s="12"/>
    </row>
    <row r="182" spans="2:13" x14ac:dyDescent="0.25">
      <c r="B182" s="89"/>
      <c r="C182" s="41" t="s">
        <v>52</v>
      </c>
      <c r="D182" s="12" t="s">
        <v>264</v>
      </c>
      <c r="E182" s="12">
        <v>12</v>
      </c>
      <c r="F182" s="12">
        <v>3600</v>
      </c>
      <c r="I182" s="89"/>
      <c r="J182" s="12" t="s">
        <v>52</v>
      </c>
      <c r="K182" s="12"/>
      <c r="L182" s="12"/>
      <c r="M182" s="12"/>
    </row>
    <row r="183" spans="2:13" x14ac:dyDescent="0.25">
      <c r="B183" s="89"/>
      <c r="C183" s="41" t="s">
        <v>120</v>
      </c>
      <c r="D183" s="12" t="s">
        <v>322</v>
      </c>
      <c r="E183" s="12">
        <v>85</v>
      </c>
      <c r="F183" s="12">
        <v>170</v>
      </c>
      <c r="I183" s="89"/>
      <c r="J183" s="12"/>
      <c r="K183" s="12"/>
      <c r="L183" s="12"/>
      <c r="M183" s="12"/>
    </row>
    <row r="184" spans="2:13" x14ac:dyDescent="0.25">
      <c r="B184" s="89"/>
      <c r="C184" s="12" t="s">
        <v>77</v>
      </c>
      <c r="D184" s="12"/>
      <c r="E184" s="12"/>
      <c r="F184" s="12">
        <v>40</v>
      </c>
      <c r="I184" s="89"/>
      <c r="J184" s="12" t="s">
        <v>77</v>
      </c>
      <c r="K184" s="12"/>
      <c r="L184" s="12"/>
      <c r="M184" s="12"/>
    </row>
    <row r="185" spans="2:13" x14ac:dyDescent="0.25">
      <c r="B185" s="89"/>
      <c r="C185" s="12"/>
      <c r="D185" s="12"/>
      <c r="E185" s="12"/>
      <c r="F185" s="12"/>
      <c r="I185" s="89"/>
      <c r="J185" s="12"/>
      <c r="K185" s="12"/>
      <c r="L185" s="12"/>
      <c r="M185" s="12"/>
    </row>
    <row r="186" spans="2:13" x14ac:dyDescent="0.25">
      <c r="B186" s="89"/>
      <c r="C186" s="12"/>
      <c r="D186" s="12"/>
      <c r="E186" s="12"/>
      <c r="F186" s="12"/>
      <c r="I186" s="89"/>
      <c r="J186" s="12"/>
      <c r="K186" s="12"/>
      <c r="L186" s="12"/>
      <c r="M186" s="12"/>
    </row>
    <row r="187" spans="2:13" x14ac:dyDescent="0.25">
      <c r="B187" s="89"/>
      <c r="C187" s="12"/>
      <c r="D187" s="12"/>
      <c r="E187" s="12"/>
      <c r="F187" s="12"/>
      <c r="I187" s="89"/>
      <c r="J187" s="12"/>
      <c r="K187" s="12"/>
      <c r="L187" s="12"/>
      <c r="M187" s="12"/>
    </row>
    <row r="188" spans="2:13" x14ac:dyDescent="0.25">
      <c r="B188" s="89"/>
      <c r="C188" s="12"/>
      <c r="D188" s="12"/>
      <c r="E188" s="12"/>
      <c r="F188" s="12"/>
      <c r="I188" s="89"/>
      <c r="J188" s="12"/>
      <c r="K188" s="12"/>
      <c r="L188" s="12"/>
      <c r="M188" s="12"/>
    </row>
    <row r="189" spans="2:13" x14ac:dyDescent="0.25">
      <c r="B189" s="89"/>
      <c r="C189" s="12"/>
      <c r="D189" s="12"/>
      <c r="E189" s="12"/>
      <c r="F189" s="12"/>
      <c r="I189" s="89"/>
      <c r="J189" s="12"/>
      <c r="K189" s="12"/>
      <c r="L189" s="12"/>
      <c r="M189" s="12"/>
    </row>
    <row r="190" spans="2:13" x14ac:dyDescent="0.25">
      <c r="B190" s="90"/>
      <c r="C190" s="12" t="s">
        <v>26</v>
      </c>
      <c r="D190" s="12"/>
      <c r="E190" s="12"/>
      <c r="F190" s="13">
        <f>SUM(F181:F189)</f>
        <v>18668</v>
      </c>
      <c r="I190" s="90"/>
      <c r="J190" s="12" t="s">
        <v>26</v>
      </c>
      <c r="K190" s="12"/>
      <c r="L190" s="12"/>
      <c r="M190" s="13">
        <f>SUM(M181:M189)</f>
        <v>0</v>
      </c>
    </row>
    <row r="192" spans="2:13" x14ac:dyDescent="0.25">
      <c r="B192" s="88">
        <v>45590</v>
      </c>
      <c r="C192" s="12"/>
      <c r="D192" s="12"/>
      <c r="E192" s="12"/>
      <c r="F192" s="12"/>
      <c r="I192" s="88">
        <v>45605</v>
      </c>
      <c r="J192" s="12"/>
      <c r="K192" s="12"/>
      <c r="L192" s="12"/>
      <c r="M192" s="12"/>
    </row>
    <row r="193" spans="2:13" x14ac:dyDescent="0.25">
      <c r="B193" s="89"/>
      <c r="C193" s="19" t="s">
        <v>37</v>
      </c>
      <c r="D193" s="19" t="s">
        <v>47</v>
      </c>
      <c r="E193" s="19" t="s">
        <v>85</v>
      </c>
      <c r="F193" s="19" t="s">
        <v>86</v>
      </c>
      <c r="I193" s="89"/>
      <c r="J193" s="19" t="s">
        <v>37</v>
      </c>
      <c r="K193" s="19" t="s">
        <v>47</v>
      </c>
      <c r="L193" s="19" t="s">
        <v>85</v>
      </c>
      <c r="M193" s="19" t="s">
        <v>86</v>
      </c>
    </row>
    <row r="194" spans="2:13" x14ac:dyDescent="0.25">
      <c r="B194" s="89"/>
      <c r="C194" s="12" t="s">
        <v>51</v>
      </c>
      <c r="D194" s="12"/>
      <c r="E194" s="12"/>
      <c r="F194" s="12"/>
      <c r="I194" s="89"/>
      <c r="J194" s="12" t="s">
        <v>51</v>
      </c>
      <c r="K194" s="12"/>
      <c r="L194" s="12"/>
      <c r="M194" s="12"/>
    </row>
    <row r="195" spans="2:13" x14ac:dyDescent="0.25">
      <c r="B195" s="89"/>
      <c r="C195" s="12" t="s">
        <v>52</v>
      </c>
      <c r="D195" s="12" t="s">
        <v>113</v>
      </c>
      <c r="E195" s="12">
        <v>12.4</v>
      </c>
      <c r="F195" s="12">
        <v>2480</v>
      </c>
      <c r="I195" s="89"/>
      <c r="J195" s="12" t="s">
        <v>52</v>
      </c>
      <c r="K195" s="12"/>
      <c r="L195" s="12"/>
      <c r="M195" s="12"/>
    </row>
    <row r="196" spans="2:13" x14ac:dyDescent="0.25">
      <c r="B196" s="89"/>
      <c r="C196" s="12" t="s">
        <v>326</v>
      </c>
      <c r="D196" s="12"/>
      <c r="E196" s="12"/>
      <c r="F196" s="12">
        <v>4360</v>
      </c>
      <c r="I196" s="89"/>
      <c r="J196" s="12"/>
      <c r="K196" s="12"/>
      <c r="L196" s="12"/>
      <c r="M196" s="12"/>
    </row>
    <row r="197" spans="2:13" x14ac:dyDescent="0.25">
      <c r="B197" s="89"/>
      <c r="C197" s="12" t="s">
        <v>77</v>
      </c>
      <c r="D197" s="12"/>
      <c r="E197" s="12"/>
      <c r="F197" s="12">
        <f>70+60+30</f>
        <v>160</v>
      </c>
      <c r="I197" s="89"/>
      <c r="J197" s="12" t="s">
        <v>77</v>
      </c>
      <c r="K197" s="12"/>
      <c r="L197" s="12"/>
      <c r="M197" s="12"/>
    </row>
    <row r="198" spans="2:13" x14ac:dyDescent="0.25">
      <c r="B198" s="89"/>
      <c r="C198" s="12" t="s">
        <v>327</v>
      </c>
      <c r="D198" s="12" t="s">
        <v>255</v>
      </c>
      <c r="E198" s="12">
        <v>220</v>
      </c>
      <c r="F198" s="12">
        <v>1100</v>
      </c>
      <c r="I198" s="89"/>
      <c r="J198" s="12"/>
      <c r="K198" s="12"/>
      <c r="L198" s="12"/>
      <c r="M198" s="12"/>
    </row>
    <row r="199" spans="2:13" x14ac:dyDescent="0.25">
      <c r="B199" s="89"/>
      <c r="C199" s="12"/>
      <c r="D199" s="12"/>
      <c r="E199" s="12"/>
      <c r="F199" s="12"/>
      <c r="I199" s="89"/>
      <c r="J199" s="12"/>
      <c r="K199" s="12"/>
      <c r="L199" s="12"/>
      <c r="M199" s="12"/>
    </row>
    <row r="200" spans="2:13" x14ac:dyDescent="0.25">
      <c r="B200" s="89"/>
      <c r="C200" s="12"/>
      <c r="D200" s="12"/>
      <c r="E200" s="12"/>
      <c r="F200" s="12"/>
      <c r="I200" s="89"/>
      <c r="J200" s="12"/>
      <c r="K200" s="12"/>
      <c r="L200" s="12"/>
      <c r="M200" s="12"/>
    </row>
    <row r="201" spans="2:13" x14ac:dyDescent="0.25">
      <c r="B201" s="89"/>
      <c r="C201" s="12"/>
      <c r="D201" s="12"/>
      <c r="E201" s="12"/>
      <c r="F201" s="12"/>
      <c r="I201" s="89"/>
      <c r="J201" s="12"/>
      <c r="K201" s="12"/>
      <c r="L201" s="12"/>
      <c r="M201" s="12"/>
    </row>
    <row r="202" spans="2:13" x14ac:dyDescent="0.25">
      <c r="B202" s="89"/>
      <c r="C202" s="12"/>
      <c r="D202" s="12"/>
      <c r="E202" s="12"/>
      <c r="F202" s="12"/>
      <c r="I202" s="89"/>
      <c r="J202" s="12"/>
      <c r="K202" s="12"/>
      <c r="L202" s="12"/>
      <c r="M202" s="12"/>
    </row>
    <row r="203" spans="2:13" x14ac:dyDescent="0.25">
      <c r="B203" s="90"/>
      <c r="C203" s="12" t="s">
        <v>26</v>
      </c>
      <c r="D203" s="12"/>
      <c r="E203" s="12"/>
      <c r="F203" s="13">
        <f>SUM(F194:F202)</f>
        <v>8100</v>
      </c>
      <c r="I203" s="90"/>
      <c r="J203" s="12" t="s">
        <v>26</v>
      </c>
      <c r="K203" s="12"/>
      <c r="L203" s="12"/>
      <c r="M203" s="13">
        <f>SUM(M194:M202)</f>
        <v>0</v>
      </c>
    </row>
  </sheetData>
  <mergeCells count="36">
    <mergeCell ref="K112:L114"/>
    <mergeCell ref="K60:L61"/>
    <mergeCell ref="B192:B203"/>
    <mergeCell ref="I5:I16"/>
    <mergeCell ref="I18:I29"/>
    <mergeCell ref="I31:I42"/>
    <mergeCell ref="I44:I56"/>
    <mergeCell ref="I58:I69"/>
    <mergeCell ref="I71:I82"/>
    <mergeCell ref="I84:I95"/>
    <mergeCell ref="I97:I108"/>
    <mergeCell ref="I110:I121"/>
    <mergeCell ref="I123:I134"/>
    <mergeCell ref="I136:I151"/>
    <mergeCell ref="I153:I164"/>
    <mergeCell ref="I166:I177"/>
    <mergeCell ref="I179:I190"/>
    <mergeCell ref="I192:I203"/>
    <mergeCell ref="B123:B134"/>
    <mergeCell ref="B136:B151"/>
    <mergeCell ref="B153:B164"/>
    <mergeCell ref="B166:B177"/>
    <mergeCell ref="B179:B190"/>
    <mergeCell ref="V1:W1"/>
    <mergeCell ref="J2:K2"/>
    <mergeCell ref="B18:B29"/>
    <mergeCell ref="B31:B42"/>
    <mergeCell ref="B44:B56"/>
    <mergeCell ref="B5:B16"/>
    <mergeCell ref="Q8:R9"/>
    <mergeCell ref="K21:L23"/>
    <mergeCell ref="B58:B69"/>
    <mergeCell ref="B71:B82"/>
    <mergeCell ref="B84:B95"/>
    <mergeCell ref="B97:B108"/>
    <mergeCell ref="B110:B1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2CDA-D462-4E5C-92D4-75DF9276A024}">
  <dimension ref="C5:AC40"/>
  <sheetViews>
    <sheetView topLeftCell="A11" zoomScaleNormal="100" workbookViewId="0">
      <selection activeCell="N32" sqref="N32"/>
    </sheetView>
  </sheetViews>
  <sheetFormatPr defaultRowHeight="15" x14ac:dyDescent="0.25"/>
  <cols>
    <col min="1" max="3" width="9.140625" style="1"/>
    <col min="4" max="4" width="15.140625" style="1" customWidth="1"/>
    <col min="5" max="6" width="11.28515625" style="1" customWidth="1"/>
    <col min="7" max="7" width="15.140625" style="1" customWidth="1"/>
    <col min="8" max="8" width="12.85546875" style="1" customWidth="1"/>
    <col min="9" max="9" width="14.5703125" style="1" customWidth="1"/>
    <col min="10" max="10" width="15.5703125" style="1" customWidth="1"/>
    <col min="11" max="11" width="9.140625" style="1"/>
    <col min="12" max="13" width="13" style="1" customWidth="1"/>
    <col min="14" max="18" width="9.140625" style="1"/>
    <col min="19" max="19" width="14.85546875" style="1" customWidth="1"/>
    <col min="20" max="20" width="18" style="1" customWidth="1"/>
    <col min="21" max="21" width="16.7109375" style="1" customWidth="1"/>
    <col min="22" max="22" width="20.7109375" style="1" customWidth="1"/>
    <col min="23" max="23" width="18.28515625" style="1" customWidth="1"/>
    <col min="24" max="24" width="14.7109375" style="1" customWidth="1"/>
    <col min="25" max="25" width="15.85546875" style="1" customWidth="1"/>
    <col min="26" max="16384" width="9.140625" style="1"/>
  </cols>
  <sheetData>
    <row r="5" spans="3:29" ht="25.5" customHeight="1" x14ac:dyDescent="0.25">
      <c r="D5" s="103" t="s">
        <v>124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25"/>
      <c r="Q5" s="25"/>
      <c r="S5" s="103" t="s">
        <v>131</v>
      </c>
      <c r="T5" s="103"/>
      <c r="U5" s="103"/>
      <c r="V5" s="103"/>
      <c r="W5" s="103"/>
      <c r="X5" s="103"/>
      <c r="Y5" s="103"/>
      <c r="Z5" s="103"/>
      <c r="AA5" s="103"/>
      <c r="AB5" s="103"/>
      <c r="AC5" s="103"/>
    </row>
    <row r="6" spans="3:29" ht="25.5" customHeight="1" x14ac:dyDescent="0.25"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25"/>
      <c r="Q6" s="25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</row>
    <row r="7" spans="3:29" x14ac:dyDescent="0.25">
      <c r="C7" s="1" t="s">
        <v>151</v>
      </c>
      <c r="D7" s="7" t="s">
        <v>125</v>
      </c>
      <c r="E7" s="7" t="s">
        <v>12</v>
      </c>
      <c r="F7" s="7" t="s">
        <v>129</v>
      </c>
      <c r="G7" s="7" t="s">
        <v>126</v>
      </c>
      <c r="H7" s="7" t="s">
        <v>127</v>
      </c>
      <c r="I7" s="7" t="s">
        <v>128</v>
      </c>
      <c r="J7" s="7" t="s">
        <v>31</v>
      </c>
      <c r="K7" s="7" t="s">
        <v>11</v>
      </c>
      <c r="L7" s="7" t="s">
        <v>10</v>
      </c>
      <c r="M7" s="7" t="s">
        <v>338</v>
      </c>
      <c r="N7" s="7" t="s">
        <v>134</v>
      </c>
      <c r="O7" s="7" t="s">
        <v>4</v>
      </c>
      <c r="P7" s="24"/>
      <c r="Q7" s="24"/>
      <c r="S7" s="7" t="s">
        <v>125</v>
      </c>
      <c r="T7" s="7" t="s">
        <v>132</v>
      </c>
      <c r="U7" s="7" t="s">
        <v>133</v>
      </c>
      <c r="V7" s="7" t="s">
        <v>126</v>
      </c>
      <c r="W7" s="7" t="s">
        <v>127</v>
      </c>
      <c r="X7" s="7" t="s">
        <v>128</v>
      </c>
      <c r="Y7" s="7" t="s">
        <v>31</v>
      </c>
      <c r="Z7" s="7" t="s">
        <v>11</v>
      </c>
      <c r="AA7" s="7" t="s">
        <v>10</v>
      </c>
      <c r="AB7" s="7" t="s">
        <v>134</v>
      </c>
      <c r="AC7" s="7" t="s">
        <v>4</v>
      </c>
    </row>
    <row r="8" spans="3:29" x14ac:dyDescent="0.25">
      <c r="C8" s="1">
        <v>1</v>
      </c>
      <c r="D8" s="21">
        <v>45565</v>
      </c>
      <c r="E8" s="3">
        <v>72</v>
      </c>
      <c r="F8" s="3">
        <v>10</v>
      </c>
      <c r="G8" s="3">
        <v>8</v>
      </c>
      <c r="H8" s="3"/>
      <c r="I8" s="3"/>
      <c r="J8" s="3"/>
      <c r="K8" s="3">
        <v>9</v>
      </c>
      <c r="L8" s="3">
        <v>26</v>
      </c>
      <c r="M8" s="3"/>
      <c r="N8" s="3"/>
      <c r="O8" s="3"/>
      <c r="P8" s="1">
        <f>E8*58+F8*158+G8*102+H8*135+I8*70+J8*110+K8*92+L8*47</f>
        <v>8622</v>
      </c>
      <c r="S8" s="21">
        <v>45565</v>
      </c>
      <c r="T8" s="3">
        <f>229+350</f>
        <v>579</v>
      </c>
      <c r="U8" s="3">
        <v>100</v>
      </c>
      <c r="V8" s="3">
        <v>50</v>
      </c>
      <c r="W8" s="3">
        <v>25</v>
      </c>
      <c r="X8" s="3">
        <v>45</v>
      </c>
      <c r="Y8" s="3">
        <v>50</v>
      </c>
      <c r="Z8" s="3">
        <f>9+75</f>
        <v>84</v>
      </c>
      <c r="AA8" s="3">
        <v>165</v>
      </c>
      <c r="AB8" s="3">
        <v>5</v>
      </c>
      <c r="AC8" s="3">
        <v>4</v>
      </c>
    </row>
    <row r="9" spans="3:29" x14ac:dyDescent="0.25">
      <c r="C9" s="1">
        <v>2</v>
      </c>
      <c r="D9" s="21">
        <v>45566</v>
      </c>
      <c r="E9" s="3">
        <v>45</v>
      </c>
      <c r="F9" s="3">
        <v>15</v>
      </c>
      <c r="G9" s="3">
        <v>4</v>
      </c>
      <c r="H9" s="3">
        <v>6</v>
      </c>
      <c r="I9" s="3">
        <v>40</v>
      </c>
      <c r="J9" s="3"/>
      <c r="K9" s="3">
        <v>18</v>
      </c>
      <c r="L9" s="3">
        <v>19</v>
      </c>
      <c r="M9" s="3"/>
      <c r="N9" s="3"/>
      <c r="O9" s="3"/>
      <c r="P9" s="1">
        <f t="shared" ref="P9:P38" si="0">E9*58+F9*158+G9*102+H9*135+I9*70+J9*110+K9*92+L9*47</f>
        <v>11547</v>
      </c>
      <c r="S9" s="21">
        <v>45571</v>
      </c>
      <c r="T9" s="3"/>
      <c r="U9" s="3"/>
      <c r="V9" s="3">
        <v>2</v>
      </c>
      <c r="W9" s="3"/>
      <c r="X9" s="3"/>
      <c r="Y9" s="3"/>
      <c r="Z9" s="3"/>
      <c r="AA9" s="3">
        <v>14.260869565217391</v>
      </c>
      <c r="AB9" s="3"/>
      <c r="AC9" s="3"/>
    </row>
    <row r="10" spans="3:29" x14ac:dyDescent="0.25">
      <c r="C10" s="1">
        <v>3</v>
      </c>
      <c r="D10" s="21">
        <v>45567</v>
      </c>
      <c r="E10" s="3">
        <v>90</v>
      </c>
      <c r="F10" s="3">
        <v>8</v>
      </c>
      <c r="G10" s="3">
        <v>8</v>
      </c>
      <c r="H10" s="3"/>
      <c r="I10" s="3"/>
      <c r="J10" s="3"/>
      <c r="K10" s="3">
        <v>9</v>
      </c>
      <c r="L10" s="3">
        <v>32</v>
      </c>
      <c r="M10" s="3"/>
      <c r="N10" s="3"/>
      <c r="O10" s="3"/>
      <c r="P10" s="1">
        <f t="shared" si="0"/>
        <v>9632</v>
      </c>
      <c r="S10" s="21">
        <v>45582</v>
      </c>
      <c r="T10" s="3">
        <v>1800</v>
      </c>
      <c r="U10" s="3">
        <v>260</v>
      </c>
      <c r="V10" s="3">
        <f>25*7</f>
        <v>175</v>
      </c>
      <c r="W10" s="3">
        <v>25</v>
      </c>
      <c r="X10" s="3">
        <v>200</v>
      </c>
      <c r="Y10" s="3">
        <v>250</v>
      </c>
      <c r="Z10" s="3"/>
      <c r="AA10" s="3"/>
      <c r="AB10" s="3"/>
      <c r="AC10" s="3"/>
    </row>
    <row r="11" spans="3:29" x14ac:dyDescent="0.25">
      <c r="C11" s="1">
        <v>4</v>
      </c>
      <c r="D11" s="21">
        <v>45568</v>
      </c>
      <c r="E11" s="3">
        <v>85</v>
      </c>
      <c r="F11" s="3">
        <v>10</v>
      </c>
      <c r="G11" s="3">
        <v>8</v>
      </c>
      <c r="H11" s="3"/>
      <c r="I11" s="3"/>
      <c r="J11" s="3"/>
      <c r="K11" s="3">
        <v>10</v>
      </c>
      <c r="L11" s="3">
        <v>25</v>
      </c>
      <c r="M11" s="3"/>
      <c r="N11" s="3"/>
      <c r="O11" s="3"/>
      <c r="P11" s="1">
        <f t="shared" si="0"/>
        <v>9421</v>
      </c>
      <c r="S11" s="21">
        <v>45583</v>
      </c>
      <c r="T11" s="3"/>
      <c r="U11" s="3"/>
      <c r="V11" s="3"/>
      <c r="W11" s="3"/>
      <c r="X11" s="3"/>
      <c r="Y11" s="3"/>
      <c r="Z11" s="3">
        <v>70</v>
      </c>
      <c r="AA11" s="3">
        <v>260</v>
      </c>
      <c r="AB11" s="3">
        <v>15</v>
      </c>
      <c r="AC11" s="3">
        <v>21</v>
      </c>
    </row>
    <row r="12" spans="3:29" x14ac:dyDescent="0.25">
      <c r="C12" s="1">
        <v>5</v>
      </c>
      <c r="D12" s="21">
        <v>45569</v>
      </c>
      <c r="E12" s="3">
        <v>40</v>
      </c>
      <c r="F12" s="3">
        <v>10</v>
      </c>
      <c r="G12" s="3">
        <v>4</v>
      </c>
      <c r="H12" s="3">
        <v>5</v>
      </c>
      <c r="I12" s="3"/>
      <c r="J12" s="3">
        <v>45</v>
      </c>
      <c r="K12" s="3">
        <v>18</v>
      </c>
      <c r="L12" s="3">
        <v>16</v>
      </c>
      <c r="M12" s="3"/>
      <c r="N12" s="3"/>
      <c r="O12" s="3"/>
      <c r="P12" s="1">
        <f t="shared" si="0"/>
        <v>12341</v>
      </c>
      <c r="S12" s="21">
        <v>45588</v>
      </c>
      <c r="T12" s="3"/>
      <c r="U12" s="3"/>
      <c r="V12" s="3"/>
      <c r="W12" s="3"/>
      <c r="X12" s="3"/>
      <c r="Y12" s="3"/>
      <c r="Z12" s="3">
        <v>75</v>
      </c>
      <c r="AA12" s="3">
        <v>140</v>
      </c>
      <c r="AB12" s="3"/>
      <c r="AC12" s="3"/>
    </row>
    <row r="13" spans="3:29" x14ac:dyDescent="0.25">
      <c r="C13" s="1">
        <v>6</v>
      </c>
      <c r="D13" s="21">
        <v>45570</v>
      </c>
      <c r="E13" s="3">
        <v>59</v>
      </c>
      <c r="F13" s="3">
        <v>7</v>
      </c>
      <c r="G13" s="3">
        <v>8</v>
      </c>
      <c r="H13" s="3"/>
      <c r="I13" s="3"/>
      <c r="J13" s="3"/>
      <c r="K13" s="3">
        <v>9</v>
      </c>
      <c r="L13" s="3">
        <v>27</v>
      </c>
      <c r="M13" s="3"/>
      <c r="N13" s="3"/>
      <c r="O13" s="3"/>
      <c r="P13" s="1">
        <f t="shared" si="0"/>
        <v>7441</v>
      </c>
      <c r="S13" s="21">
        <v>45595</v>
      </c>
      <c r="T13" s="3"/>
      <c r="U13" s="3"/>
      <c r="V13" s="3"/>
      <c r="W13" s="3"/>
      <c r="X13" s="3"/>
      <c r="Y13" s="3"/>
      <c r="Z13" s="3">
        <v>75</v>
      </c>
      <c r="AA13" s="3">
        <v>60</v>
      </c>
      <c r="AB13" s="3"/>
      <c r="AC13" s="3"/>
    </row>
    <row r="14" spans="3:29" x14ac:dyDescent="0.25">
      <c r="C14" s="1">
        <v>7</v>
      </c>
      <c r="D14" s="21">
        <v>45571</v>
      </c>
      <c r="E14" s="3">
        <v>45</v>
      </c>
      <c r="F14" s="3">
        <v>5</v>
      </c>
      <c r="G14" s="3">
        <v>8</v>
      </c>
      <c r="H14" s="3"/>
      <c r="I14" s="3"/>
      <c r="J14" s="3"/>
      <c r="K14" s="3">
        <v>7</v>
      </c>
      <c r="L14" s="3">
        <v>19</v>
      </c>
      <c r="M14" s="3"/>
      <c r="N14" s="3"/>
      <c r="O14" s="3"/>
      <c r="P14" s="1">
        <f t="shared" si="0"/>
        <v>5753</v>
      </c>
      <c r="S14" s="21">
        <v>45601</v>
      </c>
      <c r="T14" s="3"/>
      <c r="U14" s="3"/>
      <c r="V14" s="3"/>
      <c r="W14" s="3">
        <v>8.5</v>
      </c>
      <c r="X14" s="3"/>
      <c r="Y14" s="3"/>
      <c r="Z14" s="3"/>
      <c r="AA14" s="3"/>
      <c r="AB14" s="3"/>
      <c r="AC14" s="3"/>
    </row>
    <row r="15" spans="3:29" x14ac:dyDescent="0.25">
      <c r="C15" s="1">
        <v>8</v>
      </c>
      <c r="D15" s="21">
        <v>45572</v>
      </c>
      <c r="E15" s="3">
        <v>46</v>
      </c>
      <c r="F15" s="3">
        <v>5</v>
      </c>
      <c r="G15" s="3">
        <v>6</v>
      </c>
      <c r="H15" s="3"/>
      <c r="I15" s="3"/>
      <c r="J15" s="3"/>
      <c r="K15" s="3">
        <v>9</v>
      </c>
      <c r="L15" s="3">
        <v>20</v>
      </c>
      <c r="M15" s="3"/>
      <c r="N15" s="3"/>
      <c r="O15" s="3"/>
      <c r="P15" s="1">
        <f t="shared" si="0"/>
        <v>5838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3:29" x14ac:dyDescent="0.25">
      <c r="C16" s="1">
        <v>9</v>
      </c>
      <c r="D16" s="21">
        <v>45584</v>
      </c>
      <c r="E16" s="3">
        <v>105</v>
      </c>
      <c r="F16" s="3">
        <v>15</v>
      </c>
      <c r="G16" s="3">
        <v>8</v>
      </c>
      <c r="H16" s="3"/>
      <c r="I16" s="3"/>
      <c r="J16" s="3"/>
      <c r="K16" s="3">
        <v>11</v>
      </c>
      <c r="L16" s="3">
        <v>29</v>
      </c>
      <c r="M16" s="3"/>
      <c r="N16" s="3"/>
      <c r="O16" s="3"/>
      <c r="P16" s="1">
        <f t="shared" si="0"/>
        <v>11651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5">
      <c r="C17" s="1">
        <v>10</v>
      </c>
      <c r="D17" s="21">
        <v>45585</v>
      </c>
      <c r="E17" s="3">
        <v>105</v>
      </c>
      <c r="F17" s="3">
        <v>10</v>
      </c>
      <c r="G17" s="3">
        <v>8</v>
      </c>
      <c r="H17" s="3"/>
      <c r="I17" s="3"/>
      <c r="J17" s="3"/>
      <c r="K17" s="3">
        <v>11</v>
      </c>
      <c r="L17" s="3">
        <v>31</v>
      </c>
      <c r="M17" s="3"/>
      <c r="N17" s="3"/>
      <c r="O17" s="3"/>
      <c r="P17" s="1">
        <f t="shared" si="0"/>
        <v>10955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3:29" x14ac:dyDescent="0.25">
      <c r="C18" s="1">
        <v>11</v>
      </c>
      <c r="D18" s="21">
        <v>45586</v>
      </c>
      <c r="E18" s="3">
        <v>102</v>
      </c>
      <c r="F18" s="3">
        <v>10</v>
      </c>
      <c r="G18" s="3">
        <v>9</v>
      </c>
      <c r="H18" s="3"/>
      <c r="I18" s="3"/>
      <c r="J18" s="3"/>
      <c r="K18" s="3">
        <v>9</v>
      </c>
      <c r="L18" s="3">
        <v>27</v>
      </c>
      <c r="M18" s="3"/>
      <c r="N18" s="3"/>
      <c r="O18" s="3"/>
      <c r="P18" s="1">
        <f t="shared" si="0"/>
        <v>10511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3:29" x14ac:dyDescent="0.25">
      <c r="C19" s="1">
        <v>12</v>
      </c>
      <c r="D19" s="21">
        <v>45587</v>
      </c>
      <c r="E19" s="3">
        <v>115</v>
      </c>
      <c r="F19" s="3">
        <v>20</v>
      </c>
      <c r="G19" s="3">
        <v>8</v>
      </c>
      <c r="H19" s="3">
        <v>5</v>
      </c>
      <c r="I19" s="3"/>
      <c r="J19" s="3"/>
      <c r="K19" s="3">
        <v>27</v>
      </c>
      <c r="L19" s="3">
        <v>38</v>
      </c>
      <c r="M19" s="3"/>
      <c r="N19" s="3"/>
      <c r="O19" s="3"/>
      <c r="P19" s="1">
        <f t="shared" si="0"/>
        <v>15591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5">
      <c r="C20" s="1">
        <v>13</v>
      </c>
      <c r="D20" s="21">
        <v>45588</v>
      </c>
      <c r="E20" s="3">
        <v>95</v>
      </c>
      <c r="F20" s="3">
        <v>15</v>
      </c>
      <c r="G20" s="3">
        <v>8</v>
      </c>
      <c r="H20" s="3"/>
      <c r="I20" s="3"/>
      <c r="J20" s="3"/>
      <c r="K20" s="3">
        <v>10</v>
      </c>
      <c r="L20" s="3">
        <v>27</v>
      </c>
      <c r="M20" s="3"/>
      <c r="N20" s="3"/>
      <c r="O20" s="3"/>
      <c r="P20" s="1">
        <f t="shared" si="0"/>
        <v>10885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3:29" x14ac:dyDescent="0.25">
      <c r="C21" s="1">
        <v>14</v>
      </c>
      <c r="D21" s="21">
        <v>45589</v>
      </c>
      <c r="E21" s="3">
        <v>75</v>
      </c>
      <c r="F21" s="3">
        <v>12</v>
      </c>
      <c r="G21" s="3">
        <v>8</v>
      </c>
      <c r="H21" s="3"/>
      <c r="I21" s="3"/>
      <c r="J21" s="3"/>
      <c r="K21" s="3">
        <v>9</v>
      </c>
      <c r="L21" s="3">
        <v>28</v>
      </c>
      <c r="M21" s="3"/>
      <c r="N21" s="3"/>
      <c r="O21" s="3">
        <v>0</v>
      </c>
      <c r="P21" s="1">
        <f t="shared" si="0"/>
        <v>9206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3:29" x14ac:dyDescent="0.25">
      <c r="C22" s="1">
        <v>15</v>
      </c>
      <c r="D22" s="21">
        <v>45590</v>
      </c>
      <c r="E22" s="3">
        <v>45</v>
      </c>
      <c r="F22" s="3">
        <v>15</v>
      </c>
      <c r="G22" s="3">
        <v>4</v>
      </c>
      <c r="H22" s="3">
        <v>6</v>
      </c>
      <c r="I22" s="3"/>
      <c r="J22" s="3">
        <v>60</v>
      </c>
      <c r="K22" s="3">
        <v>13</v>
      </c>
      <c r="L22" s="3">
        <v>17</v>
      </c>
      <c r="M22" s="3"/>
      <c r="N22" s="3"/>
      <c r="O22" s="3"/>
      <c r="P22" s="1">
        <f t="shared" si="0"/>
        <v>14793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3:29" x14ac:dyDescent="0.25">
      <c r="C23" s="1">
        <v>16</v>
      </c>
      <c r="D23" s="21">
        <v>45591</v>
      </c>
      <c r="E23" s="3">
        <v>100</v>
      </c>
      <c r="F23" s="3">
        <v>8</v>
      </c>
      <c r="G23" s="3">
        <v>8</v>
      </c>
      <c r="H23" s="3"/>
      <c r="I23" s="3"/>
      <c r="J23" s="3"/>
      <c r="K23" s="3">
        <v>10</v>
      </c>
      <c r="L23" s="3">
        <v>31</v>
      </c>
      <c r="M23" s="3"/>
      <c r="N23" s="3"/>
      <c r="O23" s="3"/>
      <c r="P23" s="1">
        <f t="shared" si="0"/>
        <v>10257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3:29" x14ac:dyDescent="0.25">
      <c r="C24" s="1">
        <v>17</v>
      </c>
      <c r="D24" s="21">
        <v>45592</v>
      </c>
      <c r="E24" s="3">
        <v>50</v>
      </c>
      <c r="F24" s="3">
        <v>20</v>
      </c>
      <c r="G24" s="3">
        <v>4</v>
      </c>
      <c r="H24" s="3">
        <v>6</v>
      </c>
      <c r="I24" s="3">
        <v>50</v>
      </c>
      <c r="J24" s="3"/>
      <c r="K24" s="3">
        <v>19</v>
      </c>
      <c r="L24" s="3">
        <v>10</v>
      </c>
      <c r="M24" s="3"/>
      <c r="N24" s="3"/>
      <c r="O24" s="3"/>
      <c r="P24" s="1">
        <f t="shared" si="0"/>
        <v>12996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3:29" x14ac:dyDescent="0.25">
      <c r="C25" s="1">
        <v>18</v>
      </c>
      <c r="D25" s="21">
        <v>45593</v>
      </c>
      <c r="E25" s="3">
        <v>105</v>
      </c>
      <c r="F25" s="3">
        <v>15</v>
      </c>
      <c r="G25" s="3">
        <v>8</v>
      </c>
      <c r="H25" s="3"/>
      <c r="I25" s="3"/>
      <c r="J25" s="3"/>
      <c r="K25" s="3">
        <v>10</v>
      </c>
      <c r="L25" s="3">
        <v>27</v>
      </c>
      <c r="M25" s="3"/>
      <c r="N25" s="3"/>
      <c r="O25" s="3"/>
      <c r="P25" s="1">
        <f t="shared" si="0"/>
        <v>11465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3:29" x14ac:dyDescent="0.25">
      <c r="C26" s="1">
        <v>19</v>
      </c>
      <c r="D26" s="21">
        <v>45594</v>
      </c>
      <c r="E26" s="3">
        <v>125</v>
      </c>
      <c r="F26" s="3">
        <v>30</v>
      </c>
      <c r="G26" s="3">
        <v>11</v>
      </c>
      <c r="H26" s="3"/>
      <c r="I26" s="3"/>
      <c r="J26" s="3">
        <v>7</v>
      </c>
      <c r="K26" s="3">
        <v>8</v>
      </c>
      <c r="L26" s="3">
        <v>18</v>
      </c>
      <c r="M26" s="3"/>
      <c r="N26" s="3"/>
      <c r="O26" s="3"/>
      <c r="P26" s="1">
        <f t="shared" si="0"/>
        <v>15464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3:29" x14ac:dyDescent="0.25">
      <c r="C27" s="1">
        <v>20</v>
      </c>
      <c r="D27" s="21">
        <v>45595</v>
      </c>
      <c r="E27" s="3">
        <v>85</v>
      </c>
      <c r="F27" s="3">
        <v>10</v>
      </c>
      <c r="G27" s="3">
        <v>8</v>
      </c>
      <c r="H27" s="3"/>
      <c r="I27" s="3"/>
      <c r="J27" s="3"/>
      <c r="K27" s="3">
        <v>16</v>
      </c>
      <c r="L27" s="3">
        <v>30</v>
      </c>
      <c r="M27" s="3"/>
      <c r="N27" s="3"/>
      <c r="O27" s="3"/>
      <c r="P27" s="1">
        <f t="shared" si="0"/>
        <v>10208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3:29" x14ac:dyDescent="0.25">
      <c r="C28" s="1">
        <v>21</v>
      </c>
      <c r="D28" s="21">
        <v>45596</v>
      </c>
      <c r="E28" s="3">
        <v>40</v>
      </c>
      <c r="F28" s="3">
        <v>10</v>
      </c>
      <c r="G28" s="3">
        <v>4</v>
      </c>
      <c r="H28" s="3">
        <v>6</v>
      </c>
      <c r="I28" s="3"/>
      <c r="J28" s="3"/>
      <c r="K28" s="3">
        <v>13</v>
      </c>
      <c r="L28" s="3">
        <v>16</v>
      </c>
      <c r="M28" s="3"/>
      <c r="N28" s="3"/>
      <c r="O28" s="3"/>
      <c r="P28" s="1">
        <f t="shared" si="0"/>
        <v>7066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3:29" x14ac:dyDescent="0.25">
      <c r="C29" s="1">
        <v>22</v>
      </c>
      <c r="D29" s="21">
        <v>45597</v>
      </c>
      <c r="E29" s="3">
        <v>45</v>
      </c>
      <c r="F29" s="3">
        <v>15</v>
      </c>
      <c r="G29" s="3">
        <v>4</v>
      </c>
      <c r="H29" s="3">
        <v>6</v>
      </c>
      <c r="I29" s="3"/>
      <c r="J29" s="3">
        <v>60</v>
      </c>
      <c r="K29" s="3">
        <v>15</v>
      </c>
      <c r="L29" s="3">
        <v>16</v>
      </c>
      <c r="M29" s="3"/>
      <c r="N29" s="3"/>
      <c r="O29" s="3"/>
      <c r="P29" s="1">
        <f t="shared" si="0"/>
        <v>14930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3:29" x14ac:dyDescent="0.25">
      <c r="C30" s="1">
        <v>23</v>
      </c>
      <c r="D30" s="21">
        <v>45598</v>
      </c>
      <c r="E30" s="3">
        <v>90</v>
      </c>
      <c r="F30" s="3">
        <v>5</v>
      </c>
      <c r="G30" s="3">
        <v>8</v>
      </c>
      <c r="H30" s="3"/>
      <c r="I30" s="3"/>
      <c r="J30" s="3"/>
      <c r="K30" s="3">
        <v>8</v>
      </c>
      <c r="L30" s="3">
        <v>28</v>
      </c>
      <c r="M30" s="3">
        <v>6</v>
      </c>
      <c r="N30" s="3"/>
      <c r="O30" s="3"/>
      <c r="P30" s="1">
        <f t="shared" si="0"/>
        <v>8878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3:29" x14ac:dyDescent="0.25">
      <c r="C31" s="1">
        <v>24</v>
      </c>
      <c r="D31" s="21">
        <v>45599</v>
      </c>
      <c r="E31" s="3">
        <v>55</v>
      </c>
      <c r="F31" s="3">
        <v>15</v>
      </c>
      <c r="G31" s="3">
        <v>4</v>
      </c>
      <c r="H31" s="3">
        <v>6</v>
      </c>
      <c r="I31" s="3">
        <v>50</v>
      </c>
      <c r="J31" s="3"/>
      <c r="K31" s="3">
        <v>13</v>
      </c>
      <c r="L31" s="3">
        <v>11</v>
      </c>
      <c r="M31" s="3"/>
      <c r="N31" s="3"/>
      <c r="O31" s="3"/>
      <c r="P31" s="1">
        <f t="shared" si="0"/>
        <v>11991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3:29" x14ac:dyDescent="0.25">
      <c r="C32" s="1">
        <v>25</v>
      </c>
      <c r="D32" s="21">
        <v>45600</v>
      </c>
      <c r="E32" s="3">
        <v>100</v>
      </c>
      <c r="F32" s="3">
        <v>5</v>
      </c>
      <c r="G32" s="3">
        <v>8</v>
      </c>
      <c r="H32" s="3"/>
      <c r="I32" s="3"/>
      <c r="J32" s="3"/>
      <c r="K32" s="3">
        <v>7</v>
      </c>
      <c r="L32" s="3">
        <v>23</v>
      </c>
      <c r="M32" s="3">
        <v>6</v>
      </c>
      <c r="N32" s="3"/>
      <c r="O32" s="3"/>
      <c r="P32" s="1">
        <f t="shared" si="0"/>
        <v>9131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3:29" x14ac:dyDescent="0.25">
      <c r="C33" s="1">
        <v>26</v>
      </c>
      <c r="D33" s="21">
        <v>45601</v>
      </c>
      <c r="E33" s="3">
        <v>105</v>
      </c>
      <c r="F33" s="3">
        <v>15</v>
      </c>
      <c r="G33" s="3">
        <v>10</v>
      </c>
      <c r="H33" s="3"/>
      <c r="I33" s="3"/>
      <c r="J33" s="3"/>
      <c r="K33" s="3">
        <v>16</v>
      </c>
      <c r="L33" s="3">
        <v>36</v>
      </c>
      <c r="M33" s="3"/>
      <c r="N33" s="3"/>
      <c r="O33" s="3"/>
      <c r="P33" s="1">
        <f t="shared" si="0"/>
        <v>12644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3:29" x14ac:dyDescent="0.25">
      <c r="C34" s="1">
        <v>27</v>
      </c>
      <c r="D34" s="21">
        <v>45602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3:29" x14ac:dyDescent="0.25">
      <c r="C35" s="1">
        <v>28</v>
      </c>
      <c r="D35" s="21">
        <v>45603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3:29" x14ac:dyDescent="0.25">
      <c r="C36" s="1">
        <v>29</v>
      </c>
      <c r="D36" s="21">
        <v>45604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3:29" x14ac:dyDescent="0.25">
      <c r="C37" s="1">
        <v>30</v>
      </c>
      <c r="D37" s="21">
        <v>45605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">
        <f t="shared" si="0"/>
        <v>0</v>
      </c>
      <c r="S37" s="3"/>
      <c r="T37" s="3">
        <v>50</v>
      </c>
      <c r="U37" s="3">
        <v>5</v>
      </c>
      <c r="V37" s="3"/>
      <c r="W37" s="3"/>
      <c r="X37" s="3"/>
      <c r="Y37" s="3"/>
      <c r="Z37" s="3">
        <v>5.5</v>
      </c>
      <c r="AA37" s="3">
        <v>16</v>
      </c>
      <c r="AB37" s="3"/>
      <c r="AC37" s="3"/>
    </row>
    <row r="38" spans="3:29" x14ac:dyDescent="0.25">
      <c r="D38" s="7" t="s">
        <v>130</v>
      </c>
      <c r="E38" s="7">
        <f>SUM(E8:E37)</f>
        <v>2024</v>
      </c>
      <c r="F38" s="7">
        <f t="shared" ref="F38:L38" si="1">SUM(F8:F37)</f>
        <v>315</v>
      </c>
      <c r="G38" s="7">
        <f t="shared" si="1"/>
        <v>184</v>
      </c>
      <c r="H38" s="7">
        <f t="shared" si="1"/>
        <v>46</v>
      </c>
      <c r="I38" s="7">
        <f t="shared" si="1"/>
        <v>140</v>
      </c>
      <c r="J38" s="7">
        <f t="shared" si="1"/>
        <v>172</v>
      </c>
      <c r="K38" s="7">
        <f t="shared" si="1"/>
        <v>314</v>
      </c>
      <c r="L38" s="7">
        <f t="shared" si="1"/>
        <v>627</v>
      </c>
      <c r="M38" s="7"/>
      <c r="N38" s="7"/>
      <c r="O38" s="7"/>
      <c r="P38" s="1">
        <f t="shared" si="0"/>
        <v>279217</v>
      </c>
      <c r="S38" s="7" t="s">
        <v>323</v>
      </c>
      <c r="T38" s="7">
        <f t="shared" ref="T38:AC38" si="2">SUM(T8:T37)</f>
        <v>2429</v>
      </c>
      <c r="U38" s="7">
        <f t="shared" si="2"/>
        <v>365</v>
      </c>
      <c r="V38" s="7">
        <f t="shared" si="2"/>
        <v>227</v>
      </c>
      <c r="W38" s="7">
        <f t="shared" si="2"/>
        <v>58.5</v>
      </c>
      <c r="X38" s="7">
        <f t="shared" si="2"/>
        <v>245</v>
      </c>
      <c r="Y38" s="7">
        <f t="shared" si="2"/>
        <v>300</v>
      </c>
      <c r="Z38" s="7">
        <f t="shared" si="2"/>
        <v>309.5</v>
      </c>
      <c r="AA38" s="7">
        <f t="shared" si="2"/>
        <v>655.26086956521738</v>
      </c>
      <c r="AB38" s="7">
        <f t="shared" si="2"/>
        <v>20</v>
      </c>
      <c r="AC38" s="7">
        <f t="shared" si="2"/>
        <v>25</v>
      </c>
    </row>
    <row r="39" spans="3:29" ht="18.75" x14ac:dyDescent="0.25">
      <c r="D39" s="22" t="s">
        <v>29</v>
      </c>
      <c r="E39" s="23">
        <f t="shared" ref="E39:L39" si="3">T38-E38</f>
        <v>405</v>
      </c>
      <c r="F39" s="23">
        <f t="shared" si="3"/>
        <v>50</v>
      </c>
      <c r="G39" s="23">
        <f t="shared" si="3"/>
        <v>43</v>
      </c>
      <c r="H39" s="23">
        <f t="shared" si="3"/>
        <v>12.5</v>
      </c>
      <c r="I39" s="23">
        <f t="shared" si="3"/>
        <v>105</v>
      </c>
      <c r="J39" s="23">
        <f t="shared" si="3"/>
        <v>128</v>
      </c>
      <c r="K39" s="23">
        <f t="shared" si="3"/>
        <v>-4.5</v>
      </c>
      <c r="L39" s="23">
        <f t="shared" si="3"/>
        <v>28.260869565217376</v>
      </c>
      <c r="M39" s="23"/>
      <c r="N39" s="23">
        <f>AB38-N38</f>
        <v>20</v>
      </c>
      <c r="O39" s="23">
        <f>AC38-O38</f>
        <v>25</v>
      </c>
    </row>
    <row r="40" spans="3:29" x14ac:dyDescent="0.25">
      <c r="D40" s="3"/>
      <c r="E40" s="7" t="s">
        <v>12</v>
      </c>
      <c r="F40" s="7" t="s">
        <v>129</v>
      </c>
      <c r="G40" s="7" t="s">
        <v>126</v>
      </c>
      <c r="H40" s="7" t="s">
        <v>127</v>
      </c>
      <c r="I40" s="7" t="s">
        <v>128</v>
      </c>
      <c r="J40" s="7" t="s">
        <v>31</v>
      </c>
      <c r="K40" s="7" t="s">
        <v>11</v>
      </c>
      <c r="L40" s="7" t="s">
        <v>10</v>
      </c>
      <c r="M40" s="7"/>
      <c r="N40" s="7" t="s">
        <v>134</v>
      </c>
      <c r="O40" s="7" t="s">
        <v>4</v>
      </c>
    </row>
  </sheetData>
  <mergeCells count="2">
    <mergeCell ref="S5:AC6"/>
    <mergeCell ref="D5:O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8A1-3CCC-4BF8-8F59-C85E1F098B21}">
  <dimension ref="D4:R36"/>
  <sheetViews>
    <sheetView topLeftCell="A13" zoomScale="115" zoomScaleNormal="115" workbookViewId="0">
      <selection activeCell="H39" sqref="H39"/>
    </sheetView>
  </sheetViews>
  <sheetFormatPr defaultRowHeight="15" x14ac:dyDescent="0.25"/>
  <cols>
    <col min="5" max="5" width="11.140625" customWidth="1"/>
    <col min="16" max="16" width="12.28515625" bestFit="1" customWidth="1"/>
  </cols>
  <sheetData>
    <row r="4" spans="4:8" x14ac:dyDescent="0.25">
      <c r="E4" s="19" t="s">
        <v>109</v>
      </c>
      <c r="F4" s="19" t="s">
        <v>99</v>
      </c>
      <c r="G4" s="19" t="s">
        <v>92</v>
      </c>
    </row>
    <row r="5" spans="4:8" x14ac:dyDescent="0.25">
      <c r="D5">
        <v>1</v>
      </c>
      <c r="E5" s="11">
        <v>45565</v>
      </c>
      <c r="F5" s="12">
        <v>353</v>
      </c>
      <c r="G5" s="12">
        <v>337</v>
      </c>
    </row>
    <row r="6" spans="4:8" x14ac:dyDescent="0.25">
      <c r="D6">
        <v>2</v>
      </c>
      <c r="E6" s="11">
        <v>45566</v>
      </c>
      <c r="F6" s="12">
        <v>355</v>
      </c>
      <c r="G6" s="12">
        <v>400</v>
      </c>
    </row>
    <row r="7" spans="4:8" x14ac:dyDescent="0.25">
      <c r="D7">
        <v>3</v>
      </c>
      <c r="E7" s="11">
        <v>45567</v>
      </c>
      <c r="F7" s="12">
        <v>355</v>
      </c>
      <c r="G7" s="12">
        <v>340</v>
      </c>
    </row>
    <row r="8" spans="4:8" x14ac:dyDescent="0.25">
      <c r="D8">
        <v>4</v>
      </c>
      <c r="E8" s="11">
        <v>45568</v>
      </c>
      <c r="F8" s="12">
        <v>342</v>
      </c>
      <c r="G8" s="12">
        <v>316</v>
      </c>
    </row>
    <row r="9" spans="4:8" x14ac:dyDescent="0.25">
      <c r="D9">
        <v>5</v>
      </c>
      <c r="E9" s="11">
        <v>45569</v>
      </c>
      <c r="F9" s="12">
        <v>365</v>
      </c>
      <c r="G9" s="12">
        <v>300</v>
      </c>
    </row>
    <row r="10" spans="4:8" x14ac:dyDescent="0.25">
      <c r="D10">
        <v>6</v>
      </c>
      <c r="E10" s="11">
        <v>45570</v>
      </c>
      <c r="F10" s="12">
        <v>270</v>
      </c>
      <c r="G10" s="12">
        <v>250</v>
      </c>
    </row>
    <row r="11" spans="4:8" x14ac:dyDescent="0.25">
      <c r="D11">
        <v>7</v>
      </c>
      <c r="E11" s="11">
        <v>45571</v>
      </c>
      <c r="F11" s="12">
        <v>235</v>
      </c>
      <c r="G11" s="12">
        <v>205</v>
      </c>
    </row>
    <row r="12" spans="4:8" x14ac:dyDescent="0.25">
      <c r="D12">
        <v>8</v>
      </c>
      <c r="E12" s="11">
        <v>45572</v>
      </c>
      <c r="F12" s="12">
        <v>216</v>
      </c>
      <c r="G12" s="12">
        <v>195</v>
      </c>
    </row>
    <row r="13" spans="4:8" x14ac:dyDescent="0.25">
      <c r="D13">
        <v>9</v>
      </c>
      <c r="E13" s="11">
        <v>45584</v>
      </c>
      <c r="F13" s="12">
        <v>440</v>
      </c>
      <c r="G13" s="12">
        <v>423</v>
      </c>
      <c r="H13">
        <f>F13+G13</f>
        <v>863</v>
      </c>
    </row>
    <row r="14" spans="4:8" x14ac:dyDescent="0.25">
      <c r="D14">
        <v>10</v>
      </c>
      <c r="E14" s="11">
        <v>45585</v>
      </c>
      <c r="F14" s="12">
        <v>451</v>
      </c>
      <c r="G14" s="12">
        <v>432</v>
      </c>
      <c r="H14">
        <f t="shared" ref="H14:H34" si="0">F14+G14</f>
        <v>883</v>
      </c>
    </row>
    <row r="15" spans="4:8" x14ac:dyDescent="0.25">
      <c r="D15">
        <v>11</v>
      </c>
      <c r="E15" s="11">
        <v>45586</v>
      </c>
      <c r="F15" s="12">
        <v>465</v>
      </c>
      <c r="G15" s="12">
        <v>405</v>
      </c>
      <c r="H15">
        <f t="shared" si="0"/>
        <v>870</v>
      </c>
    </row>
    <row r="16" spans="4:8" x14ac:dyDescent="0.25">
      <c r="D16">
        <v>12</v>
      </c>
      <c r="E16" s="11">
        <v>45587</v>
      </c>
      <c r="F16" s="12">
        <v>444</v>
      </c>
      <c r="G16" s="12">
        <v>490</v>
      </c>
      <c r="H16">
        <f t="shared" si="0"/>
        <v>934</v>
      </c>
    </row>
    <row r="17" spans="4:16" x14ac:dyDescent="0.25">
      <c r="D17">
        <v>13</v>
      </c>
      <c r="E17" s="11">
        <v>45588</v>
      </c>
      <c r="F17" s="12">
        <v>420</v>
      </c>
      <c r="G17" s="12">
        <v>351</v>
      </c>
      <c r="H17">
        <f t="shared" si="0"/>
        <v>771</v>
      </c>
      <c r="I17">
        <f>AVERAGE(H13:H25)</f>
        <v>841</v>
      </c>
    </row>
    <row r="18" spans="4:16" x14ac:dyDescent="0.25">
      <c r="D18">
        <v>14</v>
      </c>
      <c r="E18" s="11">
        <v>45589</v>
      </c>
      <c r="F18" s="12">
        <v>350</v>
      </c>
      <c r="G18" s="12">
        <v>325</v>
      </c>
      <c r="H18">
        <f t="shared" si="0"/>
        <v>675</v>
      </c>
    </row>
    <row r="19" spans="4:16" x14ac:dyDescent="0.25">
      <c r="D19">
        <v>15</v>
      </c>
      <c r="E19" s="11">
        <v>45590</v>
      </c>
      <c r="F19" s="12">
        <v>440</v>
      </c>
      <c r="G19" s="12">
        <v>395</v>
      </c>
      <c r="H19">
        <f t="shared" si="0"/>
        <v>835</v>
      </c>
    </row>
    <row r="20" spans="4:16" x14ac:dyDescent="0.25">
      <c r="D20">
        <v>16</v>
      </c>
      <c r="E20" s="11">
        <v>45591</v>
      </c>
      <c r="F20" s="12">
        <v>434</v>
      </c>
      <c r="G20" s="12">
        <v>429</v>
      </c>
      <c r="H20">
        <f t="shared" si="0"/>
        <v>863</v>
      </c>
    </row>
    <row r="21" spans="4:16" x14ac:dyDescent="0.25">
      <c r="D21">
        <v>17</v>
      </c>
      <c r="E21" s="11">
        <v>45592</v>
      </c>
      <c r="F21" s="12">
        <v>441</v>
      </c>
      <c r="G21" s="12">
        <v>475</v>
      </c>
      <c r="H21">
        <f t="shared" si="0"/>
        <v>916</v>
      </c>
    </row>
    <row r="22" spans="4:16" x14ac:dyDescent="0.25">
      <c r="D22">
        <v>18</v>
      </c>
      <c r="E22" s="11">
        <v>45593</v>
      </c>
      <c r="F22" s="12">
        <v>433</v>
      </c>
      <c r="G22" s="12">
        <v>400</v>
      </c>
      <c r="H22">
        <f t="shared" si="0"/>
        <v>833</v>
      </c>
    </row>
    <row r="23" spans="4:16" x14ac:dyDescent="0.25">
      <c r="D23">
        <v>19</v>
      </c>
      <c r="E23" s="11">
        <v>45594</v>
      </c>
      <c r="F23" s="12">
        <v>442</v>
      </c>
      <c r="G23" s="12">
        <v>510</v>
      </c>
      <c r="H23">
        <f t="shared" si="0"/>
        <v>952</v>
      </c>
    </row>
    <row r="24" spans="4:16" x14ac:dyDescent="0.25">
      <c r="D24">
        <v>20</v>
      </c>
      <c r="E24" s="11">
        <v>45595</v>
      </c>
      <c r="F24" s="12">
        <v>432</v>
      </c>
      <c r="G24" s="12">
        <v>340</v>
      </c>
      <c r="H24">
        <f t="shared" si="0"/>
        <v>772</v>
      </c>
    </row>
    <row r="25" spans="4:16" x14ac:dyDescent="0.25">
      <c r="D25">
        <v>21</v>
      </c>
      <c r="E25" s="11">
        <v>45596</v>
      </c>
      <c r="F25" s="12">
        <v>351</v>
      </c>
      <c r="G25" s="12">
        <v>415</v>
      </c>
      <c r="H25">
        <f t="shared" si="0"/>
        <v>766</v>
      </c>
    </row>
    <row r="26" spans="4:16" x14ac:dyDescent="0.25">
      <c r="D26">
        <v>22</v>
      </c>
      <c r="E26" s="11">
        <v>45597</v>
      </c>
      <c r="F26" s="12">
        <v>434</v>
      </c>
      <c r="G26" s="12">
        <v>363</v>
      </c>
      <c r="H26">
        <f t="shared" si="0"/>
        <v>797</v>
      </c>
    </row>
    <row r="27" spans="4:16" x14ac:dyDescent="0.25">
      <c r="D27">
        <v>23</v>
      </c>
      <c r="E27" s="11">
        <v>45598</v>
      </c>
      <c r="F27" s="12">
        <v>434</v>
      </c>
      <c r="G27" s="12">
        <v>392</v>
      </c>
      <c r="H27">
        <f t="shared" si="0"/>
        <v>826</v>
      </c>
    </row>
    <row r="28" spans="4:16" x14ac:dyDescent="0.25">
      <c r="D28">
        <v>24</v>
      </c>
      <c r="E28" s="11">
        <v>45599</v>
      </c>
      <c r="F28" s="12">
        <v>411</v>
      </c>
      <c r="G28" s="12">
        <v>475</v>
      </c>
      <c r="H28">
        <f t="shared" si="0"/>
        <v>886</v>
      </c>
    </row>
    <row r="29" spans="4:16" x14ac:dyDescent="0.25">
      <c r="D29">
        <v>25</v>
      </c>
      <c r="E29" s="11">
        <v>45600</v>
      </c>
      <c r="F29" s="12">
        <v>440</v>
      </c>
      <c r="G29" s="12">
        <v>410</v>
      </c>
      <c r="H29">
        <f t="shared" si="0"/>
        <v>850</v>
      </c>
      <c r="P29">
        <f>785/5</f>
        <v>157</v>
      </c>
    </row>
    <row r="30" spans="4:16" x14ac:dyDescent="0.25">
      <c r="D30">
        <v>26</v>
      </c>
      <c r="E30" s="11">
        <v>45601</v>
      </c>
      <c r="F30" s="12">
        <v>430</v>
      </c>
      <c r="G30" s="12">
        <v>492</v>
      </c>
      <c r="H30">
        <f t="shared" si="0"/>
        <v>922</v>
      </c>
    </row>
    <row r="31" spans="4:16" x14ac:dyDescent="0.25">
      <c r="D31">
        <v>27</v>
      </c>
      <c r="E31" s="11">
        <v>45602</v>
      </c>
      <c r="F31" s="12"/>
      <c r="G31" s="12"/>
      <c r="H31">
        <f t="shared" si="0"/>
        <v>0</v>
      </c>
    </row>
    <row r="32" spans="4:16" x14ac:dyDescent="0.25">
      <c r="D32">
        <v>28</v>
      </c>
      <c r="E32" s="11">
        <v>45603</v>
      </c>
      <c r="F32" s="12"/>
      <c r="G32" s="12"/>
      <c r="H32">
        <f t="shared" si="0"/>
        <v>0</v>
      </c>
    </row>
    <row r="33" spans="4:18" x14ac:dyDescent="0.25">
      <c r="D33">
        <v>29</v>
      </c>
      <c r="E33" s="11">
        <v>45604</v>
      </c>
      <c r="F33" s="12"/>
      <c r="G33" s="12"/>
      <c r="H33">
        <f t="shared" si="0"/>
        <v>0</v>
      </c>
    </row>
    <row r="34" spans="4:18" x14ac:dyDescent="0.25">
      <c r="D34">
        <v>30</v>
      </c>
      <c r="E34" s="11">
        <v>45605</v>
      </c>
      <c r="F34" s="12"/>
      <c r="G34" s="12"/>
      <c r="H34">
        <f t="shared" si="0"/>
        <v>0</v>
      </c>
    </row>
    <row r="36" spans="4:18" x14ac:dyDescent="0.25">
      <c r="F36">
        <f>SUM(F5:F10)</f>
        <v>2040</v>
      </c>
      <c r="G36">
        <f>SUM(G5:G10)</f>
        <v>1943</v>
      </c>
      <c r="I36">
        <f>F36+G36+1000</f>
        <v>4983</v>
      </c>
      <c r="K36">
        <f>200000/I36</f>
        <v>40.136463977523583</v>
      </c>
      <c r="P36">
        <f>(800*22*K36)</f>
        <v>706401.76600441511</v>
      </c>
      <c r="R36">
        <f>P36+200000</f>
        <v>906401.76600441511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DDD4-A563-4B94-8327-045E958A6769}">
  <dimension ref="B4:W98"/>
  <sheetViews>
    <sheetView topLeftCell="A25" zoomScaleNormal="100" workbookViewId="0">
      <selection activeCell="Q80" sqref="Q80:Q87"/>
    </sheetView>
  </sheetViews>
  <sheetFormatPr defaultColWidth="9.140625" defaultRowHeight="15" x14ac:dyDescent="0.25"/>
  <cols>
    <col min="1" max="1" width="9.140625" style="16"/>
    <col min="2" max="2" width="13.5703125" style="16" customWidth="1"/>
    <col min="3" max="3" width="9.140625" style="16"/>
    <col min="4" max="4" width="15.42578125" style="16" customWidth="1"/>
    <col min="5" max="6" width="9.140625" style="16"/>
    <col min="7" max="7" width="13.42578125" style="16" customWidth="1"/>
    <col min="8" max="8" width="9.140625" style="16"/>
    <col min="9" max="9" width="16.28515625" style="16" customWidth="1"/>
    <col min="10" max="11" width="9.140625" style="16"/>
    <col min="12" max="12" width="13" style="16" customWidth="1"/>
    <col min="13" max="13" width="12.140625" style="16" customWidth="1"/>
    <col min="14" max="14" width="23.5703125" style="16" customWidth="1"/>
    <col min="15" max="15" width="11" style="16" customWidth="1"/>
    <col min="16" max="16" width="9.140625" style="16"/>
    <col min="17" max="17" width="11.7109375" style="16" customWidth="1"/>
    <col min="18" max="18" width="9.140625" style="16"/>
    <col min="19" max="19" width="15.85546875" style="16" customWidth="1"/>
    <col min="20" max="16384" width="9.140625" style="16"/>
  </cols>
  <sheetData>
    <row r="4" spans="2:22" x14ac:dyDescent="0.25">
      <c r="V4" s="16">
        <f>14*190+70*13.5</f>
        <v>3605</v>
      </c>
    </row>
    <row r="5" spans="2:22" x14ac:dyDescent="0.25">
      <c r="K5" s="16">
        <f>(52+18+16)*185</f>
        <v>15910</v>
      </c>
    </row>
    <row r="14" spans="2:22" x14ac:dyDescent="0.25">
      <c r="B14" s="104">
        <v>45565</v>
      </c>
      <c r="C14" s="110" t="s">
        <v>99</v>
      </c>
      <c r="D14" s="20" t="s">
        <v>104</v>
      </c>
      <c r="E14" s="20">
        <v>100</v>
      </c>
      <c r="G14" s="104">
        <v>45566</v>
      </c>
      <c r="H14" s="110" t="s">
        <v>99</v>
      </c>
      <c r="I14" s="20" t="s">
        <v>100</v>
      </c>
      <c r="J14" s="20">
        <v>120</v>
      </c>
      <c r="L14" s="104">
        <v>45567</v>
      </c>
      <c r="M14" s="110" t="s">
        <v>99</v>
      </c>
      <c r="N14" s="20" t="s">
        <v>89</v>
      </c>
      <c r="O14" s="20">
        <v>115</v>
      </c>
      <c r="Q14" s="104">
        <v>45568</v>
      </c>
      <c r="R14" s="110" t="s">
        <v>99</v>
      </c>
      <c r="S14" s="20" t="s">
        <v>115</v>
      </c>
      <c r="T14" s="20" t="s">
        <v>116</v>
      </c>
    </row>
    <row r="15" spans="2:22" x14ac:dyDescent="0.25">
      <c r="B15" s="105"/>
      <c r="C15" s="111"/>
      <c r="D15" s="17" t="s">
        <v>91</v>
      </c>
      <c r="E15" s="17" t="s">
        <v>105</v>
      </c>
      <c r="G15" s="105"/>
      <c r="H15" s="111"/>
      <c r="I15" s="17" t="s">
        <v>91</v>
      </c>
      <c r="J15" s="17" t="s">
        <v>101</v>
      </c>
      <c r="L15" s="105"/>
      <c r="M15" s="111"/>
      <c r="N15" s="17" t="s">
        <v>90</v>
      </c>
      <c r="O15" s="17">
        <v>50</v>
      </c>
      <c r="Q15" s="105"/>
      <c r="R15" s="111"/>
      <c r="S15" s="17" t="s">
        <v>117</v>
      </c>
      <c r="T15" s="17">
        <v>120</v>
      </c>
    </row>
    <row r="16" spans="2:22" x14ac:dyDescent="0.25">
      <c r="B16" s="105"/>
      <c r="C16" s="111"/>
      <c r="D16" s="17" t="s">
        <v>65</v>
      </c>
      <c r="E16" s="17"/>
      <c r="G16" s="105"/>
      <c r="H16" s="111"/>
      <c r="I16" s="17" t="s">
        <v>102</v>
      </c>
      <c r="J16" s="17"/>
      <c r="L16" s="105"/>
      <c r="M16" s="111"/>
      <c r="N16" s="17" t="s">
        <v>91</v>
      </c>
      <c r="O16" s="17" t="s">
        <v>114</v>
      </c>
      <c r="Q16" s="105"/>
      <c r="R16" s="111"/>
      <c r="S16" s="17" t="s">
        <v>118</v>
      </c>
      <c r="T16" s="17">
        <v>35</v>
      </c>
    </row>
    <row r="17" spans="2:20" x14ac:dyDescent="0.25">
      <c r="B17" s="105"/>
      <c r="C17" s="112"/>
      <c r="D17" s="17"/>
      <c r="E17" s="17"/>
      <c r="G17" s="105"/>
      <c r="H17" s="112"/>
      <c r="I17" s="17"/>
      <c r="J17" s="17"/>
      <c r="L17" s="105"/>
      <c r="M17" s="112"/>
      <c r="N17" s="17" t="s">
        <v>97</v>
      </c>
      <c r="O17" s="17"/>
      <c r="Q17" s="105"/>
      <c r="R17" s="112"/>
      <c r="S17" s="17"/>
      <c r="T17" s="17"/>
    </row>
    <row r="18" spans="2:20" x14ac:dyDescent="0.25">
      <c r="B18" s="105"/>
      <c r="C18" s="110" t="s">
        <v>92</v>
      </c>
      <c r="D18" s="17" t="s">
        <v>91</v>
      </c>
      <c r="E18" s="17" t="s">
        <v>107</v>
      </c>
      <c r="G18" s="105"/>
      <c r="H18" s="107" t="s">
        <v>92</v>
      </c>
      <c r="I18" s="46" t="s">
        <v>111</v>
      </c>
      <c r="J18" s="46" t="s">
        <v>103</v>
      </c>
      <c r="L18" s="105"/>
      <c r="M18" s="110" t="s">
        <v>92</v>
      </c>
      <c r="N18" s="17" t="s">
        <v>90</v>
      </c>
      <c r="O18" s="17">
        <v>150</v>
      </c>
      <c r="Q18" s="105"/>
      <c r="R18" s="110" t="s">
        <v>92</v>
      </c>
      <c r="S18" s="17" t="s">
        <v>106</v>
      </c>
      <c r="T18" s="17">
        <v>120</v>
      </c>
    </row>
    <row r="19" spans="2:20" x14ac:dyDescent="0.25">
      <c r="B19" s="105"/>
      <c r="C19" s="111"/>
      <c r="D19" s="17" t="s">
        <v>106</v>
      </c>
      <c r="E19" s="17">
        <v>100</v>
      </c>
      <c r="G19" s="105"/>
      <c r="H19" s="108"/>
      <c r="I19" s="46" t="s">
        <v>145</v>
      </c>
      <c r="J19" s="46"/>
      <c r="L19" s="105"/>
      <c r="M19" s="111"/>
      <c r="N19" s="17" t="s">
        <v>93</v>
      </c>
      <c r="O19" s="17" t="s">
        <v>94</v>
      </c>
      <c r="Q19" s="105"/>
      <c r="R19" s="111"/>
      <c r="S19" s="17" t="s">
        <v>91</v>
      </c>
      <c r="T19" s="17" t="s">
        <v>105</v>
      </c>
    </row>
    <row r="20" spans="2:20" x14ac:dyDescent="0.25">
      <c r="B20" s="105"/>
      <c r="C20" s="111"/>
      <c r="D20" s="17" t="s">
        <v>108</v>
      </c>
      <c r="E20" s="17"/>
      <c r="G20" s="105"/>
      <c r="H20" s="108"/>
      <c r="I20" s="46" t="s">
        <v>148</v>
      </c>
      <c r="J20" s="46"/>
      <c r="L20" s="105"/>
      <c r="M20" s="111"/>
      <c r="N20" s="17" t="s">
        <v>95</v>
      </c>
      <c r="O20" s="17" t="s">
        <v>96</v>
      </c>
      <c r="Q20" s="105"/>
      <c r="R20" s="111"/>
      <c r="S20" s="17"/>
      <c r="T20" s="17"/>
    </row>
    <row r="21" spans="2:20" x14ac:dyDescent="0.25">
      <c r="B21" s="106"/>
      <c r="C21" s="112"/>
      <c r="D21" s="17"/>
      <c r="E21" s="17"/>
      <c r="G21" s="106"/>
      <c r="H21" s="109"/>
      <c r="I21" s="46"/>
      <c r="J21" s="46"/>
      <c r="L21" s="106"/>
      <c r="M21" s="112"/>
      <c r="N21" s="17" t="s">
        <v>98</v>
      </c>
      <c r="O21" s="17"/>
      <c r="Q21" s="106"/>
      <c r="R21" s="112"/>
      <c r="S21" s="17"/>
      <c r="T21" s="17"/>
    </row>
    <row r="25" spans="2:20" x14ac:dyDescent="0.25">
      <c r="B25" s="104">
        <v>45569</v>
      </c>
      <c r="C25" s="107" t="s">
        <v>99</v>
      </c>
      <c r="D25" s="46" t="s">
        <v>135</v>
      </c>
      <c r="E25" s="46" t="s">
        <v>119</v>
      </c>
      <c r="G25" s="104">
        <v>45570</v>
      </c>
      <c r="H25" s="110" t="s">
        <v>99</v>
      </c>
      <c r="I25" s="20" t="s">
        <v>117</v>
      </c>
      <c r="J25" s="20">
        <v>120</v>
      </c>
      <c r="L25" s="104">
        <v>45571</v>
      </c>
      <c r="M25" s="110" t="s">
        <v>99</v>
      </c>
      <c r="N25" s="20" t="s">
        <v>117</v>
      </c>
      <c r="O25" s="20">
        <v>100</v>
      </c>
      <c r="Q25" s="104">
        <v>45572</v>
      </c>
      <c r="R25" s="110" t="s">
        <v>99</v>
      </c>
      <c r="S25" s="20" t="s">
        <v>117</v>
      </c>
      <c r="T25" s="20">
        <v>50</v>
      </c>
    </row>
    <row r="26" spans="2:20" x14ac:dyDescent="0.25">
      <c r="B26" s="105"/>
      <c r="C26" s="108"/>
      <c r="D26" s="46" t="s">
        <v>120</v>
      </c>
      <c r="E26" s="46">
        <f>4*85</f>
        <v>340</v>
      </c>
      <c r="G26" s="105"/>
      <c r="H26" s="111"/>
      <c r="I26" s="17" t="s">
        <v>91</v>
      </c>
      <c r="J26" s="17">
        <v>200</v>
      </c>
      <c r="L26" s="105"/>
      <c r="M26" s="111"/>
      <c r="N26" s="17" t="s">
        <v>142</v>
      </c>
      <c r="O26" s="17">
        <v>130</v>
      </c>
      <c r="Q26" s="105"/>
      <c r="R26" s="111"/>
      <c r="S26" s="17" t="s">
        <v>169</v>
      </c>
      <c r="T26" s="17">
        <v>85</v>
      </c>
    </row>
    <row r="27" spans="2:20" x14ac:dyDescent="0.25">
      <c r="B27" s="105"/>
      <c r="C27" s="108"/>
      <c r="D27" s="46" t="s">
        <v>146</v>
      </c>
      <c r="E27" s="46"/>
      <c r="G27" s="105"/>
      <c r="H27" s="111"/>
      <c r="I27" s="17" t="s">
        <v>139</v>
      </c>
      <c r="J27" s="17"/>
      <c r="L27" s="105"/>
      <c r="M27" s="111"/>
      <c r="N27" s="17" t="s">
        <v>91</v>
      </c>
      <c r="O27" s="17">
        <v>40</v>
      </c>
      <c r="Q27" s="105"/>
      <c r="R27" s="111"/>
      <c r="S27" s="17" t="s">
        <v>91</v>
      </c>
      <c r="T27" s="17">
        <v>65</v>
      </c>
    </row>
    <row r="28" spans="2:20" x14ac:dyDescent="0.25">
      <c r="B28" s="105"/>
      <c r="C28" s="109"/>
      <c r="D28" s="46" t="s">
        <v>147</v>
      </c>
      <c r="E28" s="46"/>
      <c r="G28" s="105"/>
      <c r="H28" s="112"/>
      <c r="I28" s="17"/>
      <c r="J28" s="17"/>
      <c r="L28" s="105"/>
      <c r="M28" s="112"/>
      <c r="N28" s="17" t="s">
        <v>144</v>
      </c>
      <c r="O28" s="17"/>
      <c r="Q28" s="105"/>
      <c r="R28" s="112"/>
      <c r="S28" s="17" t="s">
        <v>170</v>
      </c>
      <c r="T28" s="17"/>
    </row>
    <row r="29" spans="2:20" x14ac:dyDescent="0.25">
      <c r="B29" s="105"/>
      <c r="C29" s="110" t="s">
        <v>92</v>
      </c>
      <c r="D29" s="17" t="s">
        <v>115</v>
      </c>
      <c r="E29" s="17">
        <v>12.1</v>
      </c>
      <c r="G29" s="105"/>
      <c r="H29" s="110" t="s">
        <v>92</v>
      </c>
      <c r="I29" s="17" t="s">
        <v>106</v>
      </c>
      <c r="J29" s="17">
        <v>100</v>
      </c>
      <c r="L29" s="105"/>
      <c r="M29" s="110" t="s">
        <v>92</v>
      </c>
      <c r="N29" s="17" t="s">
        <v>91</v>
      </c>
      <c r="O29" s="17">
        <v>180</v>
      </c>
      <c r="Q29" s="105"/>
      <c r="R29" s="110" t="s">
        <v>92</v>
      </c>
      <c r="S29" s="17" t="s">
        <v>106</v>
      </c>
      <c r="T29" s="17">
        <v>50</v>
      </c>
    </row>
    <row r="30" spans="2:20" x14ac:dyDescent="0.25">
      <c r="B30" s="105"/>
      <c r="C30" s="111"/>
      <c r="D30" s="17" t="s">
        <v>106</v>
      </c>
      <c r="E30" s="17"/>
      <c r="G30" s="105"/>
      <c r="H30" s="111"/>
      <c r="I30" s="17" t="s">
        <v>91</v>
      </c>
      <c r="J30" s="17">
        <v>200</v>
      </c>
      <c r="L30" s="105"/>
      <c r="M30" s="111"/>
      <c r="N30" s="17" t="s">
        <v>106</v>
      </c>
      <c r="O30" s="17">
        <v>70</v>
      </c>
      <c r="Q30" s="105"/>
      <c r="R30" s="111"/>
      <c r="S30" s="17" t="s">
        <v>91</v>
      </c>
      <c r="T30" s="17">
        <v>130</v>
      </c>
    </row>
    <row r="31" spans="2:20" x14ac:dyDescent="0.25">
      <c r="B31" s="105"/>
      <c r="C31" s="111"/>
      <c r="D31" s="17" t="s">
        <v>98</v>
      </c>
      <c r="E31" s="17">
        <v>100</v>
      </c>
      <c r="G31" s="105"/>
      <c r="H31" s="111"/>
      <c r="I31" s="17"/>
      <c r="J31" s="17"/>
      <c r="L31" s="105"/>
      <c r="M31" s="111"/>
      <c r="N31" s="17" t="s">
        <v>143</v>
      </c>
      <c r="O31" s="17"/>
      <c r="Q31" s="105"/>
      <c r="R31" s="111"/>
      <c r="S31" s="17" t="s">
        <v>68</v>
      </c>
      <c r="T31" s="17"/>
    </row>
    <row r="32" spans="2:20" x14ac:dyDescent="0.25">
      <c r="B32" s="106"/>
      <c r="C32" s="112"/>
      <c r="D32" s="17"/>
      <c r="E32" s="17"/>
      <c r="G32" s="106"/>
      <c r="H32" s="112"/>
      <c r="I32" s="17"/>
      <c r="J32" s="17"/>
      <c r="L32" s="106"/>
      <c r="M32" s="112"/>
      <c r="N32" s="17"/>
      <c r="O32" s="17"/>
      <c r="Q32" s="106"/>
      <c r="R32" s="112"/>
      <c r="S32" s="17"/>
      <c r="T32" s="17"/>
    </row>
    <row r="36" spans="2:20" x14ac:dyDescent="0.25">
      <c r="B36" s="104">
        <v>45584</v>
      </c>
      <c r="C36" s="110" t="s">
        <v>99</v>
      </c>
      <c r="D36" s="20" t="s">
        <v>260</v>
      </c>
      <c r="E36" s="20">
        <v>150</v>
      </c>
      <c r="G36" s="104">
        <v>45585</v>
      </c>
      <c r="H36" s="110" t="s">
        <v>99</v>
      </c>
      <c r="I36" s="20" t="s">
        <v>260</v>
      </c>
      <c r="J36" s="20">
        <v>150</v>
      </c>
      <c r="L36" s="104">
        <v>45586</v>
      </c>
      <c r="M36" s="110" t="s">
        <v>99</v>
      </c>
      <c r="N36" s="20" t="s">
        <v>46</v>
      </c>
      <c r="O36" s="20">
        <v>150</v>
      </c>
      <c r="Q36" s="104">
        <v>45587</v>
      </c>
      <c r="R36" s="110" t="s">
        <v>99</v>
      </c>
      <c r="S36" s="20" t="s">
        <v>282</v>
      </c>
      <c r="T36" s="20"/>
    </row>
    <row r="37" spans="2:20" x14ac:dyDescent="0.25">
      <c r="B37" s="105"/>
      <c r="C37" s="111"/>
      <c r="D37" s="17" t="s">
        <v>106</v>
      </c>
      <c r="E37" s="17">
        <v>150</v>
      </c>
      <c r="G37" s="105"/>
      <c r="H37" s="111"/>
      <c r="I37" s="17" t="s">
        <v>106</v>
      </c>
      <c r="J37" s="17">
        <v>120</v>
      </c>
      <c r="L37" s="105"/>
      <c r="M37" s="111"/>
      <c r="N37" s="17" t="s">
        <v>106</v>
      </c>
      <c r="O37" s="17">
        <v>170</v>
      </c>
      <c r="Q37" s="105"/>
      <c r="R37" s="111"/>
      <c r="S37" s="17"/>
      <c r="T37" s="17"/>
    </row>
    <row r="38" spans="2:20" x14ac:dyDescent="0.25">
      <c r="B38" s="105"/>
      <c r="C38" s="111"/>
      <c r="D38" s="17" t="s">
        <v>91</v>
      </c>
      <c r="E38" s="17" t="s">
        <v>94</v>
      </c>
      <c r="G38" s="105"/>
      <c r="H38" s="111"/>
      <c r="I38" s="17" t="s">
        <v>91</v>
      </c>
      <c r="J38" s="17" t="s">
        <v>271</v>
      </c>
      <c r="L38" s="105"/>
      <c r="M38" s="111"/>
      <c r="N38" s="17" t="s">
        <v>91</v>
      </c>
      <c r="O38" s="17">
        <v>150</v>
      </c>
      <c r="Q38" s="105"/>
      <c r="R38" s="111"/>
      <c r="S38" s="17" t="s">
        <v>106</v>
      </c>
      <c r="T38" s="17">
        <v>200</v>
      </c>
    </row>
    <row r="39" spans="2:20" x14ac:dyDescent="0.25">
      <c r="B39" s="105"/>
      <c r="C39" s="112"/>
      <c r="D39" s="17" t="s">
        <v>261</v>
      </c>
      <c r="E39" s="17"/>
      <c r="G39" s="105"/>
      <c r="H39" s="112"/>
      <c r="I39" s="17" t="s">
        <v>143</v>
      </c>
      <c r="J39" s="17"/>
      <c r="L39" s="105"/>
      <c r="M39" s="112"/>
      <c r="N39" s="17" t="s">
        <v>279</v>
      </c>
      <c r="O39" s="17"/>
      <c r="Q39" s="105"/>
      <c r="R39" s="112"/>
      <c r="S39" s="17" t="s">
        <v>295</v>
      </c>
      <c r="T39" s="17"/>
    </row>
    <row r="40" spans="2:20" x14ac:dyDescent="0.25">
      <c r="B40" s="105"/>
      <c r="C40" s="110" t="s">
        <v>92</v>
      </c>
      <c r="D40" s="17" t="s">
        <v>89</v>
      </c>
      <c r="E40" s="17">
        <v>150</v>
      </c>
      <c r="G40" s="105"/>
      <c r="H40" s="110" t="s">
        <v>92</v>
      </c>
      <c r="I40" s="17" t="s">
        <v>269</v>
      </c>
      <c r="J40" s="17">
        <v>350</v>
      </c>
      <c r="L40" s="105"/>
      <c r="M40" s="110" t="s">
        <v>92</v>
      </c>
      <c r="N40" s="17" t="s">
        <v>106</v>
      </c>
      <c r="O40" s="17">
        <v>200</v>
      </c>
      <c r="Q40" s="105"/>
      <c r="R40" s="107" t="s">
        <v>92</v>
      </c>
      <c r="S40" s="46" t="s">
        <v>283</v>
      </c>
      <c r="T40" s="46">
        <v>450</v>
      </c>
    </row>
    <row r="41" spans="2:20" x14ac:dyDescent="0.25">
      <c r="B41" s="105"/>
      <c r="C41" s="111"/>
      <c r="D41" s="17" t="s">
        <v>106</v>
      </c>
      <c r="E41" s="17">
        <v>150</v>
      </c>
      <c r="G41" s="105"/>
      <c r="H41" s="111"/>
      <c r="I41" s="17" t="s">
        <v>272</v>
      </c>
      <c r="J41" s="17">
        <v>50</v>
      </c>
      <c r="L41" s="105"/>
      <c r="M41" s="111"/>
      <c r="N41" s="17" t="s">
        <v>91</v>
      </c>
      <c r="O41" s="17">
        <v>250</v>
      </c>
      <c r="Q41" s="105"/>
      <c r="R41" s="108"/>
      <c r="S41" s="46" t="s">
        <v>294</v>
      </c>
      <c r="T41" s="46">
        <v>40</v>
      </c>
    </row>
    <row r="42" spans="2:20" x14ac:dyDescent="0.25">
      <c r="B42" s="105"/>
      <c r="C42" s="111"/>
      <c r="D42" s="17" t="s">
        <v>91</v>
      </c>
      <c r="E42" s="17" t="s">
        <v>116</v>
      </c>
      <c r="G42" s="105"/>
      <c r="H42" s="111"/>
      <c r="I42" s="17" t="s">
        <v>270</v>
      </c>
      <c r="J42" s="17"/>
      <c r="L42" s="105"/>
      <c r="M42" s="111"/>
      <c r="N42" s="17" t="s">
        <v>280</v>
      </c>
      <c r="O42" s="17"/>
      <c r="Q42" s="105"/>
      <c r="R42" s="108"/>
      <c r="S42" s="46" t="s">
        <v>296</v>
      </c>
      <c r="T42" s="46">
        <v>70</v>
      </c>
    </row>
    <row r="43" spans="2:20" x14ac:dyDescent="0.25">
      <c r="B43" s="106"/>
      <c r="C43" s="112"/>
      <c r="D43" s="17" t="s">
        <v>262</v>
      </c>
      <c r="E43" s="17"/>
      <c r="G43" s="106"/>
      <c r="H43" s="112"/>
      <c r="I43" s="17" t="s">
        <v>91</v>
      </c>
      <c r="J43" s="17" t="s">
        <v>273</v>
      </c>
      <c r="L43" s="106"/>
      <c r="M43" s="112"/>
      <c r="N43" s="17" t="s">
        <v>281</v>
      </c>
      <c r="O43" s="17"/>
      <c r="Q43" s="106"/>
      <c r="R43" s="109"/>
      <c r="S43" s="46" t="s">
        <v>297</v>
      </c>
      <c r="T43" s="46"/>
    </row>
    <row r="47" spans="2:20" x14ac:dyDescent="0.25">
      <c r="B47" s="104">
        <v>45588</v>
      </c>
      <c r="C47" s="110" t="s">
        <v>99</v>
      </c>
      <c r="D47" s="20" t="s">
        <v>298</v>
      </c>
      <c r="E47" s="20">
        <v>220</v>
      </c>
      <c r="G47" s="104">
        <v>45589</v>
      </c>
      <c r="H47" s="110" t="s">
        <v>99</v>
      </c>
      <c r="I47" s="20" t="s">
        <v>319</v>
      </c>
      <c r="J47" s="20">
        <v>120</v>
      </c>
      <c r="L47" s="104">
        <v>45590</v>
      </c>
      <c r="M47" s="107" t="s">
        <v>99</v>
      </c>
      <c r="N47" s="46" t="s">
        <v>320</v>
      </c>
      <c r="O47" s="46" t="s">
        <v>321</v>
      </c>
      <c r="Q47" s="104">
        <v>45591</v>
      </c>
      <c r="R47" s="110" t="s">
        <v>99</v>
      </c>
      <c r="S47" s="20" t="s">
        <v>89</v>
      </c>
      <c r="T47" s="20">
        <v>150</v>
      </c>
    </row>
    <row r="48" spans="2:20" x14ac:dyDescent="0.25">
      <c r="B48" s="105"/>
      <c r="C48" s="111"/>
      <c r="D48" s="17" t="s">
        <v>106</v>
      </c>
      <c r="E48" s="17">
        <v>200</v>
      </c>
      <c r="G48" s="105"/>
      <c r="H48" s="111"/>
      <c r="I48" s="17" t="s">
        <v>90</v>
      </c>
      <c r="J48" s="17">
        <v>150</v>
      </c>
      <c r="L48" s="105"/>
      <c r="M48" s="108"/>
      <c r="N48" s="46" t="s">
        <v>120</v>
      </c>
      <c r="O48" s="46" t="s">
        <v>322</v>
      </c>
      <c r="Q48" s="105"/>
      <c r="R48" s="111"/>
      <c r="S48" s="17" t="s">
        <v>106</v>
      </c>
      <c r="T48" s="17">
        <v>200</v>
      </c>
    </row>
    <row r="49" spans="2:22" x14ac:dyDescent="0.25">
      <c r="B49" s="105"/>
      <c r="C49" s="111"/>
      <c r="D49" s="17" t="s">
        <v>65</v>
      </c>
      <c r="E49" s="17"/>
      <c r="G49" s="105"/>
      <c r="H49" s="111"/>
      <c r="I49" s="17" t="s">
        <v>91</v>
      </c>
      <c r="J49" s="17">
        <v>100</v>
      </c>
      <c r="L49" s="105"/>
      <c r="M49" s="108"/>
      <c r="N49" s="46" t="s">
        <v>328</v>
      </c>
      <c r="O49" s="46">
        <v>15</v>
      </c>
      <c r="Q49" s="105"/>
      <c r="R49" s="111"/>
      <c r="S49" s="17" t="s">
        <v>91</v>
      </c>
      <c r="T49" s="17">
        <v>125</v>
      </c>
    </row>
    <row r="50" spans="2:22" x14ac:dyDescent="0.25">
      <c r="B50" s="105"/>
      <c r="C50" s="112"/>
      <c r="D50" s="17"/>
      <c r="E50" s="17"/>
      <c r="G50" s="105"/>
      <c r="H50" s="112"/>
      <c r="I50" s="17" t="s">
        <v>311</v>
      </c>
      <c r="J50" s="17"/>
      <c r="L50" s="105"/>
      <c r="M50" s="109"/>
      <c r="N50" s="46" t="s">
        <v>329</v>
      </c>
      <c r="O50" s="46"/>
      <c r="Q50" s="105"/>
      <c r="R50" s="112"/>
      <c r="S50" s="17" t="s">
        <v>139</v>
      </c>
      <c r="T50" s="17"/>
    </row>
    <row r="51" spans="2:22" x14ac:dyDescent="0.25">
      <c r="B51" s="105"/>
      <c r="C51" s="110" t="s">
        <v>92</v>
      </c>
      <c r="D51" s="17" t="s">
        <v>106</v>
      </c>
      <c r="E51" s="17">
        <v>150</v>
      </c>
      <c r="G51" s="105"/>
      <c r="H51" s="110" t="s">
        <v>92</v>
      </c>
      <c r="I51" s="17" t="s">
        <v>90</v>
      </c>
      <c r="J51" s="17">
        <v>150</v>
      </c>
      <c r="L51" s="105"/>
      <c r="M51" s="110" t="s">
        <v>92</v>
      </c>
      <c r="N51" s="17" t="s">
        <v>117</v>
      </c>
      <c r="O51" s="17">
        <v>150</v>
      </c>
      <c r="Q51" s="105"/>
      <c r="R51" s="110" t="s">
        <v>92</v>
      </c>
      <c r="S51" s="17" t="s">
        <v>106</v>
      </c>
      <c r="T51" s="17">
        <v>200</v>
      </c>
      <c r="V51" s="16">
        <f>450/16</f>
        <v>28.125</v>
      </c>
    </row>
    <row r="52" spans="2:22" x14ac:dyDescent="0.25">
      <c r="B52" s="105"/>
      <c r="C52" s="111"/>
      <c r="D52" s="17" t="s">
        <v>91</v>
      </c>
      <c r="E52" s="17">
        <v>250</v>
      </c>
      <c r="G52" s="105"/>
      <c r="H52" s="111"/>
      <c r="I52" s="17" t="s">
        <v>91</v>
      </c>
      <c r="J52" s="17">
        <v>200</v>
      </c>
      <c r="L52" s="105"/>
      <c r="M52" s="111"/>
      <c r="N52" s="17" t="s">
        <v>106</v>
      </c>
      <c r="O52" s="17">
        <v>200</v>
      </c>
      <c r="Q52" s="105"/>
      <c r="R52" s="111"/>
      <c r="S52" s="17" t="s">
        <v>91</v>
      </c>
      <c r="T52" s="17">
        <v>200</v>
      </c>
    </row>
    <row r="53" spans="2:22" x14ac:dyDescent="0.25">
      <c r="B53" s="105"/>
      <c r="C53" s="111"/>
      <c r="D53" s="17" t="s">
        <v>318</v>
      </c>
      <c r="E53" s="17"/>
      <c r="G53" s="105"/>
      <c r="H53" s="111"/>
      <c r="I53" s="17" t="s">
        <v>98</v>
      </c>
      <c r="J53" s="17"/>
      <c r="L53" s="105"/>
      <c r="M53" s="111"/>
      <c r="N53" s="17" t="s">
        <v>330</v>
      </c>
      <c r="O53" s="17"/>
      <c r="Q53" s="105"/>
      <c r="R53" s="111"/>
      <c r="S53" s="17" t="s">
        <v>143</v>
      </c>
      <c r="T53" s="17"/>
    </row>
    <row r="54" spans="2:22" x14ac:dyDescent="0.25">
      <c r="B54" s="106"/>
      <c r="C54" s="112"/>
      <c r="D54" s="17"/>
      <c r="E54" s="17"/>
      <c r="G54" s="106"/>
      <c r="H54" s="112"/>
      <c r="I54" s="17"/>
      <c r="J54" s="17"/>
      <c r="L54" s="106"/>
      <c r="M54" s="112"/>
      <c r="N54" s="17"/>
      <c r="O54" s="17"/>
      <c r="Q54" s="106"/>
      <c r="R54" s="112"/>
      <c r="S54" s="17"/>
      <c r="T54" s="17"/>
    </row>
    <row r="56" spans="2:22" x14ac:dyDescent="0.25">
      <c r="V56" s="16">
        <f>104*190+600*12.4</f>
        <v>27200</v>
      </c>
    </row>
    <row r="58" spans="2:22" x14ac:dyDescent="0.25">
      <c r="B58" s="104">
        <v>45592</v>
      </c>
      <c r="C58" s="110" t="s">
        <v>99</v>
      </c>
      <c r="D58" s="20" t="s">
        <v>117</v>
      </c>
      <c r="E58" s="20">
        <v>150</v>
      </c>
      <c r="G58" s="104">
        <v>45593</v>
      </c>
      <c r="H58" s="110" t="s">
        <v>99</v>
      </c>
      <c r="I58" s="20" t="s">
        <v>91</v>
      </c>
      <c r="J58" s="20">
        <v>250</v>
      </c>
      <c r="L58" s="104">
        <v>45594</v>
      </c>
      <c r="M58" s="110" t="s">
        <v>99</v>
      </c>
      <c r="N58" s="20" t="s">
        <v>106</v>
      </c>
      <c r="O58" s="20">
        <v>120</v>
      </c>
      <c r="Q58" s="104">
        <v>45595</v>
      </c>
      <c r="R58" s="113" t="s">
        <v>99</v>
      </c>
      <c r="S58" s="56" t="s">
        <v>357</v>
      </c>
      <c r="T58" s="56"/>
    </row>
    <row r="59" spans="2:22" x14ac:dyDescent="0.25">
      <c r="B59" s="105"/>
      <c r="C59" s="111"/>
      <c r="D59" s="17" t="s">
        <v>91</v>
      </c>
      <c r="E59" s="17">
        <v>180</v>
      </c>
      <c r="G59" s="105"/>
      <c r="H59" s="111"/>
      <c r="I59" s="17" t="s">
        <v>106</v>
      </c>
      <c r="J59" s="17">
        <v>120</v>
      </c>
      <c r="L59" s="105"/>
      <c r="M59" s="111"/>
      <c r="N59" s="17" t="s">
        <v>91</v>
      </c>
      <c r="O59" s="17">
        <v>150</v>
      </c>
      <c r="Q59" s="105"/>
      <c r="R59" s="114"/>
      <c r="S59" s="56" t="s">
        <v>106</v>
      </c>
      <c r="T59" s="56">
        <v>432</v>
      </c>
    </row>
    <row r="60" spans="2:22" x14ac:dyDescent="0.25">
      <c r="B60" s="105"/>
      <c r="C60" s="111"/>
      <c r="D60" s="17" t="s">
        <v>106</v>
      </c>
      <c r="E60" s="17">
        <v>130</v>
      </c>
      <c r="G60" s="105"/>
      <c r="H60" s="111"/>
      <c r="I60" s="17"/>
      <c r="J60" s="17">
        <v>80</v>
      </c>
      <c r="L60" s="105"/>
      <c r="M60" s="111"/>
      <c r="N60" s="17" t="s">
        <v>117</v>
      </c>
      <c r="O60" s="17">
        <v>150</v>
      </c>
      <c r="Q60" s="105"/>
      <c r="R60" s="114"/>
      <c r="S60" s="56" t="s">
        <v>358</v>
      </c>
      <c r="T60" s="56"/>
    </row>
    <row r="61" spans="2:22" x14ac:dyDescent="0.25">
      <c r="B61" s="105"/>
      <c r="C61" s="112"/>
      <c r="D61" s="17" t="s">
        <v>334</v>
      </c>
      <c r="E61" s="17"/>
      <c r="G61" s="105"/>
      <c r="H61" s="112"/>
      <c r="I61" s="17" t="s">
        <v>139</v>
      </c>
      <c r="J61" s="17"/>
      <c r="L61" s="105"/>
      <c r="M61" s="112"/>
      <c r="N61" s="17" t="s">
        <v>314</v>
      </c>
      <c r="O61" s="17"/>
      <c r="Q61" s="105"/>
      <c r="R61" s="115"/>
      <c r="S61" s="56" t="s">
        <v>359</v>
      </c>
      <c r="T61" s="56"/>
    </row>
    <row r="62" spans="2:22" x14ac:dyDescent="0.25">
      <c r="B62" s="105"/>
      <c r="C62" s="107" t="s">
        <v>92</v>
      </c>
      <c r="D62" s="46" t="s">
        <v>332</v>
      </c>
      <c r="E62" s="46"/>
      <c r="G62" s="105"/>
      <c r="H62" s="110" t="s">
        <v>92</v>
      </c>
      <c r="I62" s="17" t="s">
        <v>106</v>
      </c>
      <c r="J62" s="17">
        <v>170</v>
      </c>
      <c r="L62" s="105"/>
      <c r="M62" s="107" t="s">
        <v>92</v>
      </c>
      <c r="N62" s="46" t="s">
        <v>341</v>
      </c>
      <c r="O62" s="46"/>
      <c r="Q62" s="105"/>
      <c r="R62" s="110" t="s">
        <v>92</v>
      </c>
      <c r="S62" s="17" t="s">
        <v>106</v>
      </c>
      <c r="T62" s="17">
        <v>150</v>
      </c>
    </row>
    <row r="63" spans="2:22" x14ac:dyDescent="0.25">
      <c r="B63" s="105"/>
      <c r="C63" s="108"/>
      <c r="D63" s="46" t="s">
        <v>333</v>
      </c>
      <c r="E63" s="46"/>
      <c r="G63" s="105"/>
      <c r="H63" s="111"/>
      <c r="I63" s="17" t="s">
        <v>91</v>
      </c>
      <c r="J63" s="17">
        <v>250</v>
      </c>
      <c r="L63" s="105"/>
      <c r="M63" s="108"/>
      <c r="N63" s="46" t="s">
        <v>342</v>
      </c>
      <c r="O63" s="46"/>
      <c r="Q63" s="105"/>
      <c r="R63" s="111"/>
      <c r="S63" s="17" t="s">
        <v>91</v>
      </c>
      <c r="T63" s="17">
        <v>225</v>
      </c>
    </row>
    <row r="64" spans="2:22" x14ac:dyDescent="0.25">
      <c r="B64" s="105"/>
      <c r="C64" s="108"/>
      <c r="D64" s="46"/>
      <c r="E64" s="46"/>
      <c r="G64" s="105"/>
      <c r="H64" s="111"/>
      <c r="I64" s="17" t="s">
        <v>143</v>
      </c>
      <c r="J64" s="17"/>
      <c r="L64" s="105"/>
      <c r="M64" s="108"/>
      <c r="N64" s="46" t="s">
        <v>364</v>
      </c>
      <c r="O64" s="46"/>
      <c r="Q64" s="105"/>
      <c r="R64" s="111"/>
      <c r="S64" s="17" t="s">
        <v>354</v>
      </c>
      <c r="T64" s="17"/>
    </row>
    <row r="65" spans="2:23" x14ac:dyDescent="0.25">
      <c r="B65" s="106"/>
      <c r="C65" s="109"/>
      <c r="D65" s="46"/>
      <c r="E65" s="46"/>
      <c r="G65" s="106"/>
      <c r="H65" s="112"/>
      <c r="I65" s="17"/>
      <c r="J65" s="17"/>
      <c r="L65" s="106"/>
      <c r="M65" s="109"/>
      <c r="N65" s="46"/>
      <c r="O65" s="46"/>
      <c r="Q65" s="106"/>
      <c r="R65" s="112"/>
      <c r="S65" s="17"/>
      <c r="T65" s="17"/>
    </row>
    <row r="66" spans="2:23" x14ac:dyDescent="0.25">
      <c r="W66" s="16">
        <f>800</f>
        <v>800</v>
      </c>
    </row>
    <row r="67" spans="2:23" x14ac:dyDescent="0.25">
      <c r="W67" s="16">
        <f>50*12.4</f>
        <v>620</v>
      </c>
    </row>
    <row r="69" spans="2:23" x14ac:dyDescent="0.25">
      <c r="B69" s="104">
        <v>45596</v>
      </c>
      <c r="C69" s="110" t="s">
        <v>99</v>
      </c>
      <c r="D69" s="20" t="s">
        <v>260</v>
      </c>
      <c r="E69" s="20">
        <v>100</v>
      </c>
      <c r="G69" s="104">
        <v>45597</v>
      </c>
      <c r="H69" s="107" t="s">
        <v>99</v>
      </c>
      <c r="I69" s="46" t="s">
        <v>372</v>
      </c>
      <c r="J69" s="46">
        <f>26*16+25</f>
        <v>441</v>
      </c>
      <c r="L69" s="104">
        <v>45598</v>
      </c>
      <c r="M69" s="110" t="s">
        <v>99</v>
      </c>
      <c r="N69" s="20" t="s">
        <v>388</v>
      </c>
      <c r="O69" s="20">
        <v>135</v>
      </c>
      <c r="Q69" s="104">
        <v>45599</v>
      </c>
      <c r="R69" s="110" t="s">
        <v>99</v>
      </c>
      <c r="S69" s="20" t="s">
        <v>106</v>
      </c>
      <c r="T69" s="20">
        <v>100</v>
      </c>
    </row>
    <row r="70" spans="2:23" x14ac:dyDescent="0.25">
      <c r="B70" s="105"/>
      <c r="C70" s="111"/>
      <c r="D70" s="17" t="s">
        <v>93</v>
      </c>
      <c r="E70" s="17">
        <v>100</v>
      </c>
      <c r="G70" s="105"/>
      <c r="H70" s="108"/>
      <c r="I70" s="46" t="s">
        <v>149</v>
      </c>
      <c r="J70" s="46"/>
      <c r="L70" s="105"/>
      <c r="M70" s="111"/>
      <c r="N70" s="17" t="s">
        <v>106</v>
      </c>
      <c r="O70" s="17">
        <v>175</v>
      </c>
      <c r="Q70" s="105"/>
      <c r="R70" s="111"/>
      <c r="S70" s="17" t="s">
        <v>91</v>
      </c>
      <c r="T70" s="17">
        <v>200</v>
      </c>
    </row>
    <row r="71" spans="2:23" x14ac:dyDescent="0.25">
      <c r="B71" s="105"/>
      <c r="C71" s="111"/>
      <c r="D71" s="17" t="s">
        <v>106</v>
      </c>
      <c r="E71" s="17">
        <v>150</v>
      </c>
      <c r="G71" s="105"/>
      <c r="H71" s="108"/>
      <c r="I71" s="46" t="s">
        <v>329</v>
      </c>
      <c r="J71" s="46"/>
      <c r="L71" s="105"/>
      <c r="M71" s="111"/>
      <c r="N71" s="17" t="s">
        <v>91</v>
      </c>
      <c r="O71" s="17">
        <v>150</v>
      </c>
      <c r="Q71" s="105"/>
      <c r="R71" s="111"/>
      <c r="S71" s="17" t="s">
        <v>117</v>
      </c>
      <c r="T71" s="17">
        <v>150</v>
      </c>
    </row>
    <row r="72" spans="2:23" x14ac:dyDescent="0.25">
      <c r="B72" s="105"/>
      <c r="C72" s="112"/>
      <c r="D72" s="17"/>
      <c r="E72" s="17"/>
      <c r="G72" s="105"/>
      <c r="H72" s="109"/>
      <c r="I72" s="46"/>
      <c r="J72" s="46"/>
      <c r="L72" s="105"/>
      <c r="M72" s="112"/>
      <c r="N72" s="17" t="s">
        <v>139</v>
      </c>
      <c r="O72" s="17"/>
      <c r="Q72" s="105"/>
      <c r="R72" s="112"/>
      <c r="S72" s="17" t="s">
        <v>279</v>
      </c>
      <c r="T72" s="17"/>
    </row>
    <row r="73" spans="2:23" x14ac:dyDescent="0.25">
      <c r="B73" s="105"/>
      <c r="C73" s="107" t="s">
        <v>92</v>
      </c>
      <c r="D73" s="46" t="s">
        <v>369</v>
      </c>
      <c r="E73" s="46">
        <v>1650</v>
      </c>
      <c r="G73" s="105"/>
      <c r="H73" s="110" t="s">
        <v>92</v>
      </c>
      <c r="I73" s="17" t="s">
        <v>104</v>
      </c>
      <c r="J73" s="17">
        <v>135</v>
      </c>
      <c r="L73" s="105"/>
      <c r="M73" s="110" t="s">
        <v>92</v>
      </c>
      <c r="N73" s="17" t="s">
        <v>91</v>
      </c>
      <c r="O73" s="17">
        <v>275</v>
      </c>
      <c r="Q73" s="105"/>
      <c r="R73" s="107" t="s">
        <v>92</v>
      </c>
      <c r="S73" s="46" t="s">
        <v>294</v>
      </c>
      <c r="T73" s="46" t="s">
        <v>103</v>
      </c>
    </row>
    <row r="74" spans="2:23" x14ac:dyDescent="0.25">
      <c r="B74" s="105"/>
      <c r="C74" s="108"/>
      <c r="D74" s="46" t="s">
        <v>370</v>
      </c>
      <c r="E74" s="46" t="s">
        <v>371</v>
      </c>
      <c r="G74" s="105"/>
      <c r="H74" s="111"/>
      <c r="I74" s="17" t="s">
        <v>106</v>
      </c>
      <c r="J74" s="17">
        <v>150</v>
      </c>
      <c r="L74" s="105"/>
      <c r="M74" s="111"/>
      <c r="N74" s="17" t="s">
        <v>106</v>
      </c>
      <c r="O74" s="17">
        <v>175</v>
      </c>
      <c r="Q74" s="105"/>
      <c r="R74" s="108"/>
      <c r="S74" s="46" t="s">
        <v>333</v>
      </c>
      <c r="T74" s="46"/>
    </row>
    <row r="75" spans="2:23" x14ac:dyDescent="0.25">
      <c r="B75" s="105"/>
      <c r="C75" s="108"/>
      <c r="D75" s="46" t="s">
        <v>329</v>
      </c>
      <c r="E75" s="46"/>
      <c r="G75" s="105"/>
      <c r="H75" s="111"/>
      <c r="I75" s="17" t="s">
        <v>91</v>
      </c>
      <c r="J75" s="17">
        <v>100</v>
      </c>
      <c r="L75" s="105"/>
      <c r="M75" s="111"/>
      <c r="N75" s="17" t="s">
        <v>143</v>
      </c>
      <c r="O75" s="17"/>
      <c r="Q75" s="105"/>
      <c r="R75" s="108"/>
      <c r="S75" s="46"/>
      <c r="T75" s="46"/>
    </row>
    <row r="76" spans="2:23" x14ac:dyDescent="0.25">
      <c r="B76" s="106"/>
      <c r="C76" s="109"/>
      <c r="D76" s="46" t="s">
        <v>120</v>
      </c>
      <c r="E76" s="46" t="s">
        <v>322</v>
      </c>
      <c r="G76" s="106"/>
      <c r="H76" s="112"/>
      <c r="I76" s="17" t="s">
        <v>387</v>
      </c>
      <c r="J76" s="17"/>
      <c r="L76" s="106"/>
      <c r="M76" s="112"/>
      <c r="N76" s="17"/>
      <c r="O76" s="17"/>
      <c r="Q76" s="106"/>
      <c r="R76" s="109"/>
      <c r="S76" s="46"/>
      <c r="T76" s="46"/>
    </row>
    <row r="80" spans="2:23" x14ac:dyDescent="0.25">
      <c r="B80" s="104">
        <v>45600</v>
      </c>
      <c r="C80" s="110" t="s">
        <v>99</v>
      </c>
      <c r="D80" s="20" t="s">
        <v>106</v>
      </c>
      <c r="E80" s="20">
        <v>100</v>
      </c>
      <c r="G80" s="104">
        <v>45601</v>
      </c>
      <c r="H80" s="110" t="s">
        <v>99</v>
      </c>
      <c r="I80" s="20" t="s">
        <v>91</v>
      </c>
      <c r="J80" s="20">
        <v>250</v>
      </c>
      <c r="K80" s="16">
        <v>10</v>
      </c>
      <c r="L80" s="104">
        <v>45602</v>
      </c>
      <c r="M80" s="110" t="s">
        <v>99</v>
      </c>
      <c r="N80" s="20" t="s">
        <v>310</v>
      </c>
      <c r="O80" s="20">
        <v>250</v>
      </c>
      <c r="Q80" s="104">
        <v>45603</v>
      </c>
      <c r="R80" s="110" t="s">
        <v>99</v>
      </c>
      <c r="S80" s="20"/>
      <c r="T80" s="20"/>
    </row>
    <row r="81" spans="2:20" x14ac:dyDescent="0.25">
      <c r="B81" s="105"/>
      <c r="C81" s="111"/>
      <c r="D81" s="17" t="s">
        <v>91</v>
      </c>
      <c r="E81" s="17">
        <v>225</v>
      </c>
      <c r="F81" s="16">
        <v>5</v>
      </c>
      <c r="G81" s="105"/>
      <c r="H81" s="111"/>
      <c r="I81" s="17" t="s">
        <v>106</v>
      </c>
      <c r="J81" s="17">
        <v>200</v>
      </c>
      <c r="L81" s="105"/>
      <c r="M81" s="111"/>
      <c r="N81" s="17" t="s">
        <v>91</v>
      </c>
      <c r="O81" s="17">
        <v>100</v>
      </c>
      <c r="Q81" s="105"/>
      <c r="R81" s="111"/>
      <c r="S81" s="17"/>
      <c r="T81" s="17"/>
    </row>
    <row r="82" spans="2:20" x14ac:dyDescent="0.25">
      <c r="B82" s="105"/>
      <c r="C82" s="111"/>
      <c r="D82" s="17" t="s">
        <v>117</v>
      </c>
      <c r="E82" s="17">
        <v>135</v>
      </c>
      <c r="G82" s="105"/>
      <c r="H82" s="111"/>
      <c r="I82" s="17"/>
      <c r="J82" s="17"/>
      <c r="L82" s="105"/>
      <c r="M82" s="111"/>
      <c r="N82" s="17" t="s">
        <v>106</v>
      </c>
      <c r="O82" s="17">
        <v>100</v>
      </c>
      <c r="Q82" s="105"/>
      <c r="R82" s="111"/>
      <c r="S82" s="17"/>
      <c r="T82" s="17"/>
    </row>
    <row r="83" spans="2:20" x14ac:dyDescent="0.25">
      <c r="B83" s="105"/>
      <c r="C83" s="112"/>
      <c r="D83" s="17" t="s">
        <v>143</v>
      </c>
      <c r="E83" s="17"/>
      <c r="G83" s="105"/>
      <c r="H83" s="112"/>
      <c r="I83" s="17"/>
      <c r="J83" s="17"/>
      <c r="L83" s="105"/>
      <c r="M83" s="112"/>
      <c r="N83" s="17" t="s">
        <v>143</v>
      </c>
      <c r="O83" s="17"/>
      <c r="Q83" s="105"/>
      <c r="R83" s="112"/>
      <c r="S83" s="17"/>
      <c r="T83" s="17"/>
    </row>
    <row r="84" spans="2:20" x14ac:dyDescent="0.25">
      <c r="B84" s="105"/>
      <c r="C84" s="110" t="s">
        <v>92</v>
      </c>
      <c r="D84" s="17" t="s">
        <v>106</v>
      </c>
      <c r="E84" s="17">
        <v>150</v>
      </c>
      <c r="G84" s="105"/>
      <c r="H84" s="107" t="s">
        <v>92</v>
      </c>
      <c r="I84" s="46" t="s">
        <v>390</v>
      </c>
      <c r="J84" s="46"/>
      <c r="L84" s="105"/>
      <c r="M84" s="107" t="s">
        <v>92</v>
      </c>
      <c r="N84" s="46" t="s">
        <v>391</v>
      </c>
      <c r="O84" s="46"/>
      <c r="Q84" s="105"/>
      <c r="R84" s="110" t="s">
        <v>92</v>
      </c>
      <c r="S84" s="17"/>
      <c r="T84" s="17"/>
    </row>
    <row r="85" spans="2:20" x14ac:dyDescent="0.25">
      <c r="B85" s="105"/>
      <c r="C85" s="111"/>
      <c r="D85" s="17" t="s">
        <v>91</v>
      </c>
      <c r="E85" s="17">
        <v>275</v>
      </c>
      <c r="F85" s="16">
        <v>11</v>
      </c>
      <c r="G85" s="105"/>
      <c r="H85" s="108"/>
      <c r="I85" s="46" t="s">
        <v>91</v>
      </c>
      <c r="J85" s="46">
        <v>48</v>
      </c>
      <c r="K85" s="16">
        <v>3</v>
      </c>
      <c r="L85" s="105"/>
      <c r="M85" s="108"/>
      <c r="N85" s="46" t="s">
        <v>91</v>
      </c>
      <c r="O85" s="46"/>
      <c r="Q85" s="105"/>
      <c r="R85" s="111"/>
      <c r="S85" s="17"/>
      <c r="T85" s="17"/>
    </row>
    <row r="86" spans="2:20" x14ac:dyDescent="0.25">
      <c r="B86" s="105"/>
      <c r="C86" s="111"/>
      <c r="D86" s="17" t="s">
        <v>393</v>
      </c>
      <c r="E86" s="17"/>
      <c r="G86" s="105"/>
      <c r="H86" s="108"/>
      <c r="I86" s="46"/>
      <c r="J86" s="46"/>
      <c r="L86" s="105"/>
      <c r="M86" s="108"/>
      <c r="N86" s="46" t="s">
        <v>106</v>
      </c>
      <c r="O86" s="46"/>
      <c r="Q86" s="105"/>
      <c r="R86" s="111"/>
      <c r="S86" s="17"/>
      <c r="T86" s="17"/>
    </row>
    <row r="87" spans="2:20" x14ac:dyDescent="0.25">
      <c r="B87" s="106"/>
      <c r="C87" s="112"/>
      <c r="D87" s="17"/>
      <c r="E87" s="17"/>
      <c r="G87" s="106"/>
      <c r="H87" s="109"/>
      <c r="I87" s="46"/>
      <c r="J87" s="46"/>
      <c r="L87" s="106"/>
      <c r="M87" s="109"/>
      <c r="N87" s="46" t="s">
        <v>392</v>
      </c>
      <c r="O87" s="46"/>
      <c r="Q87" s="106"/>
      <c r="R87" s="112"/>
      <c r="S87" s="17"/>
      <c r="T87" s="17"/>
    </row>
    <row r="91" spans="2:20" x14ac:dyDescent="0.25">
      <c r="B91" s="104">
        <v>45604</v>
      </c>
      <c r="C91" s="107" t="s">
        <v>99</v>
      </c>
      <c r="D91" s="46"/>
      <c r="E91" s="46"/>
      <c r="G91" s="104">
        <v>45605</v>
      </c>
      <c r="H91" s="110" t="s">
        <v>99</v>
      </c>
      <c r="I91" s="20"/>
      <c r="J91" s="20"/>
    </row>
    <row r="92" spans="2:20" x14ac:dyDescent="0.25">
      <c r="B92" s="105"/>
      <c r="C92" s="108"/>
      <c r="D92" s="46"/>
      <c r="E92" s="46"/>
      <c r="G92" s="105"/>
      <c r="H92" s="111"/>
      <c r="I92" s="17"/>
      <c r="J92" s="17"/>
    </row>
    <row r="93" spans="2:20" x14ac:dyDescent="0.25">
      <c r="B93" s="105"/>
      <c r="C93" s="108"/>
      <c r="D93" s="46"/>
      <c r="E93" s="46"/>
      <c r="G93" s="105"/>
      <c r="H93" s="111"/>
      <c r="I93" s="17"/>
      <c r="J93" s="17"/>
    </row>
    <row r="94" spans="2:20" x14ac:dyDescent="0.25">
      <c r="B94" s="105"/>
      <c r="C94" s="109"/>
      <c r="D94" s="46"/>
      <c r="E94" s="46"/>
      <c r="G94" s="105"/>
      <c r="H94" s="112"/>
      <c r="I94" s="17"/>
      <c r="J94" s="17"/>
    </row>
    <row r="95" spans="2:20" x14ac:dyDescent="0.25">
      <c r="B95" s="105"/>
      <c r="C95" s="110" t="s">
        <v>92</v>
      </c>
      <c r="D95" s="17"/>
      <c r="E95" s="17"/>
      <c r="G95" s="105"/>
      <c r="H95" s="107" t="s">
        <v>92</v>
      </c>
      <c r="I95" s="46"/>
      <c r="J95" s="46"/>
      <c r="O95" s="16" t="s">
        <v>106</v>
      </c>
      <c r="P95" s="16">
        <f>250+200+75</f>
        <v>525</v>
      </c>
    </row>
    <row r="96" spans="2:20" x14ac:dyDescent="0.25">
      <c r="B96" s="105"/>
      <c r="C96" s="111"/>
      <c r="D96" s="17"/>
      <c r="E96" s="17"/>
      <c r="G96" s="105"/>
      <c r="H96" s="108"/>
      <c r="I96" s="46"/>
      <c r="J96" s="46"/>
      <c r="O96" s="16" t="s">
        <v>91</v>
      </c>
      <c r="P96" s="16">
        <v>29</v>
      </c>
    </row>
    <row r="97" spans="2:10" x14ac:dyDescent="0.25">
      <c r="B97" s="105"/>
      <c r="C97" s="111"/>
      <c r="D97" s="17"/>
      <c r="E97" s="17"/>
      <c r="G97" s="105"/>
      <c r="H97" s="108"/>
      <c r="I97" s="46"/>
      <c r="J97" s="46"/>
    </row>
    <row r="98" spans="2:10" x14ac:dyDescent="0.25">
      <c r="B98" s="106"/>
      <c r="C98" s="112"/>
      <c r="D98" s="17"/>
      <c r="E98" s="17"/>
      <c r="G98" s="106"/>
      <c r="H98" s="109"/>
      <c r="I98" s="46"/>
      <c r="J98" s="46"/>
    </row>
  </sheetData>
  <mergeCells count="90">
    <mergeCell ref="L69:L76"/>
    <mergeCell ref="M69:M72"/>
    <mergeCell ref="M73:M76"/>
    <mergeCell ref="Q69:Q76"/>
    <mergeCell ref="R69:R72"/>
    <mergeCell ref="R73:R76"/>
    <mergeCell ref="B69:B76"/>
    <mergeCell ref="C69:C72"/>
    <mergeCell ref="C73:C76"/>
    <mergeCell ref="G69:G76"/>
    <mergeCell ref="H69:H72"/>
    <mergeCell ref="H73:H76"/>
    <mergeCell ref="L58:L65"/>
    <mergeCell ref="M58:M61"/>
    <mergeCell ref="M62:M65"/>
    <mergeCell ref="Q58:Q65"/>
    <mergeCell ref="R58:R61"/>
    <mergeCell ref="R62:R65"/>
    <mergeCell ref="B58:B65"/>
    <mergeCell ref="C58:C61"/>
    <mergeCell ref="C62:C65"/>
    <mergeCell ref="G58:G65"/>
    <mergeCell ref="H58:H61"/>
    <mergeCell ref="H62:H65"/>
    <mergeCell ref="M47:M50"/>
    <mergeCell ref="Q47:Q54"/>
    <mergeCell ref="R47:R50"/>
    <mergeCell ref="C51:C54"/>
    <mergeCell ref="H51:H54"/>
    <mergeCell ref="M51:M54"/>
    <mergeCell ref="R51:R54"/>
    <mergeCell ref="B47:B54"/>
    <mergeCell ref="C47:C50"/>
    <mergeCell ref="G47:G54"/>
    <mergeCell ref="H47:H50"/>
    <mergeCell ref="L47:L54"/>
    <mergeCell ref="M36:M39"/>
    <mergeCell ref="Q36:Q43"/>
    <mergeCell ref="R36:R39"/>
    <mergeCell ref="C40:C43"/>
    <mergeCell ref="H40:H43"/>
    <mergeCell ref="M40:M43"/>
    <mergeCell ref="R40:R43"/>
    <mergeCell ref="B36:B43"/>
    <mergeCell ref="C36:C39"/>
    <mergeCell ref="G36:G43"/>
    <mergeCell ref="H36:H39"/>
    <mergeCell ref="L36:L43"/>
    <mergeCell ref="Q14:Q21"/>
    <mergeCell ref="R14:R17"/>
    <mergeCell ref="R18:R21"/>
    <mergeCell ref="H25:H28"/>
    <mergeCell ref="H29:H32"/>
    <mergeCell ref="H14:H17"/>
    <mergeCell ref="Q25:Q32"/>
    <mergeCell ref="R25:R28"/>
    <mergeCell ref="R29:R32"/>
    <mergeCell ref="L25:L32"/>
    <mergeCell ref="M25:M28"/>
    <mergeCell ref="M29:M32"/>
    <mergeCell ref="L14:L21"/>
    <mergeCell ref="M14:M17"/>
    <mergeCell ref="M18:M21"/>
    <mergeCell ref="H18:H21"/>
    <mergeCell ref="G25:G32"/>
    <mergeCell ref="B14:B21"/>
    <mergeCell ref="G14:G21"/>
    <mergeCell ref="C14:C17"/>
    <mergeCell ref="C18:C21"/>
    <mergeCell ref="B25:B32"/>
    <mergeCell ref="C25:C28"/>
    <mergeCell ref="C29:C32"/>
    <mergeCell ref="B80:B87"/>
    <mergeCell ref="C80:C83"/>
    <mergeCell ref="C84:C87"/>
    <mergeCell ref="G80:G87"/>
    <mergeCell ref="H80:H83"/>
    <mergeCell ref="H84:H87"/>
    <mergeCell ref="L80:L87"/>
    <mergeCell ref="M80:M83"/>
    <mergeCell ref="M84:M87"/>
    <mergeCell ref="Q80:Q87"/>
    <mergeCell ref="R80:R83"/>
    <mergeCell ref="R84:R87"/>
    <mergeCell ref="B91:B98"/>
    <mergeCell ref="C91:C94"/>
    <mergeCell ref="C95:C98"/>
    <mergeCell ref="G91:G98"/>
    <mergeCell ref="H91:H94"/>
    <mergeCell ref="H95:H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508F-0BE2-4988-A45B-2FD33BA43F96}">
  <dimension ref="G2:V40"/>
  <sheetViews>
    <sheetView topLeftCell="A12" workbookViewId="0">
      <selection activeCell="U27" sqref="U27"/>
    </sheetView>
  </sheetViews>
  <sheetFormatPr defaultRowHeight="15" x14ac:dyDescent="0.25"/>
  <cols>
    <col min="6" max="6" width="9.42578125" bestFit="1" customWidth="1"/>
    <col min="7" max="7" width="16.7109375" customWidth="1"/>
    <col min="9" max="9" width="19.5703125" customWidth="1"/>
    <col min="12" max="12" width="17.28515625" customWidth="1"/>
    <col min="13" max="13" width="15.5703125" customWidth="1"/>
    <col min="14" max="14" width="18.140625" customWidth="1"/>
    <col min="15" max="15" width="12.7109375" customWidth="1"/>
    <col min="22" max="22" width="9.85546875" bestFit="1" customWidth="1"/>
  </cols>
  <sheetData>
    <row r="2" spans="7:22" ht="18.75" x14ac:dyDescent="0.3">
      <c r="T2" s="117" t="s">
        <v>241</v>
      </c>
      <c r="U2" s="117"/>
      <c r="V2" s="39">
        <f>J13+O13+J22+O22+J31+O31+J40+O40</f>
        <v>201557</v>
      </c>
    </row>
    <row r="7" spans="7:22" ht="18.75" x14ac:dyDescent="0.25">
      <c r="G7" s="116">
        <v>45565</v>
      </c>
      <c r="H7" s="116"/>
      <c r="I7" s="116"/>
      <c r="J7" s="116"/>
      <c r="L7" s="116">
        <v>45566</v>
      </c>
      <c r="M7" s="116"/>
      <c r="N7" s="116"/>
      <c r="O7" s="116"/>
    </row>
    <row r="8" spans="7:22" ht="15.75" x14ac:dyDescent="0.25">
      <c r="G8" s="37" t="s">
        <v>37</v>
      </c>
      <c r="H8" s="37" t="s">
        <v>38</v>
      </c>
      <c r="I8" s="37" t="s">
        <v>240</v>
      </c>
      <c r="J8" s="37" t="s">
        <v>218</v>
      </c>
      <c r="L8" s="37" t="s">
        <v>37</v>
      </c>
      <c r="M8" s="37" t="s">
        <v>38</v>
      </c>
      <c r="N8" s="37" t="s">
        <v>240</v>
      </c>
      <c r="O8" s="37" t="s">
        <v>218</v>
      </c>
    </row>
    <row r="9" spans="7:22" x14ac:dyDescent="0.25">
      <c r="G9" s="17" t="s">
        <v>235</v>
      </c>
      <c r="H9" s="17">
        <f>'Boro Bazar'!H16+'Boro Bazar'!H32+'Boro Bazar'!R40</f>
        <v>105295</v>
      </c>
      <c r="I9" s="17" t="s">
        <v>238</v>
      </c>
      <c r="J9" s="17">
        <v>125353</v>
      </c>
      <c r="L9" s="17" t="s">
        <v>235</v>
      </c>
      <c r="M9" s="17">
        <v>0</v>
      </c>
      <c r="N9" s="17" t="s">
        <v>238</v>
      </c>
      <c r="O9" s="17">
        <v>14252</v>
      </c>
    </row>
    <row r="10" spans="7:22" x14ac:dyDescent="0.25">
      <c r="G10" s="17" t="s">
        <v>236</v>
      </c>
      <c r="H10" s="17">
        <f>'Regular Bazar'!F16+'Regular Bazar'!W2</f>
        <v>8990</v>
      </c>
      <c r="I10" s="17" t="s">
        <v>30</v>
      </c>
      <c r="J10" s="17">
        <v>1740</v>
      </c>
      <c r="L10" s="17" t="s">
        <v>236</v>
      </c>
      <c r="M10" s="17">
        <f>'Regular Bazar'!F29+'Regular Bazar'!W3</f>
        <v>14482</v>
      </c>
      <c r="N10" s="17" t="s">
        <v>30</v>
      </c>
      <c r="O10" s="17">
        <v>30</v>
      </c>
    </row>
    <row r="11" spans="7:22" x14ac:dyDescent="0.25">
      <c r="G11" s="17" t="s">
        <v>237</v>
      </c>
      <c r="H11" s="17">
        <v>23710</v>
      </c>
      <c r="I11" s="17" t="s">
        <v>239</v>
      </c>
      <c r="J11" s="17">
        <f>10715+200</f>
        <v>10915</v>
      </c>
      <c r="L11" s="17"/>
      <c r="M11" s="17"/>
      <c r="N11" s="17" t="s">
        <v>239</v>
      </c>
      <c r="O11" s="17">
        <v>200</v>
      </c>
    </row>
    <row r="12" spans="7:22" x14ac:dyDescent="0.25">
      <c r="G12" s="17"/>
      <c r="H12" s="17"/>
      <c r="I12" s="17" t="s">
        <v>237</v>
      </c>
      <c r="J12" s="17">
        <v>23710</v>
      </c>
      <c r="L12" s="17"/>
      <c r="M12" s="17"/>
      <c r="N12" s="17"/>
      <c r="O12" s="17"/>
    </row>
    <row r="13" spans="7:22" x14ac:dyDescent="0.25">
      <c r="G13" s="35" t="s">
        <v>26</v>
      </c>
      <c r="H13" s="35">
        <f>SUM(H9:H12)</f>
        <v>137995</v>
      </c>
      <c r="I13" s="35"/>
      <c r="J13" s="35">
        <f>SUM(J9:J11)</f>
        <v>138008</v>
      </c>
      <c r="L13" s="35" t="s">
        <v>26</v>
      </c>
      <c r="M13" s="35">
        <f>SUM(M9:M12)</f>
        <v>14482</v>
      </c>
      <c r="N13" s="35"/>
      <c r="O13" s="35">
        <f>SUM(O9:O12)</f>
        <v>14482</v>
      </c>
    </row>
    <row r="16" spans="7:22" ht="18.75" x14ac:dyDescent="0.25">
      <c r="G16" s="116">
        <v>45567</v>
      </c>
      <c r="H16" s="116"/>
      <c r="I16" s="116"/>
      <c r="J16" s="116"/>
      <c r="L16" s="116">
        <v>45568</v>
      </c>
      <c r="M16" s="116"/>
      <c r="N16" s="116"/>
      <c r="O16" s="116"/>
    </row>
    <row r="17" spans="7:15" ht="15.75" x14ac:dyDescent="0.25">
      <c r="G17" s="37" t="s">
        <v>37</v>
      </c>
      <c r="H17" s="37" t="s">
        <v>38</v>
      </c>
      <c r="I17" s="37" t="s">
        <v>240</v>
      </c>
      <c r="J17" s="37" t="s">
        <v>218</v>
      </c>
      <c r="L17" s="37" t="s">
        <v>37</v>
      </c>
      <c r="M17" s="37" t="s">
        <v>38</v>
      </c>
      <c r="N17" s="37" t="s">
        <v>240</v>
      </c>
      <c r="O17" s="37" t="s">
        <v>218</v>
      </c>
    </row>
    <row r="18" spans="7:15" x14ac:dyDescent="0.25">
      <c r="G18" s="17" t="s">
        <v>235</v>
      </c>
      <c r="H18" s="17">
        <v>0</v>
      </c>
      <c r="I18" s="17" t="s">
        <v>238</v>
      </c>
      <c r="J18" s="17">
        <v>8008</v>
      </c>
      <c r="L18" s="17" t="s">
        <v>235</v>
      </c>
      <c r="M18" s="17">
        <v>0</v>
      </c>
      <c r="N18" s="17" t="s">
        <v>238</v>
      </c>
      <c r="O18" s="17">
        <v>18319</v>
      </c>
    </row>
    <row r="19" spans="7:15" x14ac:dyDescent="0.25">
      <c r="G19" s="17" t="s">
        <v>236</v>
      </c>
      <c r="H19" s="17">
        <f>'Regular Bazar'!F42+'Regular Bazar'!W4</f>
        <v>8230</v>
      </c>
      <c r="I19" s="17" t="s">
        <v>30</v>
      </c>
      <c r="J19" s="17">
        <v>30</v>
      </c>
      <c r="L19" s="17" t="s">
        <v>236</v>
      </c>
      <c r="M19" s="17">
        <f>'Regular Bazar'!F56+'Regular Bazar'!W5</f>
        <v>18559</v>
      </c>
      <c r="N19" s="17" t="s">
        <v>30</v>
      </c>
      <c r="O19" s="17">
        <v>40</v>
      </c>
    </row>
    <row r="20" spans="7:15" x14ac:dyDescent="0.25">
      <c r="G20" s="17"/>
      <c r="H20" s="17"/>
      <c r="I20" s="17" t="s">
        <v>239</v>
      </c>
      <c r="J20" s="17">
        <v>200</v>
      </c>
      <c r="L20" s="17"/>
      <c r="M20" s="17"/>
      <c r="N20" s="17" t="s">
        <v>239</v>
      </c>
      <c r="O20" s="17">
        <v>200</v>
      </c>
    </row>
    <row r="21" spans="7:15" x14ac:dyDescent="0.25">
      <c r="G21" s="17"/>
      <c r="H21" s="17"/>
      <c r="I21" s="17"/>
      <c r="J21" s="17"/>
      <c r="L21" s="17"/>
      <c r="M21" s="17"/>
      <c r="N21" s="17"/>
      <c r="O21" s="17"/>
    </row>
    <row r="22" spans="7:15" x14ac:dyDescent="0.25">
      <c r="G22" s="35" t="s">
        <v>26</v>
      </c>
      <c r="H22" s="35">
        <f>SUM(H18:H21)</f>
        <v>8230</v>
      </c>
      <c r="I22" s="35"/>
      <c r="J22" s="35">
        <f>SUM(J18:J20)</f>
        <v>8238</v>
      </c>
      <c r="L22" s="35" t="s">
        <v>26</v>
      </c>
      <c r="M22" s="35">
        <f>SUM(M18:M21)</f>
        <v>18559</v>
      </c>
      <c r="N22" s="35"/>
      <c r="O22" s="35">
        <f>SUM(O18:O20)</f>
        <v>18559</v>
      </c>
    </row>
    <row r="25" spans="7:15" ht="18.75" x14ac:dyDescent="0.25">
      <c r="G25" s="116">
        <v>45569</v>
      </c>
      <c r="H25" s="116"/>
      <c r="I25" s="116"/>
      <c r="J25" s="116"/>
      <c r="L25" s="116">
        <v>45570</v>
      </c>
      <c r="M25" s="116"/>
      <c r="N25" s="116"/>
      <c r="O25" s="116"/>
    </row>
    <row r="26" spans="7:15" ht="15.75" x14ac:dyDescent="0.25">
      <c r="G26" s="37" t="s">
        <v>37</v>
      </c>
      <c r="H26" s="37" t="s">
        <v>38</v>
      </c>
      <c r="I26" s="37" t="s">
        <v>240</v>
      </c>
      <c r="J26" s="37" t="s">
        <v>218</v>
      </c>
      <c r="L26" s="37" t="s">
        <v>37</v>
      </c>
      <c r="M26" s="37" t="s">
        <v>38</v>
      </c>
      <c r="N26" s="37" t="s">
        <v>240</v>
      </c>
      <c r="O26" s="37" t="s">
        <v>218</v>
      </c>
    </row>
    <row r="27" spans="7:15" x14ac:dyDescent="0.25">
      <c r="G27" s="17" t="s">
        <v>235</v>
      </c>
      <c r="H27" s="17">
        <v>0</v>
      </c>
      <c r="I27" s="17" t="s">
        <v>238</v>
      </c>
      <c r="J27" s="17">
        <v>3650</v>
      </c>
      <c r="L27" s="17" t="s">
        <v>235</v>
      </c>
      <c r="M27" s="17">
        <v>0</v>
      </c>
      <c r="N27" s="17" t="s">
        <v>238</v>
      </c>
      <c r="O27" s="17">
        <v>7468</v>
      </c>
    </row>
    <row r="28" spans="7:15" x14ac:dyDescent="0.25">
      <c r="G28" s="17" t="s">
        <v>236</v>
      </c>
      <c r="H28" s="17">
        <f>'Regular Bazar'!F69+'Regular Bazar'!W6</f>
        <v>3880</v>
      </c>
      <c r="I28" s="17" t="s">
        <v>30</v>
      </c>
      <c r="J28" s="17">
        <v>30</v>
      </c>
      <c r="L28" s="17" t="s">
        <v>236</v>
      </c>
      <c r="M28" s="17">
        <f>'Regular Bazar'!F82+'Regular Bazar'!W7</f>
        <v>7778</v>
      </c>
      <c r="N28" s="17" t="s">
        <v>30</v>
      </c>
      <c r="O28" s="17">
        <v>30</v>
      </c>
    </row>
    <row r="29" spans="7:15" x14ac:dyDescent="0.25">
      <c r="G29" s="17"/>
      <c r="H29" s="17"/>
      <c r="I29" s="17" t="s">
        <v>239</v>
      </c>
      <c r="J29" s="17">
        <v>200</v>
      </c>
      <c r="L29" s="17"/>
      <c r="M29" s="17"/>
      <c r="N29" s="17" t="s">
        <v>239</v>
      </c>
      <c r="O29" s="17">
        <f>200+80</f>
        <v>280</v>
      </c>
    </row>
    <row r="30" spans="7:15" x14ac:dyDescent="0.25">
      <c r="G30" s="17"/>
      <c r="H30" s="17"/>
      <c r="I30" s="17"/>
      <c r="J30" s="17"/>
      <c r="L30" s="17"/>
      <c r="M30" s="17"/>
      <c r="N30" s="17"/>
      <c r="O30" s="17"/>
    </row>
    <row r="31" spans="7:15" x14ac:dyDescent="0.25">
      <c r="G31" s="35" t="s">
        <v>26</v>
      </c>
      <c r="H31" s="35">
        <f>SUM(H27:H30)</f>
        <v>3880</v>
      </c>
      <c r="I31" s="35"/>
      <c r="J31" s="35">
        <f>SUM(J27:J29)</f>
        <v>3880</v>
      </c>
      <c r="L31" s="35" t="s">
        <v>26</v>
      </c>
      <c r="M31" s="35">
        <f>SUM(M27:M30)</f>
        <v>7778</v>
      </c>
      <c r="N31" s="35"/>
      <c r="O31" s="35">
        <f>SUM(O27:O29)</f>
        <v>7778</v>
      </c>
    </row>
    <row r="34" spans="7:15" ht="18.75" x14ac:dyDescent="0.25">
      <c r="G34" s="116">
        <v>45571</v>
      </c>
      <c r="H34" s="116"/>
      <c r="I34" s="116"/>
      <c r="J34" s="116"/>
      <c r="L34" s="116">
        <v>45572</v>
      </c>
      <c r="M34" s="116"/>
      <c r="N34" s="116"/>
      <c r="O34" s="116"/>
    </row>
    <row r="35" spans="7:15" ht="15.75" x14ac:dyDescent="0.25">
      <c r="G35" s="37" t="s">
        <v>37</v>
      </c>
      <c r="H35" s="37" t="s">
        <v>38</v>
      </c>
      <c r="I35" s="37" t="s">
        <v>240</v>
      </c>
      <c r="J35" s="37" t="s">
        <v>218</v>
      </c>
      <c r="L35" s="37" t="s">
        <v>37</v>
      </c>
      <c r="M35" s="37" t="s">
        <v>38</v>
      </c>
      <c r="N35" s="37" t="s">
        <v>240</v>
      </c>
      <c r="O35" s="37" t="s">
        <v>218</v>
      </c>
    </row>
    <row r="36" spans="7:15" x14ac:dyDescent="0.25">
      <c r="G36" s="17" t="s">
        <v>235</v>
      </c>
      <c r="H36" s="17">
        <f>'Boro Bazar'!Z40</f>
        <v>2467</v>
      </c>
      <c r="I36" s="17" t="s">
        <v>238</v>
      </c>
      <c r="J36" s="17">
        <v>4272</v>
      </c>
      <c r="L36" s="17" t="s">
        <v>235</v>
      </c>
      <c r="M36" s="17">
        <v>0</v>
      </c>
      <c r="N36" s="17" t="s">
        <v>238</v>
      </c>
      <c r="O36" s="17">
        <v>3798</v>
      </c>
    </row>
    <row r="37" spans="7:15" x14ac:dyDescent="0.25">
      <c r="G37" s="17" t="s">
        <v>236</v>
      </c>
      <c r="H37" s="17">
        <f>'Regular Bazar'!F95+'Regular Bazar'!W8</f>
        <v>3930</v>
      </c>
      <c r="I37" s="17" t="s">
        <v>30</v>
      </c>
      <c r="J37" s="17">
        <v>50</v>
      </c>
      <c r="L37" s="17" t="s">
        <v>236</v>
      </c>
      <c r="M37" s="17">
        <f>'Regular Bazar'!F108+'Regular Bazar'!W9</f>
        <v>4208</v>
      </c>
      <c r="N37" s="17" t="s">
        <v>30</v>
      </c>
      <c r="O37" s="17"/>
    </row>
    <row r="38" spans="7:15" x14ac:dyDescent="0.25">
      <c r="G38" s="17"/>
      <c r="H38" s="17"/>
      <c r="I38" s="17" t="s">
        <v>239</v>
      </c>
      <c r="J38" s="17">
        <v>2082</v>
      </c>
      <c r="L38" s="17"/>
      <c r="M38" s="17"/>
      <c r="N38" s="17" t="s">
        <v>239</v>
      </c>
      <c r="O38" s="17">
        <f>200+210</f>
        <v>410</v>
      </c>
    </row>
    <row r="39" spans="7:15" x14ac:dyDescent="0.25">
      <c r="G39" s="17"/>
      <c r="H39" s="17"/>
      <c r="I39" s="17"/>
      <c r="J39" s="17"/>
      <c r="L39" s="17"/>
      <c r="M39" s="17"/>
      <c r="N39" s="17"/>
      <c r="O39" s="17"/>
    </row>
    <row r="40" spans="7:15" x14ac:dyDescent="0.25">
      <c r="G40" s="35" t="s">
        <v>26</v>
      </c>
      <c r="H40" s="35">
        <f>SUM(H36:H39)</f>
        <v>6397</v>
      </c>
      <c r="I40" s="35"/>
      <c r="J40" s="35">
        <f>SUM(J36:J38)</f>
        <v>6404</v>
      </c>
      <c r="L40" s="35" t="s">
        <v>26</v>
      </c>
      <c r="M40" s="35">
        <f>SUM(M36:M39)</f>
        <v>4208</v>
      </c>
      <c r="N40" s="35"/>
      <c r="O40" s="35">
        <f>SUM(O36:O38)</f>
        <v>4208</v>
      </c>
    </row>
  </sheetData>
  <mergeCells count="9">
    <mergeCell ref="G34:J34"/>
    <mergeCell ref="L34:O34"/>
    <mergeCell ref="T2:U2"/>
    <mergeCell ref="G7:J7"/>
    <mergeCell ref="L7:O7"/>
    <mergeCell ref="G16:J16"/>
    <mergeCell ref="L16:O16"/>
    <mergeCell ref="G25:J25"/>
    <mergeCell ref="L25:O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CACE-288D-4557-9530-74C1C5EEA3F4}">
  <dimension ref="D4:Z90"/>
  <sheetViews>
    <sheetView tabSelected="1" topLeftCell="D72" zoomScale="130" zoomScaleNormal="130" workbookViewId="0">
      <selection activeCell="N95" sqref="N95"/>
    </sheetView>
  </sheetViews>
  <sheetFormatPr defaultRowHeight="15" x14ac:dyDescent="0.25"/>
  <cols>
    <col min="4" max="4" width="15.28515625" customWidth="1"/>
    <col min="15" max="15" width="36" customWidth="1"/>
    <col min="18" max="18" width="27.140625" customWidth="1"/>
    <col min="19" max="19" width="21.7109375" customWidth="1"/>
    <col min="20" max="20" width="28.28515625" customWidth="1"/>
    <col min="21" max="21" width="17.7109375" customWidth="1"/>
    <col min="22" max="22" width="15.28515625" customWidth="1"/>
    <col min="23" max="23" width="12.85546875" customWidth="1"/>
    <col min="24" max="24" width="20.28515625" customWidth="1"/>
    <col min="25" max="25" width="14.42578125" customWidth="1"/>
  </cols>
  <sheetData>
    <row r="4" spans="4:22" ht="25.5" x14ac:dyDescent="0.25">
      <c r="D4" t="s">
        <v>42</v>
      </c>
      <c r="E4">
        <v>50</v>
      </c>
      <c r="F4" t="s">
        <v>204</v>
      </c>
      <c r="G4">
        <f>E4*50</f>
        <v>2500</v>
      </c>
      <c r="H4">
        <f>'Idea Per head cost calc'!Z35</f>
        <v>2429</v>
      </c>
      <c r="I4" t="s">
        <v>207</v>
      </c>
      <c r="J4">
        <f>G4-H4</f>
        <v>71</v>
      </c>
      <c r="L4" s="65" t="s">
        <v>0</v>
      </c>
      <c r="M4" s="65"/>
      <c r="N4" s="65"/>
      <c r="O4" s="65"/>
      <c r="P4" s="65"/>
      <c r="Q4" s="65"/>
      <c r="R4" s="65"/>
      <c r="S4" s="65"/>
    </row>
    <row r="5" spans="4:22" ht="18.75" x14ac:dyDescent="0.25">
      <c r="D5" t="s">
        <v>171</v>
      </c>
      <c r="E5">
        <v>7</v>
      </c>
      <c r="F5" t="s">
        <v>204</v>
      </c>
      <c r="G5">
        <f>E5*50</f>
        <v>350</v>
      </c>
      <c r="H5">
        <f>'Idea Per head cost calc'!AE35</f>
        <v>300</v>
      </c>
      <c r="I5" t="s">
        <v>207</v>
      </c>
      <c r="J5">
        <f t="shared" ref="J5:J51" si="0">G5-H5</f>
        <v>50</v>
      </c>
      <c r="L5" s="64" t="s">
        <v>22</v>
      </c>
      <c r="M5" s="64"/>
      <c r="N5" s="2" t="s">
        <v>23</v>
      </c>
      <c r="O5" s="2" t="s">
        <v>24</v>
      </c>
      <c r="P5" s="2" t="s">
        <v>25</v>
      </c>
      <c r="Q5" s="3"/>
      <c r="R5" s="3"/>
      <c r="S5" s="3"/>
    </row>
    <row r="6" spans="4:22" x14ac:dyDescent="0.25">
      <c r="D6" t="s">
        <v>172</v>
      </c>
      <c r="E6">
        <v>4</v>
      </c>
      <c r="F6" t="s">
        <v>204</v>
      </c>
      <c r="G6">
        <f>E6*50</f>
        <v>200</v>
      </c>
      <c r="H6">
        <f>'Idea Per head cost calc'!AD35</f>
        <v>245</v>
      </c>
      <c r="I6" t="s">
        <v>207</v>
      </c>
      <c r="J6">
        <f t="shared" si="0"/>
        <v>-45</v>
      </c>
      <c r="L6" s="60" t="s">
        <v>1</v>
      </c>
      <c r="M6" s="60" t="s">
        <v>1</v>
      </c>
      <c r="N6" s="3" t="s">
        <v>14</v>
      </c>
      <c r="O6" s="4">
        <f>P6/0.6</f>
        <v>166.66666666666669</v>
      </c>
      <c r="P6" s="3">
        <v>100</v>
      </c>
      <c r="Q6" s="3"/>
      <c r="R6" s="3"/>
      <c r="S6" s="3"/>
    </row>
    <row r="7" spans="4:22" x14ac:dyDescent="0.25">
      <c r="D7" t="s">
        <v>166</v>
      </c>
      <c r="E7">
        <v>9</v>
      </c>
      <c r="F7" t="s">
        <v>204</v>
      </c>
      <c r="G7">
        <f>E7*25</f>
        <v>225</v>
      </c>
      <c r="H7">
        <f>'Idea Per head cost calc'!AB35</f>
        <v>227</v>
      </c>
      <c r="I7" t="s">
        <v>207</v>
      </c>
      <c r="J7">
        <f t="shared" si="0"/>
        <v>-2</v>
      </c>
      <c r="L7" s="60" t="s">
        <v>2</v>
      </c>
      <c r="M7" s="60" t="s">
        <v>2</v>
      </c>
      <c r="N7" s="3"/>
      <c r="O7" s="3"/>
      <c r="P7" s="3">
        <v>420</v>
      </c>
      <c r="Q7" s="3"/>
      <c r="R7" s="3"/>
      <c r="S7" s="3"/>
    </row>
    <row r="8" spans="4:22" x14ac:dyDescent="0.25">
      <c r="D8" t="s">
        <v>220</v>
      </c>
      <c r="E8">
        <v>2</v>
      </c>
      <c r="F8" t="s">
        <v>204</v>
      </c>
      <c r="G8">
        <f>E8*25</f>
        <v>50</v>
      </c>
      <c r="H8">
        <f>'Idea Per head cost calc'!AC35</f>
        <v>58.5</v>
      </c>
      <c r="I8" t="s">
        <v>207</v>
      </c>
      <c r="J8">
        <f t="shared" si="0"/>
        <v>-8.5</v>
      </c>
      <c r="L8" s="60" t="s">
        <v>3</v>
      </c>
      <c r="M8" s="60" t="s">
        <v>3</v>
      </c>
      <c r="N8" s="3" t="s">
        <v>15</v>
      </c>
      <c r="O8" s="3">
        <f>P8/2</f>
        <v>260</v>
      </c>
      <c r="P8" s="3">
        <v>520</v>
      </c>
      <c r="Q8" s="3"/>
      <c r="R8" s="3"/>
      <c r="S8" s="3"/>
    </row>
    <row r="9" spans="4:22" x14ac:dyDescent="0.25">
      <c r="D9" t="s">
        <v>173</v>
      </c>
      <c r="E9">
        <v>1</v>
      </c>
      <c r="F9" t="s">
        <v>204</v>
      </c>
      <c r="G9">
        <f>E9*25</f>
        <v>25</v>
      </c>
      <c r="H9">
        <v>10</v>
      </c>
      <c r="I9" t="s">
        <v>207</v>
      </c>
      <c r="J9">
        <f t="shared" si="0"/>
        <v>15</v>
      </c>
      <c r="L9" s="60" t="s">
        <v>4</v>
      </c>
      <c r="M9" s="60" t="s">
        <v>4</v>
      </c>
      <c r="N9" s="3" t="s">
        <v>16</v>
      </c>
      <c r="O9" s="3">
        <v>316</v>
      </c>
      <c r="P9" s="3">
        <v>316</v>
      </c>
      <c r="Q9" s="3"/>
      <c r="R9" s="3"/>
      <c r="S9" s="3"/>
    </row>
    <row r="10" spans="4:22" x14ac:dyDescent="0.25">
      <c r="D10" t="s">
        <v>174</v>
      </c>
      <c r="E10">
        <v>20</v>
      </c>
      <c r="F10" t="s">
        <v>205</v>
      </c>
      <c r="G10">
        <f>E10*20</f>
        <v>400</v>
      </c>
      <c r="H10">
        <f>'Idea Per head cost calc'!AA35</f>
        <v>365</v>
      </c>
      <c r="I10" t="s">
        <v>206</v>
      </c>
      <c r="J10">
        <f t="shared" si="0"/>
        <v>35</v>
      </c>
      <c r="L10" s="60" t="s">
        <v>5</v>
      </c>
      <c r="M10" s="60" t="s">
        <v>5</v>
      </c>
      <c r="N10" s="3" t="s">
        <v>16</v>
      </c>
      <c r="O10" s="3">
        <v>680</v>
      </c>
      <c r="P10" s="3">
        <v>680</v>
      </c>
      <c r="Q10" s="3"/>
      <c r="R10" s="3"/>
      <c r="S10" s="3"/>
    </row>
    <row r="11" spans="4:22" x14ac:dyDescent="0.25">
      <c r="D11" t="s">
        <v>175</v>
      </c>
      <c r="E11">
        <v>4</v>
      </c>
      <c r="F11" t="s">
        <v>206</v>
      </c>
      <c r="I11" t="s">
        <v>207</v>
      </c>
      <c r="J11">
        <f t="shared" si="0"/>
        <v>0</v>
      </c>
      <c r="L11" s="60" t="s">
        <v>6</v>
      </c>
      <c r="M11" s="60" t="s">
        <v>6</v>
      </c>
      <c r="N11" s="3" t="s">
        <v>17</v>
      </c>
      <c r="O11" s="3">
        <f>P11/0.5</f>
        <v>3100</v>
      </c>
      <c r="P11" s="3">
        <v>1550</v>
      </c>
      <c r="Q11" s="3"/>
      <c r="R11" s="3"/>
      <c r="S11" s="3"/>
    </row>
    <row r="12" spans="4:22" x14ac:dyDescent="0.25">
      <c r="D12" t="s">
        <v>164</v>
      </c>
      <c r="E12">
        <v>12</v>
      </c>
      <c r="F12" t="s">
        <v>207</v>
      </c>
      <c r="G12">
        <f>E12</f>
        <v>12</v>
      </c>
      <c r="H12">
        <v>1.5</v>
      </c>
      <c r="I12" t="s">
        <v>207</v>
      </c>
      <c r="J12">
        <f t="shared" si="0"/>
        <v>10.5</v>
      </c>
      <c r="L12" s="60" t="s">
        <v>7</v>
      </c>
      <c r="M12" s="60" t="s">
        <v>7</v>
      </c>
      <c r="N12" s="3" t="s">
        <v>18</v>
      </c>
      <c r="O12" s="3">
        <f>P12/0.25</f>
        <v>1520</v>
      </c>
      <c r="P12" s="3">
        <v>380</v>
      </c>
      <c r="Q12" s="3"/>
      <c r="R12" s="3"/>
      <c r="S12" s="3"/>
      <c r="V12">
        <f>450+270</f>
        <v>720</v>
      </c>
    </row>
    <row r="13" spans="4:22" x14ac:dyDescent="0.25">
      <c r="D13" t="s">
        <v>176</v>
      </c>
      <c r="E13">
        <v>3.5</v>
      </c>
      <c r="F13" t="s">
        <v>207</v>
      </c>
      <c r="G13">
        <f t="shared" ref="G13:G51" si="1">E13</f>
        <v>3.5</v>
      </c>
      <c r="H13">
        <v>0.5</v>
      </c>
      <c r="I13" t="s">
        <v>207</v>
      </c>
      <c r="J13">
        <f t="shared" si="0"/>
        <v>3</v>
      </c>
      <c r="L13" s="60" t="s">
        <v>8</v>
      </c>
      <c r="M13" s="60" t="s">
        <v>8</v>
      </c>
      <c r="N13" s="3" t="s">
        <v>19</v>
      </c>
      <c r="O13" s="3">
        <f>P13/16</f>
        <v>20.75</v>
      </c>
      <c r="P13" s="3">
        <v>332</v>
      </c>
      <c r="Q13" s="3"/>
      <c r="R13" s="3"/>
      <c r="S13" s="3"/>
    </row>
    <row r="14" spans="4:22" x14ac:dyDescent="0.25">
      <c r="D14" t="s">
        <v>177</v>
      </c>
      <c r="E14">
        <v>7</v>
      </c>
      <c r="F14" t="s">
        <v>207</v>
      </c>
      <c r="G14">
        <f t="shared" si="1"/>
        <v>7</v>
      </c>
      <c r="H14">
        <v>2</v>
      </c>
      <c r="I14" t="s">
        <v>207</v>
      </c>
      <c r="J14">
        <f t="shared" si="0"/>
        <v>5</v>
      </c>
      <c r="L14" s="60" t="s">
        <v>9</v>
      </c>
      <c r="M14" s="60" t="s">
        <v>9</v>
      </c>
      <c r="N14" s="3" t="s">
        <v>15</v>
      </c>
      <c r="O14" s="3">
        <f>P14/2</f>
        <v>160</v>
      </c>
      <c r="P14" s="3">
        <v>320</v>
      </c>
      <c r="Q14" s="3"/>
      <c r="R14" s="3"/>
      <c r="S14" s="3"/>
    </row>
    <row r="15" spans="4:22" x14ac:dyDescent="0.25">
      <c r="D15" t="s">
        <v>178</v>
      </c>
      <c r="E15">
        <v>2</v>
      </c>
      <c r="F15" t="s">
        <v>207</v>
      </c>
      <c r="G15">
        <f t="shared" si="1"/>
        <v>2</v>
      </c>
      <c r="H15">
        <v>0.25</v>
      </c>
      <c r="I15" t="s">
        <v>207</v>
      </c>
      <c r="J15">
        <f t="shared" si="0"/>
        <v>1.75</v>
      </c>
      <c r="L15" s="60" t="s">
        <v>10</v>
      </c>
      <c r="M15" s="60" t="s">
        <v>10</v>
      </c>
      <c r="N15" s="3">
        <v>45</v>
      </c>
      <c r="O15" s="3">
        <f>P15/45</f>
        <v>45</v>
      </c>
      <c r="P15" s="3">
        <v>2025</v>
      </c>
      <c r="Q15" s="3"/>
      <c r="R15" s="3"/>
      <c r="S15" s="3"/>
    </row>
    <row r="16" spans="4:22" x14ac:dyDescent="0.25">
      <c r="D16" t="s">
        <v>179</v>
      </c>
      <c r="E16">
        <v>5</v>
      </c>
      <c r="F16" t="s">
        <v>207</v>
      </c>
      <c r="G16">
        <f t="shared" si="1"/>
        <v>5</v>
      </c>
      <c r="I16" t="s">
        <v>207</v>
      </c>
      <c r="J16">
        <f t="shared" si="0"/>
        <v>5</v>
      </c>
      <c r="L16" s="60" t="s">
        <v>11</v>
      </c>
      <c r="M16" s="60" t="s">
        <v>11</v>
      </c>
      <c r="N16" s="3" t="s">
        <v>20</v>
      </c>
      <c r="O16" s="3">
        <f>P16/9</f>
        <v>96</v>
      </c>
      <c r="P16" s="3">
        <v>864</v>
      </c>
      <c r="Q16" s="3"/>
      <c r="R16" s="3"/>
      <c r="S16" s="3"/>
    </row>
    <row r="17" spans="4:26" x14ac:dyDescent="0.25">
      <c r="D17" t="s">
        <v>180</v>
      </c>
      <c r="E17">
        <v>20</v>
      </c>
      <c r="F17" t="s">
        <v>207</v>
      </c>
      <c r="G17">
        <f t="shared" si="1"/>
        <v>20</v>
      </c>
      <c r="H17">
        <v>5</v>
      </c>
      <c r="I17" t="s">
        <v>207</v>
      </c>
      <c r="J17">
        <f t="shared" si="0"/>
        <v>15</v>
      </c>
      <c r="L17" s="60" t="s">
        <v>12</v>
      </c>
      <c r="M17" s="60" t="s">
        <v>12</v>
      </c>
      <c r="N17" s="3" t="s">
        <v>21</v>
      </c>
      <c r="O17" s="3">
        <f>P17/200</f>
        <v>57</v>
      </c>
      <c r="P17" s="3">
        <v>11400</v>
      </c>
      <c r="Q17" s="3"/>
      <c r="R17" s="3"/>
      <c r="S17" s="3"/>
    </row>
    <row r="18" spans="4:26" x14ac:dyDescent="0.25">
      <c r="D18" t="s">
        <v>60</v>
      </c>
      <c r="E18">
        <v>25</v>
      </c>
      <c r="F18" t="s">
        <v>207</v>
      </c>
      <c r="G18">
        <f t="shared" si="1"/>
        <v>25</v>
      </c>
      <c r="H18">
        <v>4</v>
      </c>
      <c r="I18" t="s">
        <v>207</v>
      </c>
      <c r="J18">
        <f t="shared" si="0"/>
        <v>21</v>
      </c>
      <c r="L18" s="60" t="s">
        <v>13</v>
      </c>
      <c r="M18" s="60" t="s">
        <v>13</v>
      </c>
      <c r="N18" s="3"/>
      <c r="O18" s="3">
        <f>P18/45</f>
        <v>70</v>
      </c>
      <c r="P18" s="3">
        <v>3150</v>
      </c>
      <c r="Q18" s="3"/>
      <c r="R18" s="3"/>
      <c r="S18" s="3"/>
    </row>
    <row r="19" spans="4:26" x14ac:dyDescent="0.25">
      <c r="D19" t="s">
        <v>181</v>
      </c>
      <c r="E19">
        <v>12</v>
      </c>
      <c r="F19" t="s">
        <v>209</v>
      </c>
      <c r="G19">
        <f t="shared" si="1"/>
        <v>12</v>
      </c>
      <c r="J19">
        <f t="shared" si="0"/>
        <v>12</v>
      </c>
      <c r="L19" s="60" t="s">
        <v>42</v>
      </c>
      <c r="M19" s="60"/>
      <c r="N19" s="3" t="s">
        <v>43</v>
      </c>
      <c r="O19" s="3">
        <v>57</v>
      </c>
      <c r="P19" s="3">
        <f>O19*29</f>
        <v>1653</v>
      </c>
      <c r="Q19" s="3"/>
      <c r="R19" s="3"/>
      <c r="S19" s="3"/>
    </row>
    <row r="20" spans="4:26" x14ac:dyDescent="0.25">
      <c r="D20" t="s">
        <v>208</v>
      </c>
      <c r="E20">
        <v>50</v>
      </c>
      <c r="F20" t="s">
        <v>209</v>
      </c>
      <c r="G20">
        <f t="shared" si="1"/>
        <v>50</v>
      </c>
      <c r="J20">
        <f t="shared" si="0"/>
        <v>50</v>
      </c>
      <c r="L20" s="60"/>
      <c r="M20" s="60"/>
      <c r="N20" s="3"/>
      <c r="O20" s="5" t="s">
        <v>26</v>
      </c>
      <c r="P20" s="6">
        <f>SUM(P6:P19)</f>
        <v>23710</v>
      </c>
      <c r="Q20" s="3"/>
      <c r="R20" s="3"/>
      <c r="S20" s="3"/>
    </row>
    <row r="21" spans="4:26" x14ac:dyDescent="0.25">
      <c r="D21" t="s">
        <v>210</v>
      </c>
      <c r="E21">
        <v>1</v>
      </c>
      <c r="F21" t="s">
        <v>207</v>
      </c>
      <c r="G21">
        <f t="shared" si="1"/>
        <v>1</v>
      </c>
      <c r="J21">
        <f t="shared" si="0"/>
        <v>1</v>
      </c>
    </row>
    <row r="22" spans="4:26" x14ac:dyDescent="0.25">
      <c r="D22" t="s">
        <v>182</v>
      </c>
      <c r="E22">
        <v>25</v>
      </c>
      <c r="F22" t="s">
        <v>207</v>
      </c>
      <c r="G22">
        <f t="shared" si="1"/>
        <v>25</v>
      </c>
      <c r="H22">
        <v>5</v>
      </c>
      <c r="J22">
        <f t="shared" si="0"/>
        <v>20</v>
      </c>
    </row>
    <row r="23" spans="4:26" x14ac:dyDescent="0.25">
      <c r="D23" t="s">
        <v>183</v>
      </c>
      <c r="E23">
        <v>3</v>
      </c>
      <c r="F23" t="s">
        <v>207</v>
      </c>
      <c r="G23">
        <f t="shared" si="1"/>
        <v>3</v>
      </c>
      <c r="H23">
        <v>0.25</v>
      </c>
      <c r="J23">
        <f t="shared" si="0"/>
        <v>2.75</v>
      </c>
    </row>
    <row r="24" spans="4:26" x14ac:dyDescent="0.25">
      <c r="D24" t="s">
        <v>211</v>
      </c>
      <c r="E24">
        <v>3</v>
      </c>
      <c r="F24" t="s">
        <v>207</v>
      </c>
      <c r="G24">
        <f t="shared" si="1"/>
        <v>3</v>
      </c>
      <c r="H24">
        <v>0.25</v>
      </c>
      <c r="J24">
        <f t="shared" si="0"/>
        <v>2.75</v>
      </c>
    </row>
    <row r="25" spans="4:26" x14ac:dyDescent="0.25">
      <c r="D25" t="s">
        <v>184</v>
      </c>
      <c r="E25">
        <v>40</v>
      </c>
      <c r="F25" t="s">
        <v>209</v>
      </c>
      <c r="G25">
        <f t="shared" si="1"/>
        <v>40</v>
      </c>
      <c r="H25">
        <v>7</v>
      </c>
      <c r="I25" t="s">
        <v>209</v>
      </c>
      <c r="J25">
        <f t="shared" si="0"/>
        <v>33</v>
      </c>
    </row>
    <row r="26" spans="4:26" x14ac:dyDescent="0.25">
      <c r="D26" t="s">
        <v>212</v>
      </c>
      <c r="E26">
        <v>10</v>
      </c>
      <c r="F26" t="s">
        <v>209</v>
      </c>
      <c r="G26">
        <f t="shared" si="1"/>
        <v>10</v>
      </c>
      <c r="J26">
        <f t="shared" si="0"/>
        <v>10</v>
      </c>
      <c r="V26" s="12" t="s">
        <v>286</v>
      </c>
      <c r="W26" s="12">
        <v>1071000</v>
      </c>
      <c r="X26" s="12" t="s">
        <v>289</v>
      </c>
      <c r="Y26" s="43" cm="1">
        <f t="array" ref="Y26:Z27">'Top Page'!S10:T11</f>
        <v>75681</v>
      </c>
      <c r="Z26">
        <v>0</v>
      </c>
    </row>
    <row r="27" spans="4:26" x14ac:dyDescent="0.25">
      <c r="D27" t="s">
        <v>185</v>
      </c>
      <c r="E27">
        <v>4</v>
      </c>
      <c r="F27" t="s">
        <v>209</v>
      </c>
      <c r="G27">
        <f t="shared" si="1"/>
        <v>4</v>
      </c>
      <c r="J27">
        <f t="shared" si="0"/>
        <v>4</v>
      </c>
      <c r="V27" s="12" t="s">
        <v>287</v>
      </c>
      <c r="W27" s="42">
        <v>1071000</v>
      </c>
      <c r="Y27" s="44">
        <v>0</v>
      </c>
      <c r="Z27">
        <v>0</v>
      </c>
    </row>
    <row r="28" spans="4:26" x14ac:dyDescent="0.25">
      <c r="D28" t="s">
        <v>186</v>
      </c>
      <c r="E28">
        <v>1.5</v>
      </c>
      <c r="F28" t="s">
        <v>207</v>
      </c>
      <c r="G28">
        <f t="shared" si="1"/>
        <v>1.5</v>
      </c>
      <c r="J28">
        <f t="shared" si="0"/>
        <v>1.5</v>
      </c>
      <c r="V28" s="12" t="s">
        <v>265</v>
      </c>
      <c r="W28" s="42">
        <f>W26-W27</f>
        <v>0</v>
      </c>
      <c r="X28" s="12" t="s">
        <v>290</v>
      </c>
      <c r="Y28" s="12">
        <v>0</v>
      </c>
    </row>
    <row r="29" spans="4:26" x14ac:dyDescent="0.25">
      <c r="D29" t="s">
        <v>187</v>
      </c>
      <c r="E29">
        <v>8</v>
      </c>
      <c r="F29" t="s">
        <v>209</v>
      </c>
      <c r="G29">
        <f t="shared" si="1"/>
        <v>8</v>
      </c>
      <c r="H29">
        <v>2</v>
      </c>
      <c r="I29" t="s">
        <v>209</v>
      </c>
      <c r="J29">
        <f t="shared" si="0"/>
        <v>6</v>
      </c>
      <c r="X29" s="12" t="s">
        <v>291</v>
      </c>
      <c r="Y29" s="12">
        <f>SUM(Y26:Y28)</f>
        <v>75681</v>
      </c>
    </row>
    <row r="30" spans="4:26" x14ac:dyDescent="0.25">
      <c r="D30" t="s">
        <v>213</v>
      </c>
      <c r="E30">
        <v>120</v>
      </c>
      <c r="F30" t="s">
        <v>207</v>
      </c>
      <c r="G30">
        <f t="shared" si="1"/>
        <v>120</v>
      </c>
      <c r="H30">
        <v>32</v>
      </c>
      <c r="J30">
        <f t="shared" si="0"/>
        <v>88</v>
      </c>
    </row>
    <row r="31" spans="4:26" x14ac:dyDescent="0.25">
      <c r="D31" t="s">
        <v>188</v>
      </c>
      <c r="E31">
        <v>8</v>
      </c>
      <c r="F31" t="s">
        <v>207</v>
      </c>
      <c r="G31">
        <f t="shared" si="1"/>
        <v>8</v>
      </c>
      <c r="J31">
        <f t="shared" si="0"/>
        <v>8</v>
      </c>
    </row>
    <row r="32" spans="4:26" x14ac:dyDescent="0.25">
      <c r="D32" t="s">
        <v>62</v>
      </c>
      <c r="E32">
        <v>45</v>
      </c>
      <c r="F32" t="s">
        <v>207</v>
      </c>
      <c r="G32">
        <f t="shared" si="1"/>
        <v>45</v>
      </c>
      <c r="H32">
        <v>5</v>
      </c>
      <c r="I32" t="s">
        <v>207</v>
      </c>
      <c r="J32">
        <f t="shared" si="0"/>
        <v>40</v>
      </c>
    </row>
    <row r="33" spans="4:24" x14ac:dyDescent="0.25">
      <c r="D33" t="s">
        <v>189</v>
      </c>
      <c r="E33">
        <v>45</v>
      </c>
      <c r="F33" t="s">
        <v>207</v>
      </c>
      <c r="G33">
        <f t="shared" si="1"/>
        <v>45</v>
      </c>
      <c r="H33">
        <v>10</v>
      </c>
      <c r="I33" t="s">
        <v>207</v>
      </c>
      <c r="J33">
        <f t="shared" si="0"/>
        <v>35</v>
      </c>
    </row>
    <row r="34" spans="4:24" x14ac:dyDescent="0.25">
      <c r="D34" t="s">
        <v>64</v>
      </c>
      <c r="G34">
        <f t="shared" si="1"/>
        <v>0</v>
      </c>
      <c r="H34">
        <v>129</v>
      </c>
      <c r="I34" t="s">
        <v>207</v>
      </c>
      <c r="J34">
        <f t="shared" si="0"/>
        <v>-129</v>
      </c>
    </row>
    <row r="35" spans="4:24" x14ac:dyDescent="0.25">
      <c r="D35" t="s">
        <v>190</v>
      </c>
      <c r="E35">
        <v>25</v>
      </c>
      <c r="F35" t="s">
        <v>206</v>
      </c>
      <c r="G35">
        <f t="shared" si="1"/>
        <v>25</v>
      </c>
      <c r="H35">
        <v>5</v>
      </c>
      <c r="I35" t="s">
        <v>206</v>
      </c>
      <c r="J35">
        <f t="shared" si="0"/>
        <v>20</v>
      </c>
      <c r="R35" s="12" t="s">
        <v>267</v>
      </c>
      <c r="S35" s="12">
        <v>3</v>
      </c>
    </row>
    <row r="36" spans="4:24" x14ac:dyDescent="0.25">
      <c r="D36" t="s">
        <v>191</v>
      </c>
      <c r="E36">
        <v>30</v>
      </c>
      <c r="F36" t="s">
        <v>207</v>
      </c>
      <c r="G36">
        <f t="shared" si="1"/>
        <v>30</v>
      </c>
      <c r="J36">
        <f t="shared" si="0"/>
        <v>30</v>
      </c>
      <c r="R36" s="12" t="s">
        <v>266</v>
      </c>
      <c r="S36" s="12">
        <f>850*14</f>
        <v>11900</v>
      </c>
    </row>
    <row r="37" spans="4:24" x14ac:dyDescent="0.25">
      <c r="D37" t="s">
        <v>214</v>
      </c>
      <c r="E37">
        <v>17</v>
      </c>
      <c r="F37" t="s">
        <v>209</v>
      </c>
      <c r="G37">
        <f t="shared" si="1"/>
        <v>17</v>
      </c>
      <c r="H37">
        <v>17</v>
      </c>
      <c r="I37" t="s">
        <v>209</v>
      </c>
      <c r="J37">
        <f t="shared" si="0"/>
        <v>0</v>
      </c>
      <c r="R37" t="s">
        <v>336</v>
      </c>
      <c r="S37">
        <v>1</v>
      </c>
    </row>
    <row r="38" spans="4:24" x14ac:dyDescent="0.25">
      <c r="D38" t="s">
        <v>192</v>
      </c>
      <c r="E38">
        <v>25</v>
      </c>
      <c r="F38" t="s">
        <v>209</v>
      </c>
      <c r="G38">
        <f t="shared" si="1"/>
        <v>25</v>
      </c>
      <c r="H38">
        <v>25</v>
      </c>
      <c r="I38" t="s">
        <v>209</v>
      </c>
      <c r="J38">
        <f t="shared" si="0"/>
        <v>0</v>
      </c>
    </row>
    <row r="39" spans="4:24" x14ac:dyDescent="0.25">
      <c r="D39" t="s">
        <v>193</v>
      </c>
      <c r="E39">
        <v>10</v>
      </c>
      <c r="F39" t="s">
        <v>209</v>
      </c>
      <c r="G39">
        <f t="shared" si="1"/>
        <v>10</v>
      </c>
      <c r="H39">
        <v>10</v>
      </c>
      <c r="I39" t="s">
        <v>209</v>
      </c>
      <c r="J39">
        <f t="shared" si="0"/>
        <v>0</v>
      </c>
    </row>
    <row r="40" spans="4:24" x14ac:dyDescent="0.25">
      <c r="D40" t="s">
        <v>194</v>
      </c>
      <c r="E40">
        <v>64</v>
      </c>
      <c r="F40" t="s">
        <v>209</v>
      </c>
      <c r="G40">
        <f t="shared" si="1"/>
        <v>64</v>
      </c>
      <c r="H40">
        <v>64</v>
      </c>
      <c r="I40" t="s">
        <v>209</v>
      </c>
      <c r="J40">
        <f t="shared" si="0"/>
        <v>0</v>
      </c>
      <c r="R40" s="12" t="s">
        <v>292</v>
      </c>
      <c r="S40" s="12">
        <f>S37*S36</f>
        <v>11900</v>
      </c>
      <c r="W40" s="12" t="s">
        <v>285</v>
      </c>
      <c r="X40" s="12">
        <v>25000</v>
      </c>
    </row>
    <row r="41" spans="4:24" x14ac:dyDescent="0.25">
      <c r="D41" t="s">
        <v>195</v>
      </c>
      <c r="E41">
        <v>34</v>
      </c>
      <c r="F41" t="s">
        <v>209</v>
      </c>
      <c r="G41">
        <f t="shared" si="1"/>
        <v>34</v>
      </c>
      <c r="H41">
        <v>34</v>
      </c>
      <c r="I41" t="s">
        <v>209</v>
      </c>
      <c r="J41">
        <f t="shared" si="0"/>
        <v>0</v>
      </c>
      <c r="R41" s="12" t="s">
        <v>288</v>
      </c>
      <c r="S41" s="12">
        <f>Y29-S40-X40</f>
        <v>38781</v>
      </c>
      <c r="T41" s="12" t="s">
        <v>293</v>
      </c>
      <c r="U41" s="12">
        <v>2</v>
      </c>
    </row>
    <row r="42" spans="4:24" x14ac:dyDescent="0.25">
      <c r="D42" t="s">
        <v>196</v>
      </c>
      <c r="E42">
        <v>8</v>
      </c>
      <c r="F42" t="s">
        <v>207</v>
      </c>
      <c r="G42">
        <f t="shared" si="1"/>
        <v>8</v>
      </c>
      <c r="H42">
        <v>8</v>
      </c>
      <c r="J42">
        <f t="shared" si="0"/>
        <v>0</v>
      </c>
      <c r="R42" s="45" t="s">
        <v>268</v>
      </c>
      <c r="S42" s="45">
        <f>S41/U41</f>
        <v>19390.5</v>
      </c>
    </row>
    <row r="43" spans="4:24" x14ac:dyDescent="0.25">
      <c r="D43" t="s">
        <v>215</v>
      </c>
      <c r="E43">
        <v>1.5</v>
      </c>
      <c r="F43" t="s">
        <v>207</v>
      </c>
      <c r="G43">
        <f t="shared" si="1"/>
        <v>1.5</v>
      </c>
      <c r="J43">
        <f t="shared" si="0"/>
        <v>1.5</v>
      </c>
      <c r="R43" s="12" t="s">
        <v>418</v>
      </c>
      <c r="S43" s="12">
        <f>S41-U43-U45</f>
        <v>23781</v>
      </c>
      <c r="T43" s="12" t="s">
        <v>394</v>
      </c>
      <c r="U43" s="12">
        <v>15000</v>
      </c>
    </row>
    <row r="44" spans="4:24" x14ac:dyDescent="0.25">
      <c r="D44" t="s">
        <v>216</v>
      </c>
      <c r="E44">
        <v>6</v>
      </c>
      <c r="F44" t="s">
        <v>209</v>
      </c>
      <c r="G44">
        <f t="shared" si="1"/>
        <v>6</v>
      </c>
      <c r="H44">
        <v>6</v>
      </c>
      <c r="I44" t="s">
        <v>209</v>
      </c>
      <c r="J44">
        <f t="shared" si="0"/>
        <v>0</v>
      </c>
      <c r="R44" s="45" t="s">
        <v>268</v>
      </c>
      <c r="S44" s="45">
        <f>S43/U44</f>
        <v>23781</v>
      </c>
      <c r="T44" t="s">
        <v>375</v>
      </c>
      <c r="U44">
        <v>1</v>
      </c>
    </row>
    <row r="45" spans="4:24" x14ac:dyDescent="0.25">
      <c r="D45" t="s">
        <v>197</v>
      </c>
      <c r="E45">
        <v>1</v>
      </c>
      <c r="F45" t="s">
        <v>219</v>
      </c>
      <c r="G45">
        <f t="shared" si="1"/>
        <v>1</v>
      </c>
      <c r="H45">
        <v>1</v>
      </c>
      <c r="I45" t="s">
        <v>219</v>
      </c>
      <c r="J45">
        <f t="shared" si="0"/>
        <v>0</v>
      </c>
      <c r="T45" t="s">
        <v>376</v>
      </c>
    </row>
    <row r="46" spans="4:24" x14ac:dyDescent="0.25">
      <c r="D46" t="s">
        <v>198</v>
      </c>
      <c r="E46">
        <v>1</v>
      </c>
      <c r="F46" t="s">
        <v>209</v>
      </c>
      <c r="G46">
        <f t="shared" si="1"/>
        <v>1</v>
      </c>
      <c r="J46">
        <f t="shared" si="0"/>
        <v>1</v>
      </c>
      <c r="T46" t="s">
        <v>346</v>
      </c>
    </row>
    <row r="47" spans="4:24" x14ac:dyDescent="0.25">
      <c r="D47" t="s">
        <v>199</v>
      </c>
      <c r="E47">
        <v>1000</v>
      </c>
      <c r="F47" t="s">
        <v>218</v>
      </c>
      <c r="G47">
        <f t="shared" si="1"/>
        <v>1000</v>
      </c>
      <c r="J47">
        <f t="shared" si="0"/>
        <v>1000</v>
      </c>
    </row>
    <row r="48" spans="4:24" x14ac:dyDescent="0.25">
      <c r="D48" t="s">
        <v>200</v>
      </c>
      <c r="E48">
        <v>2</v>
      </c>
      <c r="F48" t="s">
        <v>207</v>
      </c>
      <c r="G48">
        <f t="shared" si="1"/>
        <v>2</v>
      </c>
      <c r="H48">
        <v>1</v>
      </c>
      <c r="I48" t="s">
        <v>207</v>
      </c>
      <c r="J48">
        <f t="shared" si="0"/>
        <v>1</v>
      </c>
    </row>
    <row r="49" spans="4:23" x14ac:dyDescent="0.25">
      <c r="D49" t="s">
        <v>201</v>
      </c>
      <c r="E49">
        <v>2</v>
      </c>
      <c r="F49" t="s">
        <v>217</v>
      </c>
      <c r="G49">
        <f>E49*25</f>
        <v>50</v>
      </c>
      <c r="H49">
        <v>10</v>
      </c>
      <c r="I49" t="s">
        <v>207</v>
      </c>
      <c r="J49">
        <f t="shared" si="0"/>
        <v>40</v>
      </c>
    </row>
    <row r="50" spans="4:23" x14ac:dyDescent="0.25">
      <c r="D50" t="s">
        <v>202</v>
      </c>
      <c r="E50">
        <v>2</v>
      </c>
      <c r="F50" t="s">
        <v>207</v>
      </c>
      <c r="G50">
        <f t="shared" si="1"/>
        <v>2</v>
      </c>
      <c r="H50">
        <v>0.6</v>
      </c>
      <c r="I50" t="s">
        <v>207</v>
      </c>
      <c r="J50">
        <f t="shared" si="0"/>
        <v>1.4</v>
      </c>
    </row>
    <row r="51" spans="4:23" x14ac:dyDescent="0.25">
      <c r="D51" t="s">
        <v>203</v>
      </c>
      <c r="G51">
        <f t="shared" si="1"/>
        <v>0</v>
      </c>
      <c r="H51">
        <v>8</v>
      </c>
      <c r="I51" t="s">
        <v>207</v>
      </c>
      <c r="J51">
        <f t="shared" si="0"/>
        <v>-8</v>
      </c>
      <c r="O51" t="s">
        <v>325</v>
      </c>
      <c r="P51">
        <f>55*720+3*1000+8500+1000</f>
        <v>52100</v>
      </c>
    </row>
    <row r="52" spans="4:23" x14ac:dyDescent="0.25">
      <c r="R52">
        <f>490/9</f>
        <v>54.444444444444443</v>
      </c>
    </row>
    <row r="59" spans="4:23" x14ac:dyDescent="0.25">
      <c r="T59" s="47" t="s">
        <v>377</v>
      </c>
      <c r="U59" s="48"/>
      <c r="V59" s="49"/>
    </row>
    <row r="60" spans="4:23" x14ac:dyDescent="0.25">
      <c r="R60">
        <f>27*700+950*1.5+510*12.4+12500+5000+14000+3500</f>
        <v>61649</v>
      </c>
      <c r="T60" s="50" t="s">
        <v>378</v>
      </c>
      <c r="U60" t="s">
        <v>93</v>
      </c>
      <c r="V60" s="51"/>
      <c r="W60" t="s">
        <v>385</v>
      </c>
    </row>
    <row r="61" spans="4:23" x14ac:dyDescent="0.25">
      <c r="T61" s="50" t="s">
        <v>379</v>
      </c>
      <c r="V61" s="51"/>
    </row>
    <row r="62" spans="4:23" x14ac:dyDescent="0.25">
      <c r="T62" s="50" t="s">
        <v>380</v>
      </c>
      <c r="U62" t="s">
        <v>376</v>
      </c>
      <c r="V62" s="51">
        <v>25000</v>
      </c>
    </row>
    <row r="63" spans="4:23" x14ac:dyDescent="0.25">
      <c r="T63" s="50" t="s">
        <v>381</v>
      </c>
      <c r="U63" t="s">
        <v>395</v>
      </c>
      <c r="V63" s="51">
        <v>60000</v>
      </c>
    </row>
    <row r="64" spans="4:23" x14ac:dyDescent="0.25">
      <c r="T64" s="50" t="s">
        <v>382</v>
      </c>
      <c r="V64" s="51"/>
      <c r="W64" t="s">
        <v>385</v>
      </c>
    </row>
    <row r="65" spans="15:23" x14ac:dyDescent="0.25">
      <c r="T65" s="50" t="s">
        <v>383</v>
      </c>
      <c r="U65" t="s">
        <v>91</v>
      </c>
      <c r="V65" s="51">
        <v>15000</v>
      </c>
      <c r="W65" t="s">
        <v>146</v>
      </c>
    </row>
    <row r="66" spans="15:23" x14ac:dyDescent="0.25">
      <c r="T66" s="52" t="s">
        <v>377</v>
      </c>
      <c r="U66" s="53" t="s">
        <v>384</v>
      </c>
      <c r="V66" s="54"/>
    </row>
    <row r="68" spans="15:23" x14ac:dyDescent="0.25">
      <c r="U68" s="55" t="s">
        <v>86</v>
      </c>
      <c r="V68" s="55">
        <f>SUM(V59:V66)</f>
        <v>100000</v>
      </c>
    </row>
    <row r="69" spans="15:23" x14ac:dyDescent="0.25">
      <c r="U69" s="55" t="s">
        <v>265</v>
      </c>
      <c r="V69" s="55">
        <f>S41-V68</f>
        <v>-61219</v>
      </c>
    </row>
    <row r="70" spans="15:23" x14ac:dyDescent="0.25">
      <c r="O70">
        <f>520/12</f>
        <v>43.333333333333336</v>
      </c>
      <c r="P70">
        <v>700</v>
      </c>
      <c r="Q70">
        <f>O70*P70</f>
        <v>30333.333333333336</v>
      </c>
    </row>
    <row r="74" spans="15:23" x14ac:dyDescent="0.25">
      <c r="S74" s="118" t="s">
        <v>399</v>
      </c>
      <c r="T74" s="118"/>
    </row>
    <row r="75" spans="15:23" x14ac:dyDescent="0.25">
      <c r="S75" s="118"/>
      <c r="T75" s="118"/>
      <c r="U75">
        <v>1148</v>
      </c>
    </row>
    <row r="76" spans="15:23" x14ac:dyDescent="0.25">
      <c r="S76" s="58" t="s">
        <v>344</v>
      </c>
      <c r="T76" s="58">
        <f>1.5*950</f>
        <v>1425</v>
      </c>
      <c r="U76">
        <f>1400</f>
        <v>1400</v>
      </c>
      <c r="V76">
        <f>27*18</f>
        <v>486</v>
      </c>
    </row>
    <row r="77" spans="15:23" x14ac:dyDescent="0.25">
      <c r="S77" s="58" t="s">
        <v>343</v>
      </c>
      <c r="T77" s="58">
        <f>27*700</f>
        <v>18900</v>
      </c>
      <c r="U77">
        <f>27*690</f>
        <v>18630</v>
      </c>
    </row>
    <row r="78" spans="15:23" x14ac:dyDescent="0.25">
      <c r="S78" s="58" t="s">
        <v>91</v>
      </c>
      <c r="T78" s="58">
        <f>65*190</f>
        <v>12350</v>
      </c>
      <c r="U78">
        <f>65*184</f>
        <v>11960</v>
      </c>
    </row>
    <row r="79" spans="15:23" x14ac:dyDescent="0.25">
      <c r="S79" s="58" t="s">
        <v>106</v>
      </c>
      <c r="T79" s="58">
        <f>510*12.4</f>
        <v>6324</v>
      </c>
      <c r="U79">
        <f>500*12.2</f>
        <v>6100</v>
      </c>
    </row>
    <row r="80" spans="15:23" x14ac:dyDescent="0.25">
      <c r="S80" s="58" t="s">
        <v>396</v>
      </c>
      <c r="T80" s="58">
        <f>330*(510/15)+1000</f>
        <v>12220</v>
      </c>
      <c r="U80">
        <v>11570</v>
      </c>
    </row>
    <row r="81" spans="7:21" x14ac:dyDescent="0.25">
      <c r="S81" s="58" t="s">
        <v>397</v>
      </c>
      <c r="T81" s="58">
        <v>3500</v>
      </c>
    </row>
    <row r="82" spans="7:21" x14ac:dyDescent="0.25">
      <c r="S82" s="58" t="s">
        <v>398</v>
      </c>
      <c r="T82" s="58">
        <v>5000</v>
      </c>
      <c r="U82">
        <v>4700</v>
      </c>
    </row>
    <row r="83" spans="7:21" x14ac:dyDescent="0.25">
      <c r="S83" s="58" t="s">
        <v>28</v>
      </c>
      <c r="T83" s="58">
        <f>SUM(T76:T82)</f>
        <v>59719</v>
      </c>
      <c r="U83" s="58">
        <f>SUM(U75:U82)</f>
        <v>55508</v>
      </c>
    </row>
    <row r="89" spans="7:21" x14ac:dyDescent="0.25">
      <c r="G89" t="s">
        <v>420</v>
      </c>
      <c r="H89" t="s">
        <v>419</v>
      </c>
    </row>
    <row r="90" spans="7:21" x14ac:dyDescent="0.25">
      <c r="G90" t="s">
        <v>422</v>
      </c>
      <c r="H90" t="s">
        <v>421</v>
      </c>
    </row>
  </sheetData>
  <mergeCells count="18">
    <mergeCell ref="S74:T75"/>
    <mergeCell ref="L16:M16"/>
    <mergeCell ref="L17:M17"/>
    <mergeCell ref="L18:M18"/>
    <mergeCell ref="L19:M19"/>
    <mergeCell ref="L20:M20"/>
    <mergeCell ref="L15:M15"/>
    <mergeCell ref="L4:S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</mergeCells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23D8-A8F6-4805-B41A-CCDA54927A6E}">
  <dimension ref="C5:AI40"/>
  <sheetViews>
    <sheetView zoomScale="110" zoomScaleNormal="110" workbookViewId="0">
      <selection activeCell="U15" sqref="U15"/>
    </sheetView>
  </sheetViews>
  <sheetFormatPr defaultRowHeight="15" x14ac:dyDescent="0.25"/>
  <cols>
    <col min="7" max="7" width="14.5703125" customWidth="1"/>
    <col min="8" max="8" width="11.28515625" bestFit="1" customWidth="1"/>
    <col min="11" max="11" width="11.5703125" customWidth="1"/>
    <col min="19" max="23" width="15" customWidth="1"/>
    <col min="28" max="28" width="13.42578125" customWidth="1"/>
  </cols>
  <sheetData>
    <row r="5" spans="7:35" ht="25.5" x14ac:dyDescent="0.25">
      <c r="G5" s="103" t="s">
        <v>124</v>
      </c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25"/>
      <c r="T5" s="25"/>
      <c r="U5" s="25"/>
      <c r="V5" s="25"/>
      <c r="W5" s="25"/>
      <c r="X5" s="1"/>
      <c r="Y5" s="103" t="s">
        <v>131</v>
      </c>
      <c r="Z5" s="103"/>
      <c r="AA5" s="103"/>
      <c r="AB5" s="103"/>
      <c r="AC5" s="103"/>
      <c r="AD5" s="103"/>
      <c r="AE5" s="103"/>
      <c r="AF5" s="103"/>
      <c r="AG5" s="103"/>
      <c r="AH5" s="103"/>
      <c r="AI5" s="103"/>
    </row>
    <row r="6" spans="7:35" ht="25.5" x14ac:dyDescent="0.25"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25"/>
      <c r="T6" s="25"/>
      <c r="U6" s="25"/>
      <c r="V6" s="25"/>
      <c r="W6" s="25"/>
      <c r="X6" s="1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</row>
    <row r="7" spans="7:35" ht="18.75" x14ac:dyDescent="0.25">
      <c r="G7" s="7" t="s">
        <v>125</v>
      </c>
      <c r="H7" s="7" t="s">
        <v>150</v>
      </c>
      <c r="I7" s="7" t="s">
        <v>12</v>
      </c>
      <c r="J7" s="7" t="s">
        <v>129</v>
      </c>
      <c r="K7" s="7" t="s">
        <v>126</v>
      </c>
      <c r="L7" s="7" t="s">
        <v>127</v>
      </c>
      <c r="M7" s="7" t="s">
        <v>128</v>
      </c>
      <c r="N7" s="7" t="s">
        <v>31</v>
      </c>
      <c r="O7" s="7" t="s">
        <v>11</v>
      </c>
      <c r="P7" s="7" t="s">
        <v>10</v>
      </c>
      <c r="Q7" s="7" t="s">
        <v>134</v>
      </c>
      <c r="R7" s="7" t="s">
        <v>4</v>
      </c>
      <c r="S7" s="24" t="s">
        <v>153</v>
      </c>
      <c r="T7" s="24" t="s">
        <v>152</v>
      </c>
      <c r="U7" s="24" t="s">
        <v>154</v>
      </c>
      <c r="V7" s="24" t="s">
        <v>155</v>
      </c>
      <c r="W7" s="24" t="s">
        <v>156</v>
      </c>
      <c r="X7" s="30" t="s">
        <v>26</v>
      </c>
      <c r="Y7" s="7" t="s">
        <v>125</v>
      </c>
      <c r="Z7" s="7" t="s">
        <v>132</v>
      </c>
      <c r="AA7" s="7" t="s">
        <v>133</v>
      </c>
      <c r="AB7" s="7" t="s">
        <v>126</v>
      </c>
      <c r="AC7" s="7" t="s">
        <v>127</v>
      </c>
      <c r="AD7" s="7" t="s">
        <v>128</v>
      </c>
      <c r="AE7" s="7" t="s">
        <v>31</v>
      </c>
      <c r="AF7" s="7" t="s">
        <v>11</v>
      </c>
      <c r="AG7" s="7" t="s">
        <v>10</v>
      </c>
      <c r="AH7" s="7" t="s">
        <v>134</v>
      </c>
      <c r="AI7" s="7" t="s">
        <v>4</v>
      </c>
    </row>
    <row r="8" spans="7:35" x14ac:dyDescent="0.25">
      <c r="G8" s="21">
        <v>45565</v>
      </c>
      <c r="H8" s="57">
        <f>'No of Person'!F5+'No of Person'!G5</f>
        <v>690</v>
      </c>
      <c r="I8" s="3">
        <f>Stock!E8</f>
        <v>72</v>
      </c>
      <c r="J8" s="3">
        <f>Stock!F8</f>
        <v>10</v>
      </c>
      <c r="K8" s="3">
        <f>Stock!G8</f>
        <v>8</v>
      </c>
      <c r="L8" s="3">
        <f>Stock!H8</f>
        <v>0</v>
      </c>
      <c r="M8" s="3">
        <f>Stock!I8</f>
        <v>0</v>
      </c>
      <c r="N8" s="3">
        <f>Stock!J8</f>
        <v>0</v>
      </c>
      <c r="O8" s="3">
        <f>Stock!K8</f>
        <v>9</v>
      </c>
      <c r="P8" s="3">
        <f>Stock!L8</f>
        <v>26</v>
      </c>
      <c r="Q8" s="3">
        <f>Stock!N8</f>
        <v>0</v>
      </c>
      <c r="R8" s="3">
        <f>Stock!O8</f>
        <v>0</v>
      </c>
      <c r="S8" s="1">
        <f>I8*58+J8*158+K8*102+L8*135+M8*70+N8*110+O8*92+P8*47</f>
        <v>8622</v>
      </c>
      <c r="T8" s="1">
        <f>'Regular Bazar'!F16</f>
        <v>8790</v>
      </c>
      <c r="U8" s="1">
        <v>1531.4285714285713</v>
      </c>
      <c r="V8" s="1">
        <v>3227.5</v>
      </c>
      <c r="W8" s="1">
        <f>'Regular Bazar'!W2</f>
        <v>200</v>
      </c>
      <c r="X8" s="1">
        <f>S8+T8+U8+W8</f>
        <v>19143.428571428572</v>
      </c>
      <c r="Y8" s="21">
        <f>Stock!S8</f>
        <v>45565</v>
      </c>
      <c r="Z8" s="3">
        <f>Stock!T8</f>
        <v>579</v>
      </c>
      <c r="AA8" s="3">
        <f>Stock!U8</f>
        <v>100</v>
      </c>
      <c r="AB8" s="3">
        <f>Stock!V8</f>
        <v>50</v>
      </c>
      <c r="AC8" s="3">
        <f>Stock!W8</f>
        <v>25</v>
      </c>
      <c r="AD8" s="3">
        <f>Stock!X8</f>
        <v>45</v>
      </c>
      <c r="AE8" s="3">
        <f>Stock!Y8</f>
        <v>50</v>
      </c>
      <c r="AF8" s="3">
        <f>Stock!Z8</f>
        <v>84</v>
      </c>
      <c r="AG8" s="3">
        <f>Stock!AA8</f>
        <v>165</v>
      </c>
      <c r="AH8" s="3">
        <f>Stock!AB8</f>
        <v>5</v>
      </c>
      <c r="AI8" s="3">
        <f>Stock!AC8</f>
        <v>4</v>
      </c>
    </row>
    <row r="9" spans="7:35" x14ac:dyDescent="0.25">
      <c r="G9" s="21">
        <v>45566</v>
      </c>
      <c r="H9" s="57">
        <f>'No of Person'!F6+'No of Person'!G6</f>
        <v>755</v>
      </c>
      <c r="I9" s="3">
        <f>Stock!E9</f>
        <v>45</v>
      </c>
      <c r="J9" s="3">
        <f>Stock!F9</f>
        <v>15</v>
      </c>
      <c r="K9" s="3">
        <f>Stock!G9</f>
        <v>4</v>
      </c>
      <c r="L9" s="3">
        <f>Stock!H9</f>
        <v>6</v>
      </c>
      <c r="M9" s="3">
        <f>Stock!I9</f>
        <v>40</v>
      </c>
      <c r="N9" s="3">
        <f>Stock!J9</f>
        <v>0</v>
      </c>
      <c r="O9" s="3">
        <f>Stock!K9</f>
        <v>18</v>
      </c>
      <c r="P9" s="3">
        <f>Stock!L9</f>
        <v>19</v>
      </c>
      <c r="Q9" s="3">
        <f>Stock!N9</f>
        <v>0</v>
      </c>
      <c r="R9" s="3">
        <f>Stock!O9</f>
        <v>0</v>
      </c>
      <c r="S9" s="1">
        <f t="shared" ref="S9:S34" si="0">I9*58+J9*158+K9*102+L9*135+M9*70+N9*110+O9*92+P9*47</f>
        <v>11547</v>
      </c>
      <c r="T9" s="1">
        <f>'Regular Bazar'!F29</f>
        <v>14282</v>
      </c>
      <c r="U9" s="1">
        <v>1531.4285714285713</v>
      </c>
      <c r="V9" s="1">
        <v>3227.5</v>
      </c>
      <c r="W9" s="1">
        <f>'Regular Bazar'!W3</f>
        <v>200</v>
      </c>
      <c r="X9" s="1">
        <f t="shared" ref="X9:X34" si="1">S9+T9+U9+W9</f>
        <v>27560.428571428572</v>
      </c>
      <c r="Y9" s="21">
        <v>45571</v>
      </c>
      <c r="Z9" s="3">
        <f>Stock!T9</f>
        <v>0</v>
      </c>
      <c r="AA9" s="3">
        <f>Stock!U9</f>
        <v>0</v>
      </c>
      <c r="AB9" s="3">
        <f>Stock!V9</f>
        <v>2</v>
      </c>
      <c r="AC9" s="3">
        <f>Stock!W9</f>
        <v>0</v>
      </c>
      <c r="AD9" s="3">
        <f>Stock!X9</f>
        <v>0</v>
      </c>
      <c r="AE9" s="3">
        <f>Stock!Y9</f>
        <v>0</v>
      </c>
      <c r="AF9" s="3">
        <f>Stock!Z9</f>
        <v>0</v>
      </c>
      <c r="AG9" s="3">
        <f>Stock!AA9</f>
        <v>14.260869565217391</v>
      </c>
      <c r="AH9" s="3">
        <f>Stock!AB9</f>
        <v>0</v>
      </c>
      <c r="AI9" s="3">
        <f>Stock!AC9</f>
        <v>0</v>
      </c>
    </row>
    <row r="10" spans="7:35" x14ac:dyDescent="0.25">
      <c r="G10" s="21">
        <v>45567</v>
      </c>
      <c r="H10" s="57">
        <f>'No of Person'!F7+'No of Person'!G7</f>
        <v>695</v>
      </c>
      <c r="I10" s="3">
        <f>Stock!E10</f>
        <v>90</v>
      </c>
      <c r="J10" s="3">
        <f>Stock!F10</f>
        <v>8</v>
      </c>
      <c r="K10" s="3">
        <f>Stock!G10</f>
        <v>8</v>
      </c>
      <c r="L10" s="3">
        <f>Stock!H10</f>
        <v>0</v>
      </c>
      <c r="M10" s="3">
        <f>Stock!I10</f>
        <v>0</v>
      </c>
      <c r="N10" s="3">
        <f>Stock!J10</f>
        <v>0</v>
      </c>
      <c r="O10" s="3">
        <f>Stock!K10</f>
        <v>9</v>
      </c>
      <c r="P10" s="3">
        <f>Stock!L10</f>
        <v>32</v>
      </c>
      <c r="Q10" s="3">
        <f>Stock!N10</f>
        <v>0</v>
      </c>
      <c r="R10" s="3">
        <f>Stock!O10</f>
        <v>0</v>
      </c>
      <c r="S10" s="1">
        <f t="shared" si="0"/>
        <v>9632</v>
      </c>
      <c r="T10" s="1">
        <f>'Regular Bazar'!F42</f>
        <v>8030</v>
      </c>
      <c r="U10" s="1">
        <v>1531.4285714285713</v>
      </c>
      <c r="V10" s="1">
        <v>3227.5</v>
      </c>
      <c r="W10" s="1">
        <f>'Regular Bazar'!W4</f>
        <v>200</v>
      </c>
      <c r="X10" s="1">
        <f t="shared" si="1"/>
        <v>19393.428571428572</v>
      </c>
      <c r="Y10" s="3"/>
      <c r="Z10" s="3">
        <f>Stock!T10</f>
        <v>1800</v>
      </c>
      <c r="AA10" s="3">
        <f>Stock!U10</f>
        <v>260</v>
      </c>
      <c r="AB10" s="3">
        <f>Stock!V10</f>
        <v>175</v>
      </c>
      <c r="AC10" s="3">
        <f>Stock!W10</f>
        <v>25</v>
      </c>
      <c r="AD10" s="3">
        <f>Stock!X10</f>
        <v>200</v>
      </c>
      <c r="AE10" s="3">
        <f>Stock!Y10</f>
        <v>250</v>
      </c>
      <c r="AF10" s="3">
        <f>Stock!Z10</f>
        <v>0</v>
      </c>
      <c r="AG10" s="3">
        <f>Stock!AA10</f>
        <v>0</v>
      </c>
      <c r="AH10" s="3">
        <f>Stock!AB10</f>
        <v>0</v>
      </c>
      <c r="AI10" s="3">
        <f>Stock!AC10</f>
        <v>0</v>
      </c>
    </row>
    <row r="11" spans="7:35" x14ac:dyDescent="0.25">
      <c r="G11" s="21">
        <v>45568</v>
      </c>
      <c r="H11" s="57">
        <f>'No of Person'!F8+'No of Person'!G8</f>
        <v>658</v>
      </c>
      <c r="I11" s="3">
        <f>Stock!E11</f>
        <v>85</v>
      </c>
      <c r="J11" s="3">
        <f>Stock!F11</f>
        <v>10</v>
      </c>
      <c r="K11" s="3">
        <f>Stock!G11</f>
        <v>8</v>
      </c>
      <c r="L11" s="3">
        <f>Stock!H11</f>
        <v>0</v>
      </c>
      <c r="M11" s="3">
        <f>Stock!I11</f>
        <v>0</v>
      </c>
      <c r="N11" s="3">
        <f>Stock!J11</f>
        <v>0</v>
      </c>
      <c r="O11" s="3">
        <f>Stock!K11</f>
        <v>10</v>
      </c>
      <c r="P11" s="3">
        <f>Stock!L11</f>
        <v>25</v>
      </c>
      <c r="Q11" s="3">
        <f>Stock!N11</f>
        <v>0</v>
      </c>
      <c r="R11" s="3">
        <f>Stock!O11</f>
        <v>0</v>
      </c>
      <c r="S11" s="1">
        <f t="shared" si="0"/>
        <v>9421</v>
      </c>
      <c r="T11" s="1">
        <f>'Regular Bazar'!F56</f>
        <v>18359</v>
      </c>
      <c r="U11" s="1">
        <v>1531.4285714285713</v>
      </c>
      <c r="V11" s="1">
        <v>3227.5</v>
      </c>
      <c r="W11" s="1">
        <f>'Regular Bazar'!W5</f>
        <v>200</v>
      </c>
      <c r="X11" s="1">
        <f t="shared" si="1"/>
        <v>29511.428571428572</v>
      </c>
      <c r="Y11" s="3"/>
      <c r="Z11" s="3">
        <f>Stock!T11</f>
        <v>0</v>
      </c>
      <c r="AA11" s="3">
        <f>Stock!U11</f>
        <v>0</v>
      </c>
      <c r="AB11" s="3">
        <f>Stock!V11</f>
        <v>0</v>
      </c>
      <c r="AC11" s="3">
        <f>Stock!W11</f>
        <v>0</v>
      </c>
      <c r="AD11" s="3">
        <f>Stock!X11</f>
        <v>0</v>
      </c>
      <c r="AE11" s="3">
        <f>Stock!Y11</f>
        <v>0</v>
      </c>
      <c r="AF11" s="3">
        <f>Stock!Z11</f>
        <v>70</v>
      </c>
      <c r="AG11" s="3">
        <f>Stock!AA11</f>
        <v>260</v>
      </c>
      <c r="AH11" s="3">
        <f>Stock!AB11</f>
        <v>15</v>
      </c>
      <c r="AI11" s="3">
        <f>Stock!AC11</f>
        <v>21</v>
      </c>
    </row>
    <row r="12" spans="7:35" x14ac:dyDescent="0.25">
      <c r="G12" s="21">
        <v>45569</v>
      </c>
      <c r="H12" s="57">
        <f>'No of Person'!F9+'No of Person'!G9</f>
        <v>665</v>
      </c>
      <c r="I12" s="3">
        <f>Stock!E12</f>
        <v>40</v>
      </c>
      <c r="J12" s="3">
        <f>Stock!F12</f>
        <v>10</v>
      </c>
      <c r="K12" s="3">
        <f>Stock!G12</f>
        <v>4</v>
      </c>
      <c r="L12" s="3">
        <f>Stock!H12</f>
        <v>5</v>
      </c>
      <c r="M12" s="3">
        <f>Stock!I12</f>
        <v>0</v>
      </c>
      <c r="N12" s="3">
        <f>Stock!J12</f>
        <v>45</v>
      </c>
      <c r="O12" s="3">
        <f>Stock!K12</f>
        <v>18</v>
      </c>
      <c r="P12" s="3">
        <f>Stock!L12</f>
        <v>16</v>
      </c>
      <c r="Q12" s="3">
        <f>Stock!N12</f>
        <v>0</v>
      </c>
      <c r="R12" s="3">
        <f>Stock!O12</f>
        <v>0</v>
      </c>
      <c r="S12" s="1">
        <f t="shared" si="0"/>
        <v>12341</v>
      </c>
      <c r="T12" s="1">
        <f>'Regular Bazar'!F69</f>
        <v>3680</v>
      </c>
      <c r="U12" s="1"/>
      <c r="V12" s="1">
        <v>3227.5</v>
      </c>
      <c r="W12" s="1">
        <f>'Regular Bazar'!W6</f>
        <v>200</v>
      </c>
      <c r="X12" s="1">
        <f t="shared" si="1"/>
        <v>16221</v>
      </c>
      <c r="Y12" s="3"/>
      <c r="Z12" s="3">
        <f>Stock!T12</f>
        <v>0</v>
      </c>
      <c r="AA12" s="3">
        <f>Stock!U12</f>
        <v>0</v>
      </c>
      <c r="AB12" s="3">
        <f>Stock!V12</f>
        <v>0</v>
      </c>
      <c r="AC12" s="3">
        <f>Stock!W12</f>
        <v>0</v>
      </c>
      <c r="AD12" s="3">
        <f>Stock!X12</f>
        <v>0</v>
      </c>
      <c r="AE12" s="3">
        <f>Stock!Y12</f>
        <v>0</v>
      </c>
      <c r="AF12" s="3">
        <f>Stock!Z12</f>
        <v>75</v>
      </c>
      <c r="AG12" s="3">
        <f>Stock!AA12</f>
        <v>140</v>
      </c>
      <c r="AH12" s="3">
        <f>Stock!AB12</f>
        <v>0</v>
      </c>
      <c r="AI12" s="3">
        <f>Stock!AC12</f>
        <v>0</v>
      </c>
    </row>
    <row r="13" spans="7:35" x14ac:dyDescent="0.25">
      <c r="G13" s="21">
        <v>45570</v>
      </c>
      <c r="H13" s="57">
        <f>'No of Person'!F10+'No of Person'!G10</f>
        <v>520</v>
      </c>
      <c r="I13" s="3">
        <f>Stock!E13</f>
        <v>59</v>
      </c>
      <c r="J13" s="3">
        <f>Stock!F13</f>
        <v>7</v>
      </c>
      <c r="K13" s="3">
        <f>Stock!G13</f>
        <v>8</v>
      </c>
      <c r="L13" s="3">
        <f>Stock!H13</f>
        <v>0</v>
      </c>
      <c r="M13" s="3">
        <f>Stock!I13</f>
        <v>0</v>
      </c>
      <c r="N13" s="3">
        <f>Stock!J13</f>
        <v>0</v>
      </c>
      <c r="O13" s="3">
        <f>Stock!K13</f>
        <v>9</v>
      </c>
      <c r="P13" s="3">
        <f>Stock!L13</f>
        <v>27</v>
      </c>
      <c r="Q13" s="3">
        <f>Stock!N13</f>
        <v>0</v>
      </c>
      <c r="R13" s="3">
        <f>Stock!O13</f>
        <v>0</v>
      </c>
      <c r="S13" s="1">
        <f t="shared" si="0"/>
        <v>7441</v>
      </c>
      <c r="T13" s="1">
        <f>'Regular Bazar'!F82</f>
        <v>7578</v>
      </c>
      <c r="U13" s="1">
        <v>1531.4285714285713</v>
      </c>
      <c r="V13" s="1">
        <v>3227.5</v>
      </c>
      <c r="W13" s="1">
        <f>'Regular Bazar'!W7</f>
        <v>200</v>
      </c>
      <c r="X13" s="1">
        <f t="shared" si="1"/>
        <v>16750.428571428572</v>
      </c>
      <c r="Y13" s="3"/>
      <c r="Z13" s="3">
        <f>Stock!T13</f>
        <v>0</v>
      </c>
      <c r="AA13" s="3">
        <f>Stock!U13</f>
        <v>0</v>
      </c>
      <c r="AB13" s="3">
        <f>Stock!V13</f>
        <v>0</v>
      </c>
      <c r="AC13" s="3">
        <f>Stock!W13</f>
        <v>0</v>
      </c>
      <c r="AD13" s="3">
        <f>Stock!X13</f>
        <v>0</v>
      </c>
      <c r="AE13" s="3">
        <f>Stock!Y13</f>
        <v>0</v>
      </c>
      <c r="AF13" s="3">
        <f>Stock!Z13</f>
        <v>75</v>
      </c>
      <c r="AG13" s="3">
        <f>Stock!AA13</f>
        <v>60</v>
      </c>
      <c r="AH13" s="3">
        <f>Stock!AB13</f>
        <v>0</v>
      </c>
      <c r="AI13" s="3">
        <f>Stock!AC13</f>
        <v>0</v>
      </c>
    </row>
    <row r="14" spans="7:35" x14ac:dyDescent="0.25">
      <c r="G14" s="21">
        <v>45571</v>
      </c>
      <c r="H14" s="57">
        <f>'No of Person'!F11+'No of Person'!G11</f>
        <v>440</v>
      </c>
      <c r="I14" s="3">
        <f>Stock!E14</f>
        <v>45</v>
      </c>
      <c r="J14" s="3">
        <f>Stock!F14</f>
        <v>5</v>
      </c>
      <c r="K14" s="3">
        <f>Stock!G14</f>
        <v>8</v>
      </c>
      <c r="L14" s="3">
        <f>Stock!H14</f>
        <v>0</v>
      </c>
      <c r="M14" s="3">
        <f>Stock!I14</f>
        <v>0</v>
      </c>
      <c r="N14" s="3">
        <f>Stock!J14</f>
        <v>0</v>
      </c>
      <c r="O14" s="3">
        <f>Stock!K14</f>
        <v>7</v>
      </c>
      <c r="P14" s="3">
        <f>Stock!L14</f>
        <v>19</v>
      </c>
      <c r="Q14" s="3">
        <f>Stock!N14</f>
        <v>0</v>
      </c>
      <c r="R14" s="3">
        <f>Stock!O14</f>
        <v>0</v>
      </c>
      <c r="S14" s="1">
        <f t="shared" si="0"/>
        <v>5753</v>
      </c>
      <c r="T14" s="1"/>
      <c r="U14" s="1">
        <v>1531.4285714285713</v>
      </c>
      <c r="V14" s="1">
        <v>3227.5</v>
      </c>
      <c r="W14" s="1">
        <f>'Regular Bazar'!W8</f>
        <v>200</v>
      </c>
      <c r="X14" s="1">
        <f t="shared" si="1"/>
        <v>7484.4285714285716</v>
      </c>
      <c r="Y14" s="3"/>
      <c r="Z14" s="3">
        <f>Stock!T14</f>
        <v>0</v>
      </c>
      <c r="AA14" s="3">
        <f>Stock!U14</f>
        <v>0</v>
      </c>
      <c r="AB14" s="3">
        <f>Stock!V14</f>
        <v>0</v>
      </c>
      <c r="AC14" s="3">
        <f>Stock!W14</f>
        <v>8.5</v>
      </c>
      <c r="AD14" s="3">
        <f>Stock!X14</f>
        <v>0</v>
      </c>
      <c r="AE14" s="3">
        <f>Stock!Y14</f>
        <v>0</v>
      </c>
      <c r="AF14" s="3">
        <f>Stock!Z14</f>
        <v>0</v>
      </c>
      <c r="AG14" s="3">
        <f>Stock!AA14</f>
        <v>0</v>
      </c>
      <c r="AH14" s="3">
        <f>Stock!AB14</f>
        <v>0</v>
      </c>
      <c r="AI14" s="3">
        <f>Stock!AC14</f>
        <v>0</v>
      </c>
    </row>
    <row r="15" spans="7:35" x14ac:dyDescent="0.25">
      <c r="G15" s="21">
        <v>45572</v>
      </c>
      <c r="H15" s="57">
        <f>'No of Person'!F12+'No of Person'!G12</f>
        <v>411</v>
      </c>
      <c r="I15" s="3">
        <f>Stock!E15</f>
        <v>46</v>
      </c>
      <c r="J15" s="3">
        <f>Stock!F15</f>
        <v>5</v>
      </c>
      <c r="K15" s="3">
        <f>Stock!G15</f>
        <v>6</v>
      </c>
      <c r="L15" s="3">
        <f>Stock!H15</f>
        <v>0</v>
      </c>
      <c r="M15" s="3">
        <f>Stock!I15</f>
        <v>0</v>
      </c>
      <c r="N15" s="3">
        <f>Stock!J15</f>
        <v>0</v>
      </c>
      <c r="O15" s="3">
        <f>Stock!K15</f>
        <v>9</v>
      </c>
      <c r="P15" s="3">
        <f>Stock!L15</f>
        <v>20</v>
      </c>
      <c r="Q15" s="3">
        <f>Stock!N15</f>
        <v>0</v>
      </c>
      <c r="R15" s="3">
        <f>Stock!O15</f>
        <v>0</v>
      </c>
      <c r="S15" s="1">
        <f t="shared" si="0"/>
        <v>5838</v>
      </c>
      <c r="T15" s="1"/>
      <c r="U15" s="1">
        <v>1531.4285714285713</v>
      </c>
      <c r="V15" s="1">
        <v>3227.5</v>
      </c>
      <c r="W15" s="1">
        <f>'Regular Bazar'!W9</f>
        <v>200</v>
      </c>
      <c r="X15" s="1">
        <f t="shared" si="1"/>
        <v>7569.4285714285716</v>
      </c>
      <c r="Y15" s="3"/>
      <c r="Z15" s="3">
        <f>Stock!T15</f>
        <v>0</v>
      </c>
      <c r="AA15" s="3">
        <f>Stock!U15</f>
        <v>0</v>
      </c>
      <c r="AB15" s="3">
        <f>Stock!V15</f>
        <v>0</v>
      </c>
      <c r="AC15" s="3">
        <f>Stock!W15</f>
        <v>0</v>
      </c>
      <c r="AD15" s="3">
        <f>Stock!X15</f>
        <v>0</v>
      </c>
      <c r="AE15" s="3">
        <f>Stock!Y15</f>
        <v>0</v>
      </c>
      <c r="AF15" s="3">
        <f>Stock!Z15</f>
        <v>0</v>
      </c>
      <c r="AG15" s="3">
        <f>Stock!AA15</f>
        <v>0</v>
      </c>
      <c r="AH15" s="3">
        <f>Stock!AB15</f>
        <v>0</v>
      </c>
      <c r="AI15" s="3">
        <f>Stock!AC15</f>
        <v>0</v>
      </c>
    </row>
    <row r="16" spans="7:35" x14ac:dyDescent="0.25">
      <c r="G16" s="21">
        <v>45584</v>
      </c>
      <c r="H16" s="57">
        <f>'No of Person'!F13+'No of Person'!G13</f>
        <v>863</v>
      </c>
      <c r="I16" s="3">
        <f>Stock!E16</f>
        <v>105</v>
      </c>
      <c r="J16" s="3">
        <f>Stock!F16</f>
        <v>15</v>
      </c>
      <c r="K16" s="3">
        <f>Stock!G16</f>
        <v>8</v>
      </c>
      <c r="L16" s="3">
        <f>Stock!H16</f>
        <v>0</v>
      </c>
      <c r="M16" s="3">
        <f>Stock!I16</f>
        <v>0</v>
      </c>
      <c r="N16" s="3">
        <f>Stock!J16</f>
        <v>0</v>
      </c>
      <c r="O16" s="3">
        <f>Stock!K16</f>
        <v>11</v>
      </c>
      <c r="P16" s="3">
        <f>Stock!L16</f>
        <v>29</v>
      </c>
      <c r="Q16" s="3">
        <f>Stock!N16</f>
        <v>0</v>
      </c>
      <c r="R16" s="3">
        <f>Stock!O16</f>
        <v>0</v>
      </c>
      <c r="S16" s="1">
        <f t="shared" si="0"/>
        <v>11651</v>
      </c>
      <c r="T16" s="1"/>
      <c r="U16" s="1"/>
      <c r="V16" s="1"/>
      <c r="W16" s="1">
        <f>'Regular Bazar'!W10</f>
        <v>360</v>
      </c>
      <c r="X16" s="1">
        <f t="shared" si="1"/>
        <v>12011</v>
      </c>
      <c r="Y16" s="3"/>
      <c r="Z16" s="3">
        <f>Stock!T16</f>
        <v>0</v>
      </c>
      <c r="AA16" s="3">
        <f>Stock!U16</f>
        <v>0</v>
      </c>
      <c r="AB16" s="3">
        <f>Stock!V16</f>
        <v>0</v>
      </c>
      <c r="AC16" s="3">
        <f>Stock!W16</f>
        <v>0</v>
      </c>
      <c r="AD16" s="3">
        <f>Stock!X16</f>
        <v>0</v>
      </c>
      <c r="AE16" s="3">
        <f>Stock!Y16</f>
        <v>0</v>
      </c>
      <c r="AF16" s="3">
        <f>Stock!Z16</f>
        <v>0</v>
      </c>
      <c r="AG16" s="3">
        <f>Stock!AA16</f>
        <v>0</v>
      </c>
      <c r="AH16" s="3">
        <f>Stock!AB16</f>
        <v>0</v>
      </c>
      <c r="AI16" s="3">
        <f>Stock!AC16</f>
        <v>0</v>
      </c>
    </row>
    <row r="17" spans="7:35" x14ac:dyDescent="0.25">
      <c r="G17" s="21">
        <v>45585</v>
      </c>
      <c r="H17" s="57">
        <f>'No of Person'!F14+'No of Person'!G14</f>
        <v>883</v>
      </c>
      <c r="I17" s="3">
        <f>Stock!E17</f>
        <v>105</v>
      </c>
      <c r="J17" s="3">
        <f>Stock!F17</f>
        <v>10</v>
      </c>
      <c r="K17" s="3">
        <f>Stock!G17</f>
        <v>8</v>
      </c>
      <c r="L17" s="3">
        <f>Stock!H17</f>
        <v>0</v>
      </c>
      <c r="M17" s="3">
        <f>Stock!I17</f>
        <v>0</v>
      </c>
      <c r="N17" s="3">
        <f>Stock!J17</f>
        <v>0</v>
      </c>
      <c r="O17" s="3">
        <f>Stock!K17</f>
        <v>11</v>
      </c>
      <c r="P17" s="3">
        <f>Stock!L17</f>
        <v>31</v>
      </c>
      <c r="Q17" s="3">
        <f>Stock!N17</f>
        <v>0</v>
      </c>
      <c r="R17" s="3">
        <f>Stock!O17</f>
        <v>0</v>
      </c>
      <c r="S17" s="1">
        <f t="shared" si="0"/>
        <v>10955</v>
      </c>
      <c r="T17" s="1"/>
      <c r="U17" s="1"/>
      <c r="V17" s="1"/>
      <c r="W17" s="1">
        <f>'Regular Bazar'!W11</f>
        <v>300</v>
      </c>
      <c r="X17" s="1">
        <f t="shared" si="1"/>
        <v>11255</v>
      </c>
      <c r="Y17" s="3"/>
      <c r="Z17" s="3">
        <f>Stock!T17</f>
        <v>0</v>
      </c>
      <c r="AA17" s="3">
        <f>Stock!U17</f>
        <v>0</v>
      </c>
      <c r="AB17" s="3">
        <f>Stock!V17</f>
        <v>0</v>
      </c>
      <c r="AC17" s="3">
        <f>Stock!W17</f>
        <v>0</v>
      </c>
      <c r="AD17" s="3">
        <f>Stock!X17</f>
        <v>0</v>
      </c>
      <c r="AE17" s="3">
        <f>Stock!Y17</f>
        <v>0</v>
      </c>
      <c r="AF17" s="3">
        <f>Stock!Z17</f>
        <v>0</v>
      </c>
      <c r="AG17" s="3">
        <f>Stock!AA17</f>
        <v>0</v>
      </c>
      <c r="AH17" s="3">
        <f>Stock!AB17</f>
        <v>0</v>
      </c>
      <c r="AI17" s="3">
        <f>Stock!AC17</f>
        <v>0</v>
      </c>
    </row>
    <row r="18" spans="7:35" x14ac:dyDescent="0.25">
      <c r="G18" s="21">
        <v>45586</v>
      </c>
      <c r="H18" s="57">
        <f>'No of Person'!F15+'No of Person'!G15</f>
        <v>870</v>
      </c>
      <c r="I18" s="3">
        <f>Stock!E18</f>
        <v>102</v>
      </c>
      <c r="J18" s="3">
        <f>Stock!F18</f>
        <v>10</v>
      </c>
      <c r="K18" s="3">
        <f>Stock!G18</f>
        <v>9</v>
      </c>
      <c r="L18" s="3">
        <f>Stock!H18</f>
        <v>0</v>
      </c>
      <c r="M18" s="3">
        <f>Stock!I18</f>
        <v>0</v>
      </c>
      <c r="N18" s="3">
        <f>Stock!J18</f>
        <v>0</v>
      </c>
      <c r="O18" s="3">
        <f>Stock!K18</f>
        <v>9</v>
      </c>
      <c r="P18" s="3">
        <f>Stock!L18</f>
        <v>27</v>
      </c>
      <c r="Q18" s="3">
        <f>Stock!N18</f>
        <v>0</v>
      </c>
      <c r="R18" s="3">
        <f>Stock!O18</f>
        <v>0</v>
      </c>
      <c r="S18" s="1">
        <f t="shared" si="0"/>
        <v>10511</v>
      </c>
      <c r="T18" s="1"/>
      <c r="U18" s="1"/>
      <c r="V18" s="1"/>
      <c r="W18" s="1">
        <f>'Regular Bazar'!W12</f>
        <v>200</v>
      </c>
      <c r="X18" s="1">
        <f t="shared" si="1"/>
        <v>10711</v>
      </c>
      <c r="Y18" s="3"/>
      <c r="Z18" s="3">
        <f>Stock!T18</f>
        <v>0</v>
      </c>
      <c r="AA18" s="3">
        <f>Stock!U18</f>
        <v>0</v>
      </c>
      <c r="AB18" s="3">
        <f>Stock!V18</f>
        <v>0</v>
      </c>
      <c r="AC18" s="3">
        <f>Stock!W18</f>
        <v>0</v>
      </c>
      <c r="AD18" s="3">
        <f>Stock!X18</f>
        <v>0</v>
      </c>
      <c r="AE18" s="3">
        <f>Stock!Y18</f>
        <v>0</v>
      </c>
      <c r="AF18" s="3">
        <f>Stock!Z18</f>
        <v>0</v>
      </c>
      <c r="AG18" s="3">
        <f>Stock!AA18</f>
        <v>0</v>
      </c>
      <c r="AH18" s="3">
        <f>Stock!AB18</f>
        <v>0</v>
      </c>
      <c r="AI18" s="3">
        <f>Stock!AC18</f>
        <v>0</v>
      </c>
    </row>
    <row r="19" spans="7:35" x14ac:dyDescent="0.25">
      <c r="G19" s="21">
        <v>45587</v>
      </c>
      <c r="H19" s="57">
        <f>'No of Person'!F16+'No of Person'!G16</f>
        <v>934</v>
      </c>
      <c r="I19" s="3">
        <f>Stock!E19</f>
        <v>115</v>
      </c>
      <c r="J19" s="3">
        <f>Stock!F19</f>
        <v>20</v>
      </c>
      <c r="K19" s="3">
        <f>Stock!G19</f>
        <v>8</v>
      </c>
      <c r="L19" s="3">
        <f>Stock!H19</f>
        <v>5</v>
      </c>
      <c r="M19" s="3">
        <f>Stock!I19</f>
        <v>0</v>
      </c>
      <c r="N19" s="3">
        <f>Stock!J19</f>
        <v>0</v>
      </c>
      <c r="O19" s="3">
        <f>Stock!K19</f>
        <v>27</v>
      </c>
      <c r="P19" s="3">
        <f>Stock!L19</f>
        <v>38</v>
      </c>
      <c r="Q19" s="3">
        <f>Stock!N19</f>
        <v>0</v>
      </c>
      <c r="R19" s="3">
        <f>Stock!O19</f>
        <v>0</v>
      </c>
      <c r="S19" s="1">
        <f t="shared" si="0"/>
        <v>15591</v>
      </c>
      <c r="T19" s="1"/>
      <c r="U19" s="1"/>
      <c r="V19" s="1"/>
      <c r="W19" s="1">
        <f>'Regular Bazar'!W13</f>
        <v>400</v>
      </c>
      <c r="X19" s="1">
        <f t="shared" si="1"/>
        <v>15991</v>
      </c>
      <c r="Y19" s="3"/>
      <c r="Z19" s="3">
        <f>Stock!T19</f>
        <v>0</v>
      </c>
      <c r="AA19" s="3">
        <f>Stock!U19</f>
        <v>0</v>
      </c>
      <c r="AB19" s="3">
        <f>Stock!V19</f>
        <v>0</v>
      </c>
      <c r="AC19" s="3">
        <f>Stock!W19</f>
        <v>0</v>
      </c>
      <c r="AD19" s="3">
        <f>Stock!X19</f>
        <v>0</v>
      </c>
      <c r="AE19" s="3">
        <f>Stock!Y19</f>
        <v>0</v>
      </c>
      <c r="AF19" s="3">
        <f>Stock!Z19</f>
        <v>0</v>
      </c>
      <c r="AG19" s="3">
        <f>Stock!AA19</f>
        <v>0</v>
      </c>
      <c r="AH19" s="3">
        <f>Stock!AB19</f>
        <v>0</v>
      </c>
      <c r="AI19" s="3">
        <f>Stock!AC19</f>
        <v>0</v>
      </c>
    </row>
    <row r="20" spans="7:35" x14ac:dyDescent="0.25">
      <c r="G20" s="21">
        <v>45588</v>
      </c>
      <c r="H20" s="57">
        <f>'No of Person'!F17+'No of Person'!G17</f>
        <v>771</v>
      </c>
      <c r="I20" s="3">
        <f>Stock!E20</f>
        <v>95</v>
      </c>
      <c r="J20" s="3">
        <f>Stock!F20</f>
        <v>15</v>
      </c>
      <c r="K20" s="3">
        <f>Stock!G20</f>
        <v>8</v>
      </c>
      <c r="L20" s="3">
        <f>Stock!H20</f>
        <v>0</v>
      </c>
      <c r="M20" s="3">
        <f>Stock!I20</f>
        <v>0</v>
      </c>
      <c r="N20" s="3">
        <f>Stock!J20</f>
        <v>0</v>
      </c>
      <c r="O20" s="3">
        <f>Stock!K20</f>
        <v>10</v>
      </c>
      <c r="P20" s="3">
        <f>Stock!L20</f>
        <v>27</v>
      </c>
      <c r="Q20" s="3">
        <f>Stock!N20</f>
        <v>0</v>
      </c>
      <c r="R20" s="3">
        <f>Stock!O20</f>
        <v>0</v>
      </c>
      <c r="S20" s="1">
        <f t="shared" si="0"/>
        <v>10885</v>
      </c>
      <c r="T20" s="1"/>
      <c r="U20" s="1"/>
      <c r="V20" s="1"/>
      <c r="W20" s="1">
        <f>'Regular Bazar'!W14</f>
        <v>200</v>
      </c>
      <c r="X20" s="1">
        <f t="shared" si="1"/>
        <v>11085</v>
      </c>
      <c r="Y20" s="3"/>
      <c r="Z20" s="3">
        <f>Stock!T20</f>
        <v>0</v>
      </c>
      <c r="AA20" s="3">
        <f>Stock!U20</f>
        <v>0</v>
      </c>
      <c r="AB20" s="3">
        <f>Stock!V20</f>
        <v>0</v>
      </c>
      <c r="AC20" s="3">
        <f>Stock!W20</f>
        <v>0</v>
      </c>
      <c r="AD20" s="3">
        <f>Stock!X20</f>
        <v>0</v>
      </c>
      <c r="AE20" s="3">
        <f>Stock!Y20</f>
        <v>0</v>
      </c>
      <c r="AF20" s="3">
        <f>Stock!Z20</f>
        <v>0</v>
      </c>
      <c r="AG20" s="3">
        <f>Stock!AA20</f>
        <v>0</v>
      </c>
      <c r="AH20" s="3">
        <f>Stock!AB20</f>
        <v>0</v>
      </c>
      <c r="AI20" s="3">
        <f>Stock!AC20</f>
        <v>0</v>
      </c>
    </row>
    <row r="21" spans="7:35" x14ac:dyDescent="0.25">
      <c r="G21" s="21">
        <v>45589</v>
      </c>
      <c r="H21" s="57">
        <f>'No of Person'!F18+'No of Person'!G18</f>
        <v>675</v>
      </c>
      <c r="I21" s="3">
        <f>Stock!E21</f>
        <v>75</v>
      </c>
      <c r="J21" s="3">
        <f>Stock!F21</f>
        <v>12</v>
      </c>
      <c r="K21" s="3">
        <f>Stock!G21</f>
        <v>8</v>
      </c>
      <c r="L21" s="3">
        <f>Stock!H21</f>
        <v>0</v>
      </c>
      <c r="M21" s="3">
        <f>Stock!I21</f>
        <v>0</v>
      </c>
      <c r="N21" s="3">
        <f>Stock!J21</f>
        <v>0</v>
      </c>
      <c r="O21" s="3">
        <f>Stock!K21</f>
        <v>9</v>
      </c>
      <c r="P21" s="3">
        <f>Stock!L21</f>
        <v>28</v>
      </c>
      <c r="Q21" s="3">
        <f>Stock!N21</f>
        <v>0</v>
      </c>
      <c r="R21" s="3">
        <f>Stock!O21</f>
        <v>0</v>
      </c>
      <c r="S21" s="1">
        <f>I21*58+J21*158+K21*102+L21*135+M21*70+N21*110+O21*92+P21*47</f>
        <v>9206</v>
      </c>
      <c r="T21" s="1"/>
      <c r="U21" s="1"/>
      <c r="V21" s="1"/>
      <c r="W21" s="1">
        <f>'Regular Bazar'!W15</f>
        <v>200</v>
      </c>
      <c r="X21" s="1">
        <f t="shared" si="1"/>
        <v>9406</v>
      </c>
      <c r="Y21" s="3"/>
      <c r="Z21" s="3">
        <f>Stock!T21</f>
        <v>0</v>
      </c>
      <c r="AA21" s="3">
        <f>Stock!U21</f>
        <v>0</v>
      </c>
      <c r="AB21" s="3">
        <f>Stock!V21</f>
        <v>0</v>
      </c>
      <c r="AC21" s="3">
        <f>Stock!W21</f>
        <v>0</v>
      </c>
      <c r="AD21" s="3">
        <f>Stock!X21</f>
        <v>0</v>
      </c>
      <c r="AE21" s="3">
        <f>Stock!Y21</f>
        <v>0</v>
      </c>
      <c r="AF21" s="3">
        <f>Stock!Z21</f>
        <v>0</v>
      </c>
      <c r="AG21" s="3">
        <f>Stock!AA21</f>
        <v>0</v>
      </c>
      <c r="AH21" s="3">
        <f>Stock!AB21</f>
        <v>0</v>
      </c>
      <c r="AI21" s="3">
        <f>Stock!AC21</f>
        <v>0</v>
      </c>
    </row>
    <row r="22" spans="7:35" x14ac:dyDescent="0.25">
      <c r="G22" s="21">
        <v>45590</v>
      </c>
      <c r="H22" s="57">
        <f>'No of Person'!F19+'No of Person'!G19</f>
        <v>835</v>
      </c>
      <c r="I22" s="3">
        <f>Stock!E22</f>
        <v>45</v>
      </c>
      <c r="J22" s="3">
        <f>Stock!F22</f>
        <v>15</v>
      </c>
      <c r="K22" s="3">
        <f>Stock!G22</f>
        <v>4</v>
      </c>
      <c r="L22" s="3">
        <f>Stock!H22</f>
        <v>6</v>
      </c>
      <c r="M22" s="3">
        <f>Stock!I22</f>
        <v>0</v>
      </c>
      <c r="N22" s="3">
        <f>Stock!J22</f>
        <v>60</v>
      </c>
      <c r="O22" s="3">
        <f>Stock!K22</f>
        <v>13</v>
      </c>
      <c r="P22" s="3">
        <f>Stock!L22</f>
        <v>17</v>
      </c>
      <c r="Q22" s="3">
        <f>Stock!N22</f>
        <v>0</v>
      </c>
      <c r="R22" s="3">
        <f>Stock!O22</f>
        <v>0</v>
      </c>
      <c r="S22" s="1">
        <f>J21*58+J22*158+K22*102+L22*135+M22*70+N22*110+O22*92+P22*47</f>
        <v>12879</v>
      </c>
      <c r="T22" s="1"/>
      <c r="U22" s="1"/>
      <c r="V22" s="1"/>
      <c r="W22" s="1">
        <f>'Regular Bazar'!W16</f>
        <v>200</v>
      </c>
      <c r="X22" s="1">
        <f t="shared" si="1"/>
        <v>13079</v>
      </c>
      <c r="Y22" s="3"/>
      <c r="Z22" s="3">
        <f>Stock!T22</f>
        <v>0</v>
      </c>
      <c r="AA22" s="3">
        <f>Stock!U22</f>
        <v>0</v>
      </c>
      <c r="AB22" s="3">
        <f>Stock!V22</f>
        <v>0</v>
      </c>
      <c r="AC22" s="3">
        <f>Stock!W22</f>
        <v>0</v>
      </c>
      <c r="AD22" s="3">
        <f>Stock!X22</f>
        <v>0</v>
      </c>
      <c r="AE22" s="3">
        <f>Stock!Y22</f>
        <v>0</v>
      </c>
      <c r="AF22" s="3">
        <f>Stock!Z22</f>
        <v>0</v>
      </c>
      <c r="AG22" s="3">
        <f>Stock!AA22</f>
        <v>0</v>
      </c>
      <c r="AH22" s="3">
        <f>Stock!AB22</f>
        <v>0</v>
      </c>
      <c r="AI22" s="3">
        <f>Stock!AC22</f>
        <v>0</v>
      </c>
    </row>
    <row r="23" spans="7:35" x14ac:dyDescent="0.25">
      <c r="G23" s="21">
        <v>45591</v>
      </c>
      <c r="H23" s="57">
        <f>'No of Person'!F20+'No of Person'!G20</f>
        <v>863</v>
      </c>
      <c r="I23" s="3">
        <f>Stock!E23</f>
        <v>100</v>
      </c>
      <c r="J23" s="3">
        <f>Stock!F23</f>
        <v>8</v>
      </c>
      <c r="K23" s="3">
        <f>Stock!G23</f>
        <v>8</v>
      </c>
      <c r="L23" s="3">
        <f>Stock!H23</f>
        <v>0</v>
      </c>
      <c r="M23" s="3">
        <f>Stock!I23</f>
        <v>0</v>
      </c>
      <c r="N23" s="3">
        <f>Stock!J23</f>
        <v>0</v>
      </c>
      <c r="O23" s="3">
        <f>Stock!K23</f>
        <v>10</v>
      </c>
      <c r="P23" s="3">
        <f>Stock!L23</f>
        <v>31</v>
      </c>
      <c r="Q23" s="3">
        <f>Stock!N23</f>
        <v>0</v>
      </c>
      <c r="R23" s="3">
        <f>Stock!O23</f>
        <v>0</v>
      </c>
      <c r="S23" s="1">
        <f t="shared" si="0"/>
        <v>10257</v>
      </c>
      <c r="T23" s="1"/>
      <c r="U23" s="1"/>
      <c r="V23" s="1"/>
      <c r="W23" s="1">
        <f>'Regular Bazar'!W17</f>
        <v>200</v>
      </c>
      <c r="X23" s="1">
        <f t="shared" si="1"/>
        <v>10457</v>
      </c>
      <c r="Y23" s="3"/>
      <c r="Z23" s="3">
        <f>Stock!T23</f>
        <v>0</v>
      </c>
      <c r="AA23" s="3">
        <f>Stock!U23</f>
        <v>0</v>
      </c>
      <c r="AB23" s="3">
        <f>Stock!V23</f>
        <v>0</v>
      </c>
      <c r="AC23" s="3">
        <f>Stock!W23</f>
        <v>0</v>
      </c>
      <c r="AD23" s="3">
        <f>Stock!X23</f>
        <v>0</v>
      </c>
      <c r="AE23" s="3">
        <f>Stock!Y23</f>
        <v>0</v>
      </c>
      <c r="AF23" s="3">
        <f>Stock!Z23</f>
        <v>0</v>
      </c>
      <c r="AG23" s="3">
        <f>Stock!AA23</f>
        <v>0</v>
      </c>
      <c r="AH23" s="3">
        <f>Stock!AB23</f>
        <v>0</v>
      </c>
      <c r="AI23" s="3">
        <f>Stock!AC23</f>
        <v>0</v>
      </c>
    </row>
    <row r="24" spans="7:35" x14ac:dyDescent="0.25">
      <c r="G24" s="21">
        <v>45592</v>
      </c>
      <c r="H24" s="57">
        <f>'No of Person'!F21+'No of Person'!G21</f>
        <v>916</v>
      </c>
      <c r="I24" s="3">
        <f>Stock!E24</f>
        <v>50</v>
      </c>
      <c r="J24" s="3">
        <f>Stock!F24</f>
        <v>20</v>
      </c>
      <c r="K24" s="3">
        <f>Stock!G24</f>
        <v>4</v>
      </c>
      <c r="L24" s="3">
        <f>Stock!H24</f>
        <v>6</v>
      </c>
      <c r="M24" s="3">
        <f>Stock!I24</f>
        <v>50</v>
      </c>
      <c r="N24" s="3">
        <f>Stock!J24</f>
        <v>0</v>
      </c>
      <c r="O24" s="3">
        <f>Stock!K24</f>
        <v>19</v>
      </c>
      <c r="P24" s="3">
        <f>Stock!L24</f>
        <v>10</v>
      </c>
      <c r="Q24" s="3">
        <f>Stock!N24</f>
        <v>0</v>
      </c>
      <c r="R24" s="3">
        <f>Stock!O24</f>
        <v>0</v>
      </c>
      <c r="S24" s="1">
        <f t="shared" si="0"/>
        <v>12996</v>
      </c>
      <c r="T24" s="1"/>
      <c r="U24" s="1"/>
      <c r="V24" s="1"/>
      <c r="W24" s="1">
        <f>'Regular Bazar'!W18</f>
        <v>200</v>
      </c>
      <c r="X24" s="1">
        <f t="shared" si="1"/>
        <v>13196</v>
      </c>
      <c r="Y24" s="3"/>
      <c r="Z24" s="3">
        <f>Stock!T24</f>
        <v>0</v>
      </c>
      <c r="AA24" s="3">
        <f>Stock!U24</f>
        <v>0</v>
      </c>
      <c r="AB24" s="3">
        <f>Stock!V24</f>
        <v>0</v>
      </c>
      <c r="AC24" s="3">
        <f>Stock!W24</f>
        <v>0</v>
      </c>
      <c r="AD24" s="3">
        <f>Stock!X24</f>
        <v>0</v>
      </c>
      <c r="AE24" s="3">
        <f>Stock!Y24</f>
        <v>0</v>
      </c>
      <c r="AF24" s="3">
        <f>Stock!Z24</f>
        <v>0</v>
      </c>
      <c r="AG24" s="3">
        <f>Stock!AA24</f>
        <v>0</v>
      </c>
      <c r="AH24" s="3">
        <f>Stock!AB24</f>
        <v>0</v>
      </c>
      <c r="AI24" s="3">
        <f>Stock!AC24</f>
        <v>0</v>
      </c>
    </row>
    <row r="25" spans="7:35" x14ac:dyDescent="0.25">
      <c r="G25" s="21">
        <v>45593</v>
      </c>
      <c r="H25" s="57">
        <f>'No of Person'!F22+'No of Person'!G22</f>
        <v>833</v>
      </c>
      <c r="I25" s="3">
        <f>Stock!E25</f>
        <v>105</v>
      </c>
      <c r="J25" s="3">
        <f>Stock!F25</f>
        <v>15</v>
      </c>
      <c r="K25" s="3">
        <f>Stock!G25</f>
        <v>8</v>
      </c>
      <c r="L25" s="3">
        <f>Stock!H25</f>
        <v>0</v>
      </c>
      <c r="M25" s="3">
        <f>Stock!I25</f>
        <v>0</v>
      </c>
      <c r="N25" s="3">
        <f>Stock!J25</f>
        <v>0</v>
      </c>
      <c r="O25" s="3">
        <f>Stock!K25</f>
        <v>10</v>
      </c>
      <c r="P25" s="3">
        <f>Stock!L25</f>
        <v>27</v>
      </c>
      <c r="Q25" s="3">
        <f>Stock!N25</f>
        <v>0</v>
      </c>
      <c r="R25" s="3">
        <f>Stock!O25</f>
        <v>0</v>
      </c>
      <c r="S25" s="1">
        <f t="shared" si="0"/>
        <v>11465</v>
      </c>
      <c r="T25" s="1"/>
      <c r="U25" s="1"/>
      <c r="V25" s="1"/>
      <c r="W25" s="1">
        <f>'Regular Bazar'!W19</f>
        <v>400</v>
      </c>
      <c r="X25" s="1">
        <f t="shared" si="1"/>
        <v>11865</v>
      </c>
      <c r="Y25" s="3"/>
      <c r="Z25" s="3">
        <f>Stock!T25</f>
        <v>0</v>
      </c>
      <c r="AA25" s="3">
        <f>Stock!U25</f>
        <v>0</v>
      </c>
      <c r="AB25" s="3">
        <f>Stock!V25</f>
        <v>0</v>
      </c>
      <c r="AC25" s="3">
        <f>Stock!W25</f>
        <v>0</v>
      </c>
      <c r="AD25" s="3">
        <f>Stock!X25</f>
        <v>0</v>
      </c>
      <c r="AE25" s="3">
        <f>Stock!Y25</f>
        <v>0</v>
      </c>
      <c r="AF25" s="3">
        <f>Stock!Z25</f>
        <v>0</v>
      </c>
      <c r="AG25" s="3">
        <f>Stock!AA25</f>
        <v>0</v>
      </c>
      <c r="AH25" s="3">
        <f>Stock!AB25</f>
        <v>0</v>
      </c>
      <c r="AI25" s="3">
        <f>Stock!AC25</f>
        <v>0</v>
      </c>
    </row>
    <row r="26" spans="7:35" x14ac:dyDescent="0.25">
      <c r="G26" s="21">
        <v>45594</v>
      </c>
      <c r="H26" s="57">
        <f>'No of Person'!F23+'No of Person'!G23</f>
        <v>952</v>
      </c>
      <c r="I26" s="3">
        <f>Stock!E26</f>
        <v>125</v>
      </c>
      <c r="J26" s="3">
        <f>Stock!F26</f>
        <v>30</v>
      </c>
      <c r="K26" s="3">
        <f>Stock!G26</f>
        <v>11</v>
      </c>
      <c r="L26" s="3">
        <f>Stock!H26</f>
        <v>0</v>
      </c>
      <c r="M26" s="3">
        <f>Stock!I26</f>
        <v>0</v>
      </c>
      <c r="N26" s="3">
        <f>Stock!J26</f>
        <v>7</v>
      </c>
      <c r="O26" s="3">
        <f>Stock!K26</f>
        <v>8</v>
      </c>
      <c r="P26" s="3">
        <f>Stock!L26</f>
        <v>18</v>
      </c>
      <c r="Q26" s="3">
        <f>Stock!N26</f>
        <v>0</v>
      </c>
      <c r="R26" s="3">
        <f>Stock!O26</f>
        <v>0</v>
      </c>
      <c r="S26" s="1">
        <f t="shared" si="0"/>
        <v>15464</v>
      </c>
      <c r="T26" s="1"/>
      <c r="U26" s="1"/>
      <c r="V26" s="1"/>
      <c r="W26" s="1">
        <f>'Regular Bazar'!W20</f>
        <v>200</v>
      </c>
      <c r="X26" s="1">
        <f t="shared" si="1"/>
        <v>15664</v>
      </c>
      <c r="Y26" s="3"/>
      <c r="Z26" s="3">
        <f>Stock!T26</f>
        <v>0</v>
      </c>
      <c r="AA26" s="3">
        <f>Stock!U26</f>
        <v>0</v>
      </c>
      <c r="AB26" s="3">
        <f>Stock!V26</f>
        <v>0</v>
      </c>
      <c r="AC26" s="3">
        <f>Stock!W26</f>
        <v>0</v>
      </c>
      <c r="AD26" s="3">
        <f>Stock!X26</f>
        <v>0</v>
      </c>
      <c r="AE26" s="3">
        <f>Stock!Y26</f>
        <v>0</v>
      </c>
      <c r="AF26" s="3">
        <f>Stock!Z26</f>
        <v>0</v>
      </c>
      <c r="AG26" s="3">
        <f>Stock!AA26</f>
        <v>0</v>
      </c>
      <c r="AH26" s="3">
        <f>Stock!AB26</f>
        <v>0</v>
      </c>
      <c r="AI26" s="3">
        <f>Stock!AC26</f>
        <v>0</v>
      </c>
    </row>
    <row r="27" spans="7:35" x14ac:dyDescent="0.25">
      <c r="G27" s="21">
        <v>45595</v>
      </c>
      <c r="H27" s="57">
        <f>'No of Person'!F24+'No of Person'!G24</f>
        <v>772</v>
      </c>
      <c r="I27" s="3">
        <f>Stock!E27</f>
        <v>85</v>
      </c>
      <c r="J27" s="3">
        <f>Stock!F27</f>
        <v>10</v>
      </c>
      <c r="K27" s="3">
        <f>Stock!G27</f>
        <v>8</v>
      </c>
      <c r="L27" s="3">
        <f>Stock!H27</f>
        <v>0</v>
      </c>
      <c r="M27" s="3">
        <f>Stock!I27</f>
        <v>0</v>
      </c>
      <c r="N27" s="3">
        <f>Stock!J27</f>
        <v>0</v>
      </c>
      <c r="O27" s="3">
        <f>Stock!K27</f>
        <v>16</v>
      </c>
      <c r="P27" s="3">
        <f>Stock!L27</f>
        <v>30</v>
      </c>
      <c r="Q27" s="3">
        <f>Stock!N27</f>
        <v>0</v>
      </c>
      <c r="R27" s="3">
        <f>Stock!O27</f>
        <v>0</v>
      </c>
      <c r="S27" s="1">
        <f t="shared" si="0"/>
        <v>10208</v>
      </c>
      <c r="T27" s="1"/>
      <c r="U27" s="1"/>
      <c r="V27" s="1"/>
      <c r="W27" s="1">
        <f>'Regular Bazar'!W21</f>
        <v>200</v>
      </c>
      <c r="X27" s="1">
        <f t="shared" si="1"/>
        <v>10408</v>
      </c>
      <c r="Y27" s="3"/>
      <c r="Z27" s="3">
        <f>Stock!T27</f>
        <v>0</v>
      </c>
      <c r="AA27" s="3">
        <f>Stock!U27</f>
        <v>0</v>
      </c>
      <c r="AB27" s="3">
        <f>Stock!V27</f>
        <v>0</v>
      </c>
      <c r="AC27" s="3">
        <f>Stock!W27</f>
        <v>0</v>
      </c>
      <c r="AD27" s="3">
        <f>Stock!X27</f>
        <v>0</v>
      </c>
      <c r="AE27" s="3">
        <f>Stock!Y27</f>
        <v>0</v>
      </c>
      <c r="AF27" s="3">
        <f>Stock!Z27</f>
        <v>0</v>
      </c>
      <c r="AG27" s="3">
        <f>Stock!AA27</f>
        <v>0</v>
      </c>
      <c r="AH27" s="3">
        <f>Stock!AB27</f>
        <v>0</v>
      </c>
      <c r="AI27" s="3">
        <f>Stock!AC27</f>
        <v>0</v>
      </c>
    </row>
    <row r="28" spans="7:35" x14ac:dyDescent="0.25">
      <c r="G28" s="21">
        <v>45596</v>
      </c>
      <c r="H28" s="57">
        <f>'No of Person'!F25+'No of Person'!G25</f>
        <v>766</v>
      </c>
      <c r="I28" s="3">
        <f>Stock!E28</f>
        <v>40</v>
      </c>
      <c r="J28" s="3">
        <f>Stock!F28</f>
        <v>10</v>
      </c>
      <c r="K28" s="3">
        <f>Stock!G28</f>
        <v>4</v>
      </c>
      <c r="L28" s="3">
        <f>Stock!H28</f>
        <v>6</v>
      </c>
      <c r="M28" s="3">
        <f>Stock!I28</f>
        <v>0</v>
      </c>
      <c r="N28" s="3">
        <f>Stock!J28</f>
        <v>0</v>
      </c>
      <c r="O28" s="3">
        <f>Stock!K28</f>
        <v>13</v>
      </c>
      <c r="P28" s="3">
        <f>Stock!L28</f>
        <v>16</v>
      </c>
      <c r="Q28" s="3">
        <f>Stock!N28</f>
        <v>0</v>
      </c>
      <c r="R28" s="3">
        <f>Stock!O28</f>
        <v>0</v>
      </c>
      <c r="S28" s="1">
        <f t="shared" si="0"/>
        <v>7066</v>
      </c>
      <c r="T28" s="1"/>
      <c r="U28" s="1"/>
      <c r="V28" s="1"/>
      <c r="W28" s="1">
        <f>'Regular Bazar'!W22</f>
        <v>200</v>
      </c>
      <c r="X28" s="1">
        <f t="shared" si="1"/>
        <v>7266</v>
      </c>
      <c r="Y28" s="3"/>
      <c r="Z28" s="3">
        <f>Stock!T28</f>
        <v>0</v>
      </c>
      <c r="AA28" s="3">
        <f>Stock!U28</f>
        <v>0</v>
      </c>
      <c r="AB28" s="3">
        <f>Stock!V28</f>
        <v>0</v>
      </c>
      <c r="AC28" s="3">
        <f>Stock!W28</f>
        <v>0</v>
      </c>
      <c r="AD28" s="3">
        <f>Stock!X28</f>
        <v>0</v>
      </c>
      <c r="AE28" s="3">
        <f>Stock!Y28</f>
        <v>0</v>
      </c>
      <c r="AF28" s="3">
        <f>Stock!Z28</f>
        <v>0</v>
      </c>
      <c r="AG28" s="3">
        <f>Stock!AA28</f>
        <v>0</v>
      </c>
      <c r="AH28" s="3">
        <f>Stock!AB28</f>
        <v>0</v>
      </c>
      <c r="AI28" s="3">
        <f>Stock!AC28</f>
        <v>0</v>
      </c>
    </row>
    <row r="29" spans="7:35" x14ac:dyDescent="0.25">
      <c r="G29" s="21">
        <v>45597</v>
      </c>
      <c r="H29" s="57">
        <f>'No of Person'!F26+'No of Person'!G26</f>
        <v>797</v>
      </c>
      <c r="I29" s="3">
        <f>Stock!E29</f>
        <v>45</v>
      </c>
      <c r="J29" s="3">
        <f>Stock!F29</f>
        <v>15</v>
      </c>
      <c r="K29" s="3">
        <f>Stock!G29</f>
        <v>4</v>
      </c>
      <c r="L29" s="3">
        <f>Stock!H29</f>
        <v>6</v>
      </c>
      <c r="M29" s="3">
        <f>Stock!I29</f>
        <v>0</v>
      </c>
      <c r="N29" s="3">
        <f>Stock!J29</f>
        <v>60</v>
      </c>
      <c r="O29" s="3">
        <f>Stock!K29</f>
        <v>15</v>
      </c>
      <c r="P29" s="3">
        <f>Stock!L29</f>
        <v>16</v>
      </c>
      <c r="Q29" s="3">
        <f>Stock!N29</f>
        <v>0</v>
      </c>
      <c r="R29" s="3">
        <f>Stock!O29</f>
        <v>0</v>
      </c>
      <c r="S29" s="1">
        <f t="shared" si="0"/>
        <v>14930</v>
      </c>
      <c r="T29" s="1"/>
      <c r="U29" s="1"/>
      <c r="V29" s="1"/>
      <c r="W29" s="1">
        <f>'Regular Bazar'!W23</f>
        <v>200</v>
      </c>
      <c r="X29" s="1">
        <f t="shared" si="1"/>
        <v>15130</v>
      </c>
      <c r="Y29" s="3"/>
      <c r="Z29" s="3">
        <f>Stock!T29</f>
        <v>0</v>
      </c>
      <c r="AA29" s="3">
        <f>Stock!U29</f>
        <v>0</v>
      </c>
      <c r="AB29" s="3">
        <f>Stock!V29</f>
        <v>0</v>
      </c>
      <c r="AC29" s="3">
        <f>Stock!W29</f>
        <v>0</v>
      </c>
      <c r="AD29" s="3">
        <f>Stock!X29</f>
        <v>0</v>
      </c>
      <c r="AE29" s="3">
        <f>Stock!Y29</f>
        <v>0</v>
      </c>
      <c r="AF29" s="3">
        <f>Stock!Z29</f>
        <v>0</v>
      </c>
      <c r="AG29" s="3">
        <f>Stock!AA29</f>
        <v>0</v>
      </c>
      <c r="AH29" s="3">
        <f>Stock!AB29</f>
        <v>0</v>
      </c>
      <c r="AI29" s="3">
        <f>Stock!AC29</f>
        <v>0</v>
      </c>
    </row>
    <row r="30" spans="7:35" x14ac:dyDescent="0.25">
      <c r="G30" s="21">
        <v>45598</v>
      </c>
      <c r="H30" s="57">
        <f>'No of Person'!F27+'No of Person'!G27</f>
        <v>826</v>
      </c>
      <c r="I30" s="3">
        <f>Stock!E30</f>
        <v>90</v>
      </c>
      <c r="J30" s="3">
        <f>Stock!F30</f>
        <v>5</v>
      </c>
      <c r="K30" s="3">
        <f>Stock!G30</f>
        <v>8</v>
      </c>
      <c r="L30" s="3">
        <f>Stock!H30</f>
        <v>0</v>
      </c>
      <c r="M30" s="3">
        <f>Stock!I30</f>
        <v>0</v>
      </c>
      <c r="N30" s="3">
        <f>Stock!J30</f>
        <v>0</v>
      </c>
      <c r="O30" s="3">
        <f>Stock!K30</f>
        <v>8</v>
      </c>
      <c r="P30" s="3">
        <f>Stock!L30</f>
        <v>28</v>
      </c>
      <c r="Q30" s="3">
        <f>Stock!N30</f>
        <v>0</v>
      </c>
      <c r="R30" s="3">
        <f>Stock!O30</f>
        <v>0</v>
      </c>
      <c r="S30" s="1">
        <f t="shared" si="0"/>
        <v>8878</v>
      </c>
      <c r="T30" s="1"/>
      <c r="U30" s="1"/>
      <c r="V30" s="1"/>
      <c r="W30" s="1">
        <f>'Regular Bazar'!W24</f>
        <v>400</v>
      </c>
      <c r="X30" s="1">
        <f t="shared" si="1"/>
        <v>9278</v>
      </c>
      <c r="Y30" s="3"/>
      <c r="Z30" s="3">
        <f>Stock!T30</f>
        <v>0</v>
      </c>
      <c r="AA30" s="3">
        <f>Stock!U30</f>
        <v>0</v>
      </c>
      <c r="AB30" s="3">
        <f>Stock!V30</f>
        <v>0</v>
      </c>
      <c r="AC30" s="3">
        <f>Stock!W30</f>
        <v>0</v>
      </c>
      <c r="AD30" s="3">
        <f>Stock!X30</f>
        <v>0</v>
      </c>
      <c r="AE30" s="3">
        <f>Stock!Y30</f>
        <v>0</v>
      </c>
      <c r="AF30" s="3">
        <f>Stock!Z30</f>
        <v>0</v>
      </c>
      <c r="AG30" s="3">
        <f>Stock!AA30</f>
        <v>0</v>
      </c>
      <c r="AH30" s="3">
        <f>Stock!AB30</f>
        <v>0</v>
      </c>
      <c r="AI30" s="3">
        <f>Stock!AC30</f>
        <v>0</v>
      </c>
    </row>
    <row r="31" spans="7:35" x14ac:dyDescent="0.25">
      <c r="G31" s="21">
        <v>45599</v>
      </c>
      <c r="H31" s="57">
        <f>'No of Person'!F28+'No of Person'!G28</f>
        <v>886</v>
      </c>
      <c r="I31" s="3">
        <f>Stock!E31</f>
        <v>55</v>
      </c>
      <c r="J31" s="3">
        <f>Stock!F31</f>
        <v>15</v>
      </c>
      <c r="K31" s="3">
        <f>Stock!G31</f>
        <v>4</v>
      </c>
      <c r="L31" s="3">
        <f>Stock!H31</f>
        <v>6</v>
      </c>
      <c r="M31" s="3">
        <f>Stock!I31</f>
        <v>50</v>
      </c>
      <c r="N31" s="3">
        <f>Stock!J31</f>
        <v>0</v>
      </c>
      <c r="O31" s="3">
        <f>Stock!K31</f>
        <v>13</v>
      </c>
      <c r="P31" s="3">
        <f>Stock!L31</f>
        <v>11</v>
      </c>
      <c r="Q31" s="3">
        <f>Stock!N31</f>
        <v>0</v>
      </c>
      <c r="R31" s="3">
        <f>Stock!O31</f>
        <v>0</v>
      </c>
      <c r="S31" s="1">
        <f t="shared" si="0"/>
        <v>11991</v>
      </c>
      <c r="T31" s="1"/>
      <c r="U31" s="1"/>
      <c r="V31" s="1"/>
      <c r="W31" s="1">
        <f>'Regular Bazar'!W25</f>
        <v>200</v>
      </c>
      <c r="X31" s="1">
        <f t="shared" si="1"/>
        <v>12191</v>
      </c>
      <c r="Y31" s="3"/>
      <c r="Z31" s="3">
        <f>Stock!T31</f>
        <v>0</v>
      </c>
      <c r="AA31" s="3">
        <f>Stock!U31</f>
        <v>0</v>
      </c>
      <c r="AB31" s="3">
        <f>Stock!V31</f>
        <v>0</v>
      </c>
      <c r="AC31" s="3">
        <f>Stock!W31</f>
        <v>0</v>
      </c>
      <c r="AD31" s="3">
        <f>Stock!X31</f>
        <v>0</v>
      </c>
      <c r="AE31" s="3">
        <f>Stock!Y31</f>
        <v>0</v>
      </c>
      <c r="AF31" s="3">
        <f>Stock!Z31</f>
        <v>0</v>
      </c>
      <c r="AG31" s="3">
        <f>Stock!AA31</f>
        <v>0</v>
      </c>
      <c r="AH31" s="3">
        <f>Stock!AB31</f>
        <v>0</v>
      </c>
      <c r="AI31" s="3">
        <f>Stock!AC31</f>
        <v>0</v>
      </c>
    </row>
    <row r="32" spans="7:35" x14ac:dyDescent="0.25">
      <c r="G32" s="21">
        <v>45600</v>
      </c>
      <c r="H32" s="57">
        <f>'No of Person'!F29+'No of Person'!G29</f>
        <v>850</v>
      </c>
      <c r="I32" s="3">
        <f>Stock!E32</f>
        <v>100</v>
      </c>
      <c r="J32" s="3">
        <f>Stock!F32</f>
        <v>5</v>
      </c>
      <c r="K32" s="3">
        <f>Stock!G32</f>
        <v>8</v>
      </c>
      <c r="L32" s="3">
        <f>Stock!H32</f>
        <v>0</v>
      </c>
      <c r="M32" s="3">
        <f>Stock!I32</f>
        <v>0</v>
      </c>
      <c r="N32" s="3">
        <f>Stock!J32</f>
        <v>0</v>
      </c>
      <c r="O32" s="3">
        <f>Stock!K32</f>
        <v>7</v>
      </c>
      <c r="P32" s="3">
        <f>Stock!L32</f>
        <v>23</v>
      </c>
      <c r="Q32" s="3">
        <f>Stock!N32</f>
        <v>0</v>
      </c>
      <c r="R32" s="3">
        <f>Stock!O32</f>
        <v>0</v>
      </c>
      <c r="S32" s="1">
        <f t="shared" si="0"/>
        <v>9131</v>
      </c>
      <c r="T32" s="1"/>
      <c r="U32" s="1"/>
      <c r="V32" s="1"/>
      <c r="W32" s="1">
        <f>'Regular Bazar'!W26</f>
        <v>200</v>
      </c>
      <c r="X32" s="1">
        <f t="shared" si="1"/>
        <v>9331</v>
      </c>
      <c r="Y32" s="3"/>
      <c r="Z32" s="3">
        <f>Stock!T32</f>
        <v>0</v>
      </c>
      <c r="AA32" s="3">
        <f>Stock!U32</f>
        <v>0</v>
      </c>
      <c r="AB32" s="3">
        <f>Stock!V32</f>
        <v>0</v>
      </c>
      <c r="AC32" s="3">
        <f>Stock!W32</f>
        <v>0</v>
      </c>
      <c r="AD32" s="3">
        <f>Stock!X32</f>
        <v>0</v>
      </c>
      <c r="AE32" s="3">
        <f>Stock!Y32</f>
        <v>0</v>
      </c>
      <c r="AF32" s="3">
        <f>Stock!Z32</f>
        <v>0</v>
      </c>
      <c r="AG32" s="3">
        <f>Stock!AA32</f>
        <v>0</v>
      </c>
      <c r="AH32" s="3">
        <f>Stock!AB32</f>
        <v>0</v>
      </c>
      <c r="AI32" s="3">
        <f>Stock!AC32</f>
        <v>0</v>
      </c>
    </row>
    <row r="33" spans="3:35" x14ac:dyDescent="0.25">
      <c r="G33" s="21">
        <v>45601</v>
      </c>
      <c r="H33" s="57">
        <f>'No of Person'!F30+'No of Person'!G30</f>
        <v>922</v>
      </c>
      <c r="I33" s="3">
        <f>Stock!E33</f>
        <v>105</v>
      </c>
      <c r="J33" s="3">
        <f>Stock!F33</f>
        <v>15</v>
      </c>
      <c r="K33" s="3">
        <f>Stock!G33</f>
        <v>10</v>
      </c>
      <c r="L33" s="3">
        <f>Stock!H33</f>
        <v>0</v>
      </c>
      <c r="M33" s="3">
        <f>Stock!I33</f>
        <v>0</v>
      </c>
      <c r="N33" s="3">
        <f>Stock!J33</f>
        <v>0</v>
      </c>
      <c r="O33" s="3">
        <f>Stock!K33</f>
        <v>16</v>
      </c>
      <c r="P33" s="3">
        <f>Stock!L33</f>
        <v>36</v>
      </c>
      <c r="Q33" s="3">
        <f>Stock!N33</f>
        <v>0</v>
      </c>
      <c r="R33" s="3">
        <f>Stock!O33</f>
        <v>0</v>
      </c>
      <c r="S33" s="1">
        <f t="shared" si="0"/>
        <v>12644</v>
      </c>
      <c r="T33" s="1"/>
      <c r="U33" s="1"/>
      <c r="V33" s="1"/>
      <c r="W33" s="1">
        <f>'Regular Bazar'!W27</f>
        <v>200</v>
      </c>
      <c r="X33" s="1">
        <f t="shared" si="1"/>
        <v>12844</v>
      </c>
      <c r="Y33" s="3"/>
      <c r="Z33" s="3">
        <f>Stock!T33</f>
        <v>0</v>
      </c>
      <c r="AA33" s="3">
        <f>Stock!U33</f>
        <v>0</v>
      </c>
      <c r="AB33" s="3">
        <f>Stock!V33</f>
        <v>0</v>
      </c>
      <c r="AC33" s="3">
        <f>Stock!W33</f>
        <v>0</v>
      </c>
      <c r="AD33" s="3">
        <f>Stock!X33</f>
        <v>0</v>
      </c>
      <c r="AE33" s="3">
        <f>Stock!Y33</f>
        <v>0</v>
      </c>
      <c r="AF33" s="3">
        <f>Stock!Z33</f>
        <v>0</v>
      </c>
      <c r="AG33" s="3">
        <f>Stock!AA33</f>
        <v>0</v>
      </c>
      <c r="AH33" s="3">
        <f>Stock!AB33</f>
        <v>0</v>
      </c>
      <c r="AI33" s="3">
        <f>Stock!AC33</f>
        <v>0</v>
      </c>
    </row>
    <row r="34" spans="3:35" x14ac:dyDescent="0.25">
      <c r="G34" s="21">
        <v>45602</v>
      </c>
      <c r="H34" s="57">
        <f>'No of Person'!F31+'No of Person'!G31</f>
        <v>0</v>
      </c>
      <c r="I34" s="3">
        <f>Stock!E37</f>
        <v>0</v>
      </c>
      <c r="J34" s="3">
        <f>Stock!F37</f>
        <v>0</v>
      </c>
      <c r="K34" s="3">
        <f>Stock!G37</f>
        <v>0</v>
      </c>
      <c r="L34" s="3">
        <f>Stock!H37</f>
        <v>0</v>
      </c>
      <c r="M34" s="3">
        <f>Stock!I37</f>
        <v>0</v>
      </c>
      <c r="N34" s="3">
        <f>Stock!J37</f>
        <v>0</v>
      </c>
      <c r="O34" s="3">
        <f>Stock!K37</f>
        <v>0</v>
      </c>
      <c r="P34" s="3">
        <f>Stock!L37</f>
        <v>0</v>
      </c>
      <c r="Q34" s="3">
        <f>Stock!N37</f>
        <v>0</v>
      </c>
      <c r="R34" s="3">
        <f>Stock!O37</f>
        <v>0</v>
      </c>
      <c r="S34" s="1">
        <f t="shared" si="0"/>
        <v>0</v>
      </c>
      <c r="T34" s="1"/>
      <c r="U34" s="1"/>
      <c r="V34" s="1"/>
      <c r="W34" s="1">
        <f>'Regular Bazar'!W28</f>
        <v>200</v>
      </c>
      <c r="X34" s="1">
        <f t="shared" si="1"/>
        <v>200</v>
      </c>
      <c r="Y34" s="3"/>
      <c r="Z34" s="3">
        <f>Stock!T37</f>
        <v>50</v>
      </c>
      <c r="AA34" s="3">
        <f>Stock!U37</f>
        <v>5</v>
      </c>
      <c r="AB34" s="3">
        <f>Stock!V37</f>
        <v>0</v>
      </c>
      <c r="AC34" s="3">
        <f>Stock!W37</f>
        <v>0</v>
      </c>
      <c r="AD34" s="3">
        <f>Stock!X37</f>
        <v>0</v>
      </c>
      <c r="AE34" s="3">
        <f>Stock!Y37</f>
        <v>0</v>
      </c>
      <c r="AF34" s="3">
        <f>Stock!Z37</f>
        <v>5.5</v>
      </c>
      <c r="AG34" s="3">
        <f>Stock!AA37</f>
        <v>16</v>
      </c>
      <c r="AH34" s="3">
        <f>Stock!AB37</f>
        <v>0</v>
      </c>
      <c r="AI34" s="3">
        <f>Stock!AC37</f>
        <v>0</v>
      </c>
    </row>
    <row r="35" spans="3:35" x14ac:dyDescent="0.25">
      <c r="G35" s="7" t="s">
        <v>130</v>
      </c>
      <c r="H35" s="57">
        <f>'No of Person'!F32+'No of Person'!G32</f>
        <v>0</v>
      </c>
      <c r="I35" s="3">
        <f>Stock!E38</f>
        <v>2024</v>
      </c>
      <c r="J35" s="3">
        <f>Stock!F38</f>
        <v>315</v>
      </c>
      <c r="K35" s="3">
        <f>Stock!G38</f>
        <v>184</v>
      </c>
      <c r="L35" s="3">
        <f>Stock!H38</f>
        <v>46</v>
      </c>
      <c r="M35" s="3">
        <f>Stock!I38</f>
        <v>140</v>
      </c>
      <c r="N35" s="3">
        <f>Stock!J38</f>
        <v>172</v>
      </c>
      <c r="O35" s="3">
        <f>Stock!K38</f>
        <v>314</v>
      </c>
      <c r="P35" s="3">
        <f>Stock!L38</f>
        <v>627</v>
      </c>
      <c r="Q35" s="3">
        <f>Stock!N38</f>
        <v>0</v>
      </c>
      <c r="R35" s="3">
        <f>Stock!O38</f>
        <v>0</v>
      </c>
      <c r="S35" s="1">
        <f t="shared" ref="S35:X35" si="2">SUM(S8:S34)</f>
        <v>277303</v>
      </c>
      <c r="T35" s="1">
        <f t="shared" si="2"/>
        <v>60719</v>
      </c>
      <c r="U35" s="1">
        <f t="shared" si="2"/>
        <v>10719.999999999998</v>
      </c>
      <c r="V35" s="1">
        <f t="shared" si="2"/>
        <v>25820</v>
      </c>
      <c r="W35" s="1">
        <f t="shared" si="2"/>
        <v>6260</v>
      </c>
      <c r="X35" s="1">
        <f t="shared" si="2"/>
        <v>355002</v>
      </c>
      <c r="Y35" s="7" t="s">
        <v>130</v>
      </c>
      <c r="Z35" s="3">
        <f>Stock!T38</f>
        <v>2429</v>
      </c>
      <c r="AA35" s="3">
        <f>Stock!U38</f>
        <v>365</v>
      </c>
      <c r="AB35" s="3">
        <f>Stock!V38</f>
        <v>227</v>
      </c>
      <c r="AC35" s="3">
        <f>Stock!W38</f>
        <v>58.5</v>
      </c>
      <c r="AD35" s="3">
        <f>Stock!X38</f>
        <v>245</v>
      </c>
      <c r="AE35" s="3">
        <f>Stock!Y38</f>
        <v>300</v>
      </c>
      <c r="AF35" s="3">
        <f>Stock!Z38</f>
        <v>309.5</v>
      </c>
      <c r="AG35" s="3">
        <f>Stock!AA38</f>
        <v>655.26086956521738</v>
      </c>
      <c r="AH35" s="3">
        <f>Stock!AB38</f>
        <v>20</v>
      </c>
      <c r="AI35" s="3">
        <f>Stock!AC38</f>
        <v>25</v>
      </c>
    </row>
    <row r="36" spans="3:35" ht="18.75" x14ac:dyDescent="0.25">
      <c r="G36" s="22" t="s">
        <v>29</v>
      </c>
      <c r="H36" s="22"/>
      <c r="I36" s="3">
        <f>Stock!E39</f>
        <v>405</v>
      </c>
      <c r="J36" s="3">
        <f>Stock!F39</f>
        <v>50</v>
      </c>
      <c r="K36" s="3">
        <f>Stock!G39</f>
        <v>43</v>
      </c>
      <c r="L36" s="3">
        <f>Stock!H39</f>
        <v>12.5</v>
      </c>
      <c r="M36" s="3">
        <f>Stock!I39</f>
        <v>105</v>
      </c>
      <c r="N36" s="3">
        <f>Stock!J39</f>
        <v>128</v>
      </c>
      <c r="O36" s="3">
        <f>Stock!K39</f>
        <v>-4.5</v>
      </c>
      <c r="P36" s="3">
        <f>Stock!L39</f>
        <v>28.260869565217376</v>
      </c>
      <c r="Q36" s="3">
        <f>Stock!N39</f>
        <v>20</v>
      </c>
      <c r="R36" s="3">
        <f>Stock!O39</f>
        <v>25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3:35" ht="21.75" customHeight="1" x14ac:dyDescent="0.25">
      <c r="G37" s="3"/>
      <c r="H37" s="3"/>
      <c r="I37" s="7" t="s">
        <v>12</v>
      </c>
      <c r="J37" s="7" t="s">
        <v>129</v>
      </c>
      <c r="K37" s="7" t="s">
        <v>126</v>
      </c>
      <c r="L37" s="7" t="s">
        <v>127</v>
      </c>
      <c r="M37" s="7" t="s">
        <v>128</v>
      </c>
      <c r="N37" s="7" t="s">
        <v>31</v>
      </c>
      <c r="O37" s="7" t="s">
        <v>11</v>
      </c>
      <c r="P37" s="7" t="s">
        <v>10</v>
      </c>
      <c r="Q37" s="7" t="s">
        <v>134</v>
      </c>
      <c r="R37" s="7" t="s">
        <v>4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3:35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40" spans="3:35" x14ac:dyDescent="0.25">
      <c r="C40">
        <f>10*40</f>
        <v>400</v>
      </c>
    </row>
  </sheetData>
  <mergeCells count="2">
    <mergeCell ref="G5:R6"/>
    <mergeCell ref="Y5:AI6"/>
  </mergeCells>
  <conditionalFormatting sqref="H8:H35">
    <cfRule type="colorScale" priority="1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I8:R3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Top Page</vt:lpstr>
      <vt:lpstr>Boro Bazar</vt:lpstr>
      <vt:lpstr>Regular Bazar</vt:lpstr>
      <vt:lpstr>Stock</vt:lpstr>
      <vt:lpstr>No of Person</vt:lpstr>
      <vt:lpstr>menu</vt:lpstr>
      <vt:lpstr>Per Day Cost</vt:lpstr>
      <vt:lpstr>Rough</vt:lpstr>
      <vt:lpstr>Idea Per head cost calc</vt:lpstr>
      <vt:lpstr>'Top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Islam</dc:creator>
  <cp:lastModifiedBy>Ariful Islam</cp:lastModifiedBy>
  <cp:lastPrinted>2024-09-28T14:57:08Z</cp:lastPrinted>
  <dcterms:created xsi:type="dcterms:W3CDTF">2024-09-28T08:54:04Z</dcterms:created>
  <dcterms:modified xsi:type="dcterms:W3CDTF">2024-11-06T08:34:23Z</dcterms:modified>
</cp:coreProperties>
</file>