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E4267B70-9969-48AC-B0C8-77AF55880D95}" xr6:coauthVersionLast="47" xr6:coauthVersionMax="47" xr10:uidLastSave="{00000000-0000-0000-0000-000000000000}"/>
  <bookViews>
    <workbookView xWindow="-108" yWindow="-108" windowWidth="23256" windowHeight="12576" tabRatio="872" firstSheet="5" activeTab="11"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Sheet2" sheetId="29" r:id="rId13"/>
    <sheet name="PERSUBBID" sheetId="14" r:id="rId14"/>
    <sheet name="TANPA GAJI" sheetId="17" r:id="rId15"/>
    <sheet name="PERSUBBID + Gaji" sheetId="30" r:id="rId16"/>
    <sheet name="PERSUBBID GAJI" sheetId="25" r:id="rId17"/>
    <sheet name="DENGAN GAJI" sheetId="27" r:id="rId18"/>
    <sheet name="DIPA2" sheetId="28" r:id="rId19"/>
  </sheets>
  <functionGroups builtInGroupCount="19"/>
  <externalReferences>
    <externalReference r:id="rId20"/>
    <externalReference r:id="rId21"/>
    <externalReference r:id="rId22"/>
    <externalReference r:id="rId23"/>
    <externalReference r:id="rId24"/>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BULAN'!$B$12:$BH$231</definedName>
    <definedName name="_xlnm._FilterDatabase" localSheetId="8" hidden="1">PERAKUN!$C$1:$H$246</definedName>
    <definedName name="_xlnm._FilterDatabase" localSheetId="10" hidden="1">'SP2D'!$A$3:$AU$144</definedName>
    <definedName name="_xlnm._FilterDatabase" localSheetId="7" hidden="1">'SP2D ON'!$B$10:$K$100</definedName>
    <definedName name="Belanja_Perjalanan_Dinas_Paket_Meeting_Dalam_Kota._Uang_Saku_RDK_dalam__Verifikasi_dan_Pembuatan_Format_Standart_Data_BKU_Satker_Pusat_Pendidikan_KP___tgl.__27__Februari__2020">#REF!</definedName>
    <definedName name="cAkun" localSheetId="4">'626402'!$M$21</definedName>
    <definedName name="cAkun" localSheetId="5">Cetak_Pusdik!#REF!</definedName>
    <definedName name="cAkun" localSheetId="3">'Cetak_Pusdik (2)'!#REF!</definedName>
    <definedName name="cAkun" localSheetId="18">#REF!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18">#REF!</definedName>
    <definedName name="chkAkun" localSheetId="0">'DIPA4_PUSDIK (2)'!$J$21</definedName>
    <definedName name="chkAkun" localSheetId="1">GAJI!#REF!</definedName>
    <definedName name="chkAkun" localSheetId="2">'non 51'!#REF!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18">#REF!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18">#REF!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'626402'!$N$17</definedName>
    <definedName name="chkKRO" localSheetId="5">Cetak_Pusdik!#REF!</definedName>
    <definedName name="chkKRO" localSheetId="3">'Cetak_Pusdik (2)'!#REF!</definedName>
    <definedName name="chkKRO" localSheetId="18">#REF!</definedName>
    <definedName name="chkKRO" localSheetId="0">'DIPA4_PUSDIK (2)'!$J$17</definedName>
    <definedName name="chkKRO" localSheetId="1">GAJI!#REF!</definedName>
    <definedName name="chkKRO" localSheetId="2">'non 51'!#REF!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18">#REF!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'626402'!$N$18</definedName>
    <definedName name="chkRO" localSheetId="5">Cetak_Pusdik!#REF!</definedName>
    <definedName name="chkRO" localSheetId="3">'Cetak_Pusdik (2)'!#REF!</definedName>
    <definedName name="chkRO" localSheetId="18">#REF!</definedName>
    <definedName name="chkRO" localSheetId="0">'DIPA4_PUSDIK (2)'!$J$18</definedName>
    <definedName name="chkRO" localSheetId="1">GAJI!#REF!</definedName>
    <definedName name="chkRO" localSheetId="2">'non 51'!#REF!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18">#REF!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18">#REF!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18">#REF!</definedName>
    <definedName name="cKomponen" localSheetId="0">'DIPA4_PUSDIK (2)'!$I$19</definedName>
    <definedName name="cKomponen" localSheetId="1">GAJI!#REF!</definedName>
    <definedName name="cKomponen" localSheetId="2">'non 51'!#REF!</definedName>
    <definedName name="cKomponen">#REF!</definedName>
    <definedName name="cKRO" localSheetId="4">'626402'!$M$17</definedName>
    <definedName name="cKRO" localSheetId="5">Cetak_Pusdik!#REF!</definedName>
    <definedName name="cKRO" localSheetId="3">'Cetak_Pusdik (2)'!#REF!</definedName>
    <definedName name="cKRO" localSheetId="18">#REF!</definedName>
    <definedName name="cKRO" localSheetId="0">'DIPA4_PUSDIK (2)'!$I$17</definedName>
    <definedName name="cKRO" localSheetId="1">GAJI!#REF!</definedName>
    <definedName name="cKRO" localSheetId="2">'non 51'!#REF!</definedName>
    <definedName name="cKRO">#REF!</definedName>
    <definedName name="cProgram" localSheetId="4">'626402'!$M$15</definedName>
    <definedName name="cProgram" localSheetId="5">Cetak_Pusdik!#REF!</definedName>
    <definedName name="cProgram" localSheetId="3">'Cetak_Pusdik (2)'!#REF!</definedName>
    <definedName name="cProgram" localSheetId="18">#REF!</definedName>
    <definedName name="cProgram" localSheetId="0">'DIPA4_PUSDIK (2)'!$I$15</definedName>
    <definedName name="cProgram" localSheetId="1">GAJI!#REF!</definedName>
    <definedName name="cProgram" localSheetId="2">'non 51'!#REF!</definedName>
    <definedName name="cProgram">#REF!</definedName>
    <definedName name="cRO" localSheetId="4">'626402'!$M$18</definedName>
    <definedName name="cRO" localSheetId="5">Cetak_Pusdik!#REF!</definedName>
    <definedName name="cRO" localSheetId="3">'Cetak_Pusdik (2)'!#REF!</definedName>
    <definedName name="cRO" localSheetId="18">#REF!</definedName>
    <definedName name="cRO" localSheetId="0">'DIPA4_PUSDIK (2)'!$I$18</definedName>
    <definedName name="cRO" localSheetId="1">GAJI!#REF!</definedName>
    <definedName name="cRO" localSheetId="2">'non 51'!#REF!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18">#REF!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8">#REF!</definedName>
    <definedName name="Entri_Es2" localSheetId="1">GAJI!#REF!</definedName>
    <definedName name="Entri_Es2" localSheetId="2">'non 51'!#REF!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8">#REF!</definedName>
    <definedName name="Entri_Es3" localSheetId="1">GAJI!#REF!</definedName>
    <definedName name="Entri_Es3" localSheetId="2">'non 51'!#REF!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8">#REF!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8" hidden="1">DIPA2!$A$1:$Q$276</definedName>
    <definedName name="FILTER_LAP" localSheetId="18">'[1]DASHBOARD SP2D'!#REF!</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8">[3]DIPA_AWAL!$T$2:$T$2</definedName>
    <definedName name="kegiatan" localSheetId="1">GAJI!#REF!</definedName>
    <definedName name="kegiatan" localSheetId="2">'non 51'!#REF!</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7">'DENGAN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BULAN'!$B$4:$AW$231</definedName>
    <definedName name="_xlnm.Print_Area" localSheetId="8">PERAKUN!$C$1:$H$246</definedName>
    <definedName name="_xlnm.Print_Area" localSheetId="13">PERSUBBID!$A$1:$G$55</definedName>
    <definedName name="_xlnm.Print_Area" localSheetId="15">'PERSUBBID + Gaji'!$A$1:$G$60</definedName>
    <definedName name="_xlnm.Print_Area" localSheetId="16">'PERSUBBID GAJI'!$A$1:$G$60</definedName>
    <definedName name="_xlnm.Print_Area" localSheetId="14">'TANPA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 localSheetId="18">'[4]Tambahan Realisasi'!$C$2</definedName>
    <definedName name="rngSP2D">'[5]Tambahan Realisasi'!$C$2</definedName>
    <definedName name="rowEselon2" localSheetId="4">'626402'!$Q$2</definedName>
    <definedName name="rowEselon2" localSheetId="5">Cetak_Pusdik!#REF!</definedName>
    <definedName name="rowEselon2" localSheetId="3">'Cetak_Pusdik (2)'!#REF!</definedName>
    <definedName name="rowEselon2" localSheetId="18">#REF!</definedName>
    <definedName name="rowEselon2" localSheetId="1">GAJI!#REF!</definedName>
    <definedName name="rowEselon2" localSheetId="2">'non 51'!#REF!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8">#REF!</definedName>
    <definedName name="rowKoord" localSheetId="1">GAJI!#REF!</definedName>
    <definedName name="rowKoord" localSheetId="2">'non 51'!#REF!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8">#REF!</definedName>
    <definedName name="rowSelect" localSheetId="1">GAJI!#REF!</definedName>
    <definedName name="rowSelect" localSheetId="2">'non 51'!#REF!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8">#REF!</definedName>
    <definedName name="rowSubKoord" localSheetId="1">GAJI!#REF!</definedName>
    <definedName name="rowSubKoord" localSheetId="2">'non 51'!#REF!</definedName>
    <definedName name="rowSubKoord">#REF!</definedName>
    <definedName name="Slicer_koordinator">#N/A</definedName>
    <definedName name="Slicer_Pagu">#N/A</definedName>
    <definedName name="Slicer_Subkoordinator">#N/A</definedName>
    <definedName name="SSBP" localSheetId="18">[1]SSBP!#REF!</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18">#REF!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5"/>
    <pivotCache cacheId="1" r:id="rId26"/>
    <pivotCache cacheId="2"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49" i="13" l="1"/>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AT249" i="13" s="1"/>
  <c r="AU249" i="13" s="1"/>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AV249" i="13" l="1"/>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H67" i="13" l="1"/>
  <c r="H146" i="13"/>
  <c r="H61" i="13" s="1"/>
  <c r="H60" i="13" s="1"/>
  <c r="H14" i="13" s="1"/>
  <c r="C40" i="30" l="1"/>
  <c r="G33" i="30"/>
  <c r="E33" i="30"/>
  <c r="C32" i="30"/>
  <c r="C31" i="30" s="1"/>
  <c r="G13" i="30"/>
  <c r="E13" i="30"/>
  <c r="C12" i="30" a="1"/>
  <c r="C12" i="30" s="1"/>
  <c r="C56" i="30" a="1"/>
  <c r="C56" i="30" s="1"/>
  <c r="C55" i="30" a="1"/>
  <c r="C55" i="30" s="1"/>
  <c r="D53" i="30" a="1"/>
  <c r="D53" i="30" s="1"/>
  <c r="C53" i="30" a="1"/>
  <c r="C53" i="30" s="1"/>
  <c r="D52" i="30" a="1"/>
  <c r="D52" i="30" s="1"/>
  <c r="C52" i="30" a="1"/>
  <c r="C52" i="30" s="1"/>
  <c r="D50" i="30" a="1"/>
  <c r="D50" i="30" s="1"/>
  <c r="C50" i="30" a="1"/>
  <c r="C50" i="30" s="1"/>
  <c r="C49" i="30" a="1"/>
  <c r="C49" i="30" s="1"/>
  <c r="C51" i="30" s="1"/>
  <c r="D47" i="30" a="1"/>
  <c r="D47" i="30" s="1"/>
  <c r="C47" i="30" a="1"/>
  <c r="C47" i="30" s="1"/>
  <c r="C46" i="30" a="1"/>
  <c r="C46" i="30" s="1"/>
  <c r="C37" i="30" a="1"/>
  <c r="C37" i="30" s="1"/>
  <c r="C35" i="30" a="1"/>
  <c r="C35" i="30" s="1"/>
  <c r="C23" i="30" a="1"/>
  <c r="C23" i="30" s="1"/>
  <c r="C22" i="30"/>
  <c r="C22" i="30" a="1"/>
  <c r="C20" i="30"/>
  <c r="C20" i="30" a="1"/>
  <c r="C19" i="30" a="1"/>
  <c r="C19" i="30" s="1"/>
  <c r="C17" i="30" a="1"/>
  <c r="C17" i="30" s="1"/>
  <c r="C16" i="30" a="1"/>
  <c r="C16" i="30" s="1"/>
  <c r="C11" i="30" a="1"/>
  <c r="C11" i="30" s="1"/>
  <c r="C10" i="30" a="1"/>
  <c r="C10" i="30" s="1"/>
  <c r="C38" i="30" s="1"/>
  <c r="C8" i="30" a="1"/>
  <c r="C8" i="30" s="1"/>
  <c r="A2" i="30"/>
  <c r="AT247" i="13"/>
  <c r="AV247" i="13" s="1"/>
  <c r="AW247" i="13" s="1"/>
  <c r="AT246" i="13"/>
  <c r="AT242" i="13"/>
  <c r="AV242" i="13" s="1"/>
  <c r="AW242" i="13" s="1"/>
  <c r="AU98" i="13"/>
  <c r="AD147" i="16"/>
  <c r="AD148" i="16"/>
  <c r="AD149" i="16"/>
  <c r="AD150" i="16"/>
  <c r="AD151" i="16"/>
  <c r="AD152" i="16"/>
  <c r="AD153" i="16"/>
  <c r="AD154" i="16"/>
  <c r="AD155" i="16"/>
  <c r="AD156" i="16"/>
  <c r="AD157" i="16"/>
  <c r="AC147" i="16"/>
  <c r="AC148" i="16"/>
  <c r="AC149" i="16"/>
  <c r="AC150" i="16"/>
  <c r="AC151" i="16"/>
  <c r="AC152" i="16"/>
  <c r="AC153" i="16"/>
  <c r="AC154" i="16"/>
  <c r="AC155" i="16"/>
  <c r="AC156" i="16"/>
  <c r="AC157" i="16"/>
  <c r="AB147" i="16"/>
  <c r="AB148" i="16"/>
  <c r="AB149" i="16"/>
  <c r="AB150" i="16"/>
  <c r="AB151" i="16"/>
  <c r="AB152" i="16"/>
  <c r="AB153" i="16"/>
  <c r="AB154" i="16"/>
  <c r="AB155" i="16"/>
  <c r="AB156" i="16"/>
  <c r="AB157" i="16"/>
  <c r="AA147" i="16"/>
  <c r="AA148" i="16"/>
  <c r="AA149" i="16"/>
  <c r="AA150" i="16"/>
  <c r="AA151" i="16"/>
  <c r="AA152" i="16"/>
  <c r="AA153" i="16"/>
  <c r="AA154" i="16"/>
  <c r="AA155" i="16"/>
  <c r="AA156" i="16"/>
  <c r="AA157" i="16"/>
  <c r="Z147" i="16"/>
  <c r="Z148" i="16"/>
  <c r="Z149" i="16"/>
  <c r="Z150" i="16"/>
  <c r="Z151" i="16"/>
  <c r="Z152" i="16"/>
  <c r="Z153" i="16"/>
  <c r="Z154" i="16"/>
  <c r="Z155" i="16"/>
  <c r="Z156" i="16"/>
  <c r="Z157" i="16"/>
  <c r="Y147" i="16"/>
  <c r="Y148" i="16"/>
  <c r="Y149" i="16"/>
  <c r="Y150" i="16"/>
  <c r="Y151" i="16"/>
  <c r="Y152" i="16"/>
  <c r="Y153" i="16"/>
  <c r="Y154" i="16"/>
  <c r="Y155" i="16"/>
  <c r="Y156" i="16"/>
  <c r="Y157" i="16"/>
  <c r="X150" i="16"/>
  <c r="X151" i="16"/>
  <c r="X153" i="16"/>
  <c r="X155" i="16"/>
  <c r="X156" i="16"/>
  <c r="W149" i="16"/>
  <c r="W150" i="16"/>
  <c r="W151" i="16"/>
  <c r="W152" i="16"/>
  <c r="W154" i="16"/>
  <c r="W155" i="16"/>
  <c r="W156" i="16"/>
  <c r="V147" i="16"/>
  <c r="V148" i="16"/>
  <c r="V149" i="16"/>
  <c r="V150" i="16"/>
  <c r="V151" i="16"/>
  <c r="V152" i="16"/>
  <c r="V153" i="16"/>
  <c r="V155" i="16"/>
  <c r="V156" i="16"/>
  <c r="V157" i="16"/>
  <c r="U147" i="16"/>
  <c r="U148" i="16"/>
  <c r="U149" i="16"/>
  <c r="U150" i="16"/>
  <c r="U151" i="16"/>
  <c r="U152" i="16"/>
  <c r="U153" i="16"/>
  <c r="U154" i="16"/>
  <c r="U155" i="16"/>
  <c r="U156" i="16"/>
  <c r="U157" i="16"/>
  <c r="T147" i="16"/>
  <c r="T148" i="16"/>
  <c r="T149" i="16"/>
  <c r="T150" i="16"/>
  <c r="T151" i="16"/>
  <c r="T152" i="16"/>
  <c r="T153" i="16"/>
  <c r="T154" i="16"/>
  <c r="T155" i="16"/>
  <c r="T156" i="16"/>
  <c r="T157" i="16"/>
  <c r="Y248" i="13"/>
  <c r="X157" i="16" s="1"/>
  <c r="V248" i="13"/>
  <c r="AT248" i="13" s="1"/>
  <c r="AU248" i="13" s="1"/>
  <c r="Y245" i="13"/>
  <c r="X154" i="16" s="1"/>
  <c r="S245" i="13"/>
  <c r="AT245" i="13" s="1"/>
  <c r="AU245" i="13" s="1"/>
  <c r="V244" i="13"/>
  <c r="AT244" i="13" s="1"/>
  <c r="AU244" i="13" s="1"/>
  <c r="Y243" i="13"/>
  <c r="AT243" i="13" s="1"/>
  <c r="Y241" i="13"/>
  <c r="AT241" i="13" s="1"/>
  <c r="AU241" i="13" s="1"/>
  <c r="Y240" i="13"/>
  <c r="AT240" i="13" s="1"/>
  <c r="Y239" i="13"/>
  <c r="V239" i="13"/>
  <c r="W148" i="16" s="1"/>
  <c r="Y238" i="13"/>
  <c r="X147" i="16" s="1"/>
  <c r="V238" i="13"/>
  <c r="AT238" i="13" s="1"/>
  <c r="S147" i="16"/>
  <c r="S148" i="16"/>
  <c r="S149" i="16"/>
  <c r="S150" i="16"/>
  <c r="S151" i="16"/>
  <c r="S152" i="16"/>
  <c r="S153" i="16"/>
  <c r="S154" i="16"/>
  <c r="S155" i="16"/>
  <c r="S156" i="16"/>
  <c r="AJ156" i="16" s="1"/>
  <c r="S157" i="16"/>
  <c r="Q147" i="16" a="1"/>
  <c r="Q147" i="16" s="1"/>
  <c r="Q148" i="16" a="1"/>
  <c r="Q148" i="16" s="1"/>
  <c r="Q149" i="16" a="1"/>
  <c r="Q149" i="16" s="1"/>
  <c r="Q150" i="16" a="1"/>
  <c r="Q150" i="16" s="1"/>
  <c r="Q151" i="16" a="1"/>
  <c r="Q151" i="16" s="1"/>
  <c r="Q152" i="16" a="1"/>
  <c r="Q152" i="16" s="1"/>
  <c r="Q153" i="16" a="1"/>
  <c r="Q153" i="16" s="1"/>
  <c r="Q155" i="16" a="1"/>
  <c r="Q155" i="16" s="1"/>
  <c r="Q156" i="16" a="1"/>
  <c r="Q156" i="16" s="1"/>
  <c r="Q157" i="16" a="1"/>
  <c r="Q157" i="16" s="1"/>
  <c r="AQ147" i="16"/>
  <c r="AQ148" i="16"/>
  <c r="AQ149" i="16"/>
  <c r="AQ150" i="16"/>
  <c r="AQ151" i="16"/>
  <c r="AQ152" i="16"/>
  <c r="AQ153" i="16"/>
  <c r="AQ154" i="16"/>
  <c r="AQ155" i="16"/>
  <c r="AQ156" i="16"/>
  <c r="AQ157" i="16"/>
  <c r="AP147" i="16"/>
  <c r="AP148" i="16"/>
  <c r="AP149" i="16"/>
  <c r="AP150" i="16"/>
  <c r="AP151" i="16"/>
  <c r="AP152" i="16"/>
  <c r="AP153" i="16"/>
  <c r="AP154" i="16"/>
  <c r="AP155" i="16"/>
  <c r="AP156" i="16"/>
  <c r="AP157" i="16"/>
  <c r="AO148" i="16"/>
  <c r="AO149" i="16"/>
  <c r="AO150" i="16"/>
  <c r="AO151" i="16"/>
  <c r="AO152" i="16"/>
  <c r="AO153" i="16"/>
  <c r="AO154" i="16"/>
  <c r="AO155" i="16"/>
  <c r="AO156" i="16"/>
  <c r="AO157" i="16"/>
  <c r="AO147" i="16"/>
  <c r="AN147" i="16"/>
  <c r="AN148" i="16"/>
  <c r="AN149" i="16"/>
  <c r="AN150" i="16"/>
  <c r="AN151" i="16"/>
  <c r="AN152" i="16"/>
  <c r="AN153" i="16"/>
  <c r="AN154" i="16"/>
  <c r="Q154" i="16" s="1" a="1"/>
  <c r="Q154" i="16" s="1"/>
  <c r="AN155" i="16"/>
  <c r="AN156" i="16"/>
  <c r="AN157" i="16"/>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J149" i="16"/>
  <c r="AK149" i="16" s="1"/>
  <c r="AT239" i="13"/>
  <c r="AU239" i="13" s="1"/>
  <c r="AJ150" i="16"/>
  <c r="W157" i="16"/>
  <c r="AJ157" i="16" s="1"/>
  <c r="W147" i="16"/>
  <c r="AJ147" i="16" s="1"/>
  <c r="AK147" i="16" s="1"/>
  <c r="X149" i="16"/>
  <c r="X152" i="16"/>
  <c r="AJ152" i="16" s="1"/>
  <c r="AU242" i="13"/>
  <c r="AU238" i="13"/>
  <c r="AV238" i="13"/>
  <c r="AW238" i="13" s="1"/>
  <c r="AJ151" i="16"/>
  <c r="AK151" i="16" s="1"/>
  <c r="AV246" i="13"/>
  <c r="AW246" i="13" s="1"/>
  <c r="AU246" i="13"/>
  <c r="AK156" i="16"/>
  <c r="AV240" i="13"/>
  <c r="AW240" i="13" s="1"/>
  <c r="AU240" i="13"/>
  <c r="X148" i="16"/>
  <c r="AJ148" i="16" s="1"/>
  <c r="AV248" i="13"/>
  <c r="AW248" i="13" s="1"/>
  <c r="J236" i="13"/>
  <c r="AJ155" i="16"/>
  <c r="AK155" i="16" s="1"/>
  <c r="AV244" i="13"/>
  <c r="AW244" i="13" s="1"/>
  <c r="V154" i="16"/>
  <c r="AJ154" i="16" s="1"/>
  <c r="W153" i="16"/>
  <c r="AJ153" i="16" s="1"/>
  <c r="AV239" i="13"/>
  <c r="AW239" i="13" s="1"/>
  <c r="E50" i="30"/>
  <c r="E53" i="30"/>
  <c r="F47" i="30"/>
  <c r="G47" i="30" s="1"/>
  <c r="F53" i="30"/>
  <c r="G53" i="30" s="1"/>
  <c r="F52" i="30"/>
  <c r="G52" i="30" s="1"/>
  <c r="C54" i="30"/>
  <c r="C58" i="30" s="1"/>
  <c r="C34" i="30"/>
  <c r="E52" i="30"/>
  <c r="D54" i="30"/>
  <c r="C57" i="30"/>
  <c r="C21" i="30"/>
  <c r="C15" i="30" a="1"/>
  <c r="C15" i="30" s="1"/>
  <c r="C24" i="30"/>
  <c r="E47" i="30"/>
  <c r="F50" i="30"/>
  <c r="G50" i="30" s="1"/>
  <c r="AK150" i="16"/>
  <c r="AV241" i="13"/>
  <c r="AW241" i="13" s="1"/>
  <c r="AV245" i="13"/>
  <c r="AW245" i="13" s="1"/>
  <c r="AL155" i="16"/>
  <c r="AM155" i="16" s="1"/>
  <c r="AL149" i="16"/>
  <c r="AM149" i="16" s="1"/>
  <c r="Y237" i="13"/>
  <c r="Y236" i="13" s="1"/>
  <c r="V237" i="13"/>
  <c r="V236" i="13" s="1"/>
  <c r="AL150" i="16"/>
  <c r="AM150" i="16" s="1"/>
  <c r="R237" i="13"/>
  <c r="R236" i="13" s="1"/>
  <c r="AL157" i="16" l="1"/>
  <c r="AM157" i="16" s="1"/>
  <c r="AK157" i="16"/>
  <c r="AK152" i="16"/>
  <c r="AL152" i="16"/>
  <c r="AM152" i="16" s="1"/>
  <c r="AL151" i="16"/>
  <c r="AM151" i="16" s="1"/>
  <c r="AL148" i="16"/>
  <c r="AM148" i="16" s="1"/>
  <c r="AK148" i="16"/>
  <c r="AT236" i="13"/>
  <c r="AU236" i="13" s="1"/>
  <c r="AK153" i="16"/>
  <c r="AL153" i="16"/>
  <c r="AM153" i="16" s="1"/>
  <c r="AK154" i="16"/>
  <c r="AL154" i="16"/>
  <c r="AM154" i="16" s="1"/>
  <c r="D12" i="30" a="1"/>
  <c r="D12" i="30" s="1"/>
  <c r="AL147" i="16"/>
  <c r="AM147" i="16" s="1"/>
  <c r="AT237" i="13"/>
  <c r="AV236" i="13"/>
  <c r="AW236" i="13" s="1"/>
  <c r="E54" i="30"/>
  <c r="C42" i="30"/>
  <c r="C18" i="30"/>
  <c r="F54" i="30"/>
  <c r="G54" i="30" s="1"/>
  <c r="AL156" i="16"/>
  <c r="AM156" i="16" s="1"/>
  <c r="AU237" i="13" l="1"/>
  <c r="AV237" i="13"/>
  <c r="AW237" i="13" s="1"/>
  <c r="D32" i="30"/>
  <c r="F12" i="30"/>
  <c r="G12" i="30" s="1"/>
  <c r="E12" i="30"/>
  <c r="D31" i="30" l="1"/>
  <c r="F32" i="30"/>
  <c r="G32" i="30" s="1"/>
  <c r="E32" i="30"/>
  <c r="F31" i="30" l="1"/>
  <c r="E31" i="30"/>
  <c r="G31" i="30" l="1"/>
  <c r="AO5" i="16" l="1"/>
  <c r="AO6" i="16"/>
  <c r="AO7" i="16"/>
  <c r="AO8" i="16"/>
  <c r="AO9" i="16"/>
  <c r="AO10" i="16"/>
  <c r="AO11" i="16"/>
  <c r="AO12" i="16"/>
  <c r="AO13" i="16"/>
  <c r="AO14" i="16"/>
  <c r="AO15" i="16"/>
  <c r="AO16" i="16"/>
  <c r="AO17" i="16"/>
  <c r="AO18" i="16"/>
  <c r="AO19" i="16"/>
  <c r="AO20" i="16"/>
  <c r="AO21" i="16"/>
  <c r="AO22" i="16"/>
  <c r="AO23" i="16"/>
  <c r="AO24" i="16"/>
  <c r="AO25" i="16"/>
  <c r="AO26" i="16"/>
  <c r="AO27" i="16"/>
  <c r="AO28" i="16"/>
  <c r="AO29" i="16"/>
  <c r="AO30" i="16"/>
  <c r="AO31" i="16"/>
  <c r="AO32" i="16"/>
  <c r="AO33" i="16"/>
  <c r="AO34" i="16"/>
  <c r="AO35" i="16"/>
  <c r="AO36" i="16"/>
  <c r="AO37" i="16"/>
  <c r="AO38" i="16"/>
  <c r="AO39" i="16"/>
  <c r="AO40" i="16"/>
  <c r="AO41" i="16"/>
  <c r="AO42" i="16"/>
  <c r="AO43" i="16"/>
  <c r="AO44" i="16"/>
  <c r="AO45" i="16"/>
  <c r="AO46" i="16"/>
  <c r="AO47" i="16"/>
  <c r="AO48" i="16"/>
  <c r="AO49" i="16"/>
  <c r="AO50" i="16"/>
  <c r="AO51" i="16"/>
  <c r="AO52" i="16"/>
  <c r="AO53" i="16"/>
  <c r="AO54" i="16"/>
  <c r="AO55" i="16"/>
  <c r="AO56" i="16"/>
  <c r="AO57" i="16"/>
  <c r="AO58" i="16"/>
  <c r="AO59" i="16"/>
  <c r="AO60" i="16"/>
  <c r="AO61" i="16"/>
  <c r="AO62" i="16"/>
  <c r="AO63" i="16"/>
  <c r="AO64" i="16"/>
  <c r="AO65" i="16"/>
  <c r="AO66" i="16"/>
  <c r="AO67" i="16"/>
  <c r="AO68" i="16"/>
  <c r="AO69" i="16"/>
  <c r="AO70" i="16"/>
  <c r="AO71" i="16"/>
  <c r="AO72" i="16"/>
  <c r="AO73" i="16"/>
  <c r="AO74" i="16"/>
  <c r="AO75" i="16"/>
  <c r="AO76" i="16"/>
  <c r="AO77" i="16"/>
  <c r="AO78" i="16"/>
  <c r="AO79" i="16"/>
  <c r="AO80" i="16"/>
  <c r="AO81" i="16"/>
  <c r="AO82" i="16"/>
  <c r="AO83" i="16"/>
  <c r="AO84" i="16"/>
  <c r="AO85" i="16"/>
  <c r="AO86" i="16"/>
  <c r="AO87" i="16"/>
  <c r="AO88" i="16"/>
  <c r="AO89" i="16"/>
  <c r="AO90" i="16"/>
  <c r="AO91" i="16"/>
  <c r="AO92" i="16"/>
  <c r="AO93" i="16"/>
  <c r="AO94" i="16"/>
  <c r="AO95" i="16"/>
  <c r="AO96" i="16"/>
  <c r="AO97" i="16"/>
  <c r="AO98" i="16"/>
  <c r="AO99" i="16"/>
  <c r="AO100" i="16"/>
  <c r="AO101" i="16"/>
  <c r="AO102" i="16"/>
  <c r="AO103" i="16"/>
  <c r="AO104" i="16"/>
  <c r="AO105" i="16"/>
  <c r="AO106" i="16"/>
  <c r="AO107" i="16"/>
  <c r="AO108" i="16"/>
  <c r="AO109" i="16"/>
  <c r="AO110" i="16"/>
  <c r="AO111" i="16"/>
  <c r="AO112" i="16"/>
  <c r="AO113" i="16"/>
  <c r="AO114" i="16"/>
  <c r="AO115" i="16"/>
  <c r="AO116" i="16"/>
  <c r="AO117" i="16"/>
  <c r="AO118" i="16"/>
  <c r="AO119" i="16"/>
  <c r="AO120" i="16"/>
  <c r="AO121" i="16"/>
  <c r="AO122" i="16"/>
  <c r="AO123" i="16"/>
  <c r="AO124" i="16"/>
  <c r="AO125" i="16"/>
  <c r="AO126" i="16"/>
  <c r="AO127" i="16"/>
  <c r="AO128" i="16"/>
  <c r="AO129" i="16"/>
  <c r="AO130" i="16"/>
  <c r="AO131" i="16"/>
  <c r="AO132" i="16"/>
  <c r="AO133" i="16"/>
  <c r="AO134" i="16"/>
  <c r="AO135" i="16"/>
  <c r="AO136" i="16"/>
  <c r="AO137" i="16"/>
  <c r="AO138" i="16"/>
  <c r="AO139" i="16"/>
  <c r="AO140" i="16"/>
  <c r="AO141" i="16"/>
  <c r="AO142" i="16"/>
  <c r="AO143" i="16"/>
  <c r="AO4" i="16"/>
  <c r="D47" i="14" s="1" a="1"/>
  <c r="D47" i="14" s="1"/>
  <c r="D45" i="14" l="1" a="1"/>
  <c r="D45" i="14" s="1"/>
  <c r="D42" i="14" a="1"/>
  <c r="D42" i="14" s="1"/>
  <c r="D48" i="14" a="1"/>
  <c r="D48" i="14" s="1"/>
  <c r="C47" i="14" a="1"/>
  <c r="C47" i="14" s="1"/>
  <c r="E47" i="14" s="1"/>
  <c r="C42" i="14" a="1"/>
  <c r="C42" i="14" s="1"/>
  <c r="C48" i="14" a="1"/>
  <c r="C48" i="14" s="1"/>
  <c r="C45" i="14" a="1"/>
  <c r="C45" i="14" s="1"/>
  <c r="E45" i="14" l="1"/>
  <c r="E48" i="14"/>
  <c r="AQ4" i="16"/>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P5" i="16"/>
  <c r="AP6" i="16"/>
  <c r="AP7" i="16"/>
  <c r="AP8" i="16"/>
  <c r="AP9" i="16"/>
  <c r="AP10" i="16"/>
  <c r="AP11" i="16"/>
  <c r="AP12" i="16"/>
  <c r="AP13" i="16"/>
  <c r="AP14" i="16"/>
  <c r="AP15" i="16"/>
  <c r="AP16" i="16"/>
  <c r="AP17" i="16"/>
  <c r="AP18" i="16"/>
  <c r="AP19" i="16"/>
  <c r="AP20" i="16"/>
  <c r="AP21" i="16"/>
  <c r="AP22" i="16"/>
  <c r="AP23" i="16"/>
  <c r="AP24" i="16"/>
  <c r="AP25" i="16"/>
  <c r="AP26" i="16"/>
  <c r="AP27" i="16"/>
  <c r="AP28" i="16"/>
  <c r="AP29" i="16"/>
  <c r="AP30" i="16"/>
  <c r="AP31" i="16"/>
  <c r="AP32" i="16"/>
  <c r="AP33" i="16"/>
  <c r="AP34" i="16"/>
  <c r="AP35" i="16"/>
  <c r="AP36" i="16"/>
  <c r="AP37" i="16"/>
  <c r="AP38" i="16"/>
  <c r="AP39" i="16"/>
  <c r="AP40" i="16"/>
  <c r="AP41" i="16"/>
  <c r="AP42" i="16"/>
  <c r="AP43" i="16"/>
  <c r="AP44" i="16"/>
  <c r="AP45" i="16"/>
  <c r="AP46" i="16"/>
  <c r="AP47" i="16"/>
  <c r="AP48" i="16"/>
  <c r="AP49" i="16"/>
  <c r="AP50" i="16"/>
  <c r="AP51" i="16"/>
  <c r="AP52" i="16"/>
  <c r="AP53" i="16"/>
  <c r="AP54" i="16"/>
  <c r="AP55" i="16"/>
  <c r="AP56" i="16"/>
  <c r="AP57" i="16"/>
  <c r="AP58" i="16"/>
  <c r="AP59" i="16"/>
  <c r="AP60" i="16"/>
  <c r="AP61" i="16"/>
  <c r="AP62" i="16"/>
  <c r="AP63" i="16"/>
  <c r="AP64" i="16"/>
  <c r="AP65" i="16"/>
  <c r="AP66" i="16"/>
  <c r="AP67" i="16"/>
  <c r="AP68" i="16"/>
  <c r="AP69" i="16"/>
  <c r="AP70" i="16"/>
  <c r="AP71" i="16"/>
  <c r="AP72" i="16"/>
  <c r="AP73" i="16"/>
  <c r="AP74" i="16"/>
  <c r="AP75" i="16"/>
  <c r="AP76" i="16"/>
  <c r="AP77" i="16"/>
  <c r="AP78" i="16"/>
  <c r="AP79" i="16"/>
  <c r="AP80" i="16"/>
  <c r="AP81" i="16"/>
  <c r="AP82" i="16"/>
  <c r="AP83" i="16"/>
  <c r="AP84" i="16"/>
  <c r="AP85" i="16"/>
  <c r="AP86" i="16"/>
  <c r="AP87" i="16"/>
  <c r="AP88" i="16"/>
  <c r="AP89" i="16"/>
  <c r="AP90" i="16"/>
  <c r="AP91" i="16"/>
  <c r="AP92" i="16"/>
  <c r="AP93" i="16"/>
  <c r="AP94" i="16"/>
  <c r="AP95" i="16"/>
  <c r="AP96" i="16"/>
  <c r="AP97" i="16"/>
  <c r="AP98" i="16"/>
  <c r="AP99" i="16"/>
  <c r="AP100" i="16"/>
  <c r="AP101" i="16"/>
  <c r="AP102" i="16"/>
  <c r="AP103" i="16"/>
  <c r="AP104" i="16"/>
  <c r="AP105" i="16"/>
  <c r="AP106" i="16"/>
  <c r="AP107" i="16"/>
  <c r="AP108" i="16"/>
  <c r="AP109" i="16"/>
  <c r="AP110" i="16"/>
  <c r="AP111" i="16"/>
  <c r="AP112" i="16"/>
  <c r="AP113" i="16"/>
  <c r="AP114" i="16"/>
  <c r="AP115" i="16"/>
  <c r="AP116" i="16"/>
  <c r="AP117" i="16"/>
  <c r="AP118" i="16"/>
  <c r="AP119" i="16"/>
  <c r="AP120" i="16"/>
  <c r="AP121" i="16"/>
  <c r="AP122" i="16"/>
  <c r="AP123" i="16"/>
  <c r="AP124" i="16"/>
  <c r="AP125" i="16"/>
  <c r="AP126" i="16"/>
  <c r="AP127" i="16"/>
  <c r="AP128" i="16"/>
  <c r="AP129" i="16"/>
  <c r="AP130" i="16"/>
  <c r="AP131" i="16"/>
  <c r="AP132" i="16"/>
  <c r="AP133" i="16"/>
  <c r="AP134" i="16"/>
  <c r="AP135" i="16"/>
  <c r="AP136" i="16"/>
  <c r="AP137" i="16"/>
  <c r="AP138" i="16"/>
  <c r="AP139" i="16"/>
  <c r="AP140" i="16"/>
  <c r="AP141" i="16"/>
  <c r="AP142" i="16"/>
  <c r="AP143" i="16"/>
  <c r="AP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N5" i="16"/>
  <c r="Q5" i="16" s="1" a="1"/>
  <c r="Q5" i="16" s="1"/>
  <c r="AN6" i="16"/>
  <c r="Q6" i="16" s="1" a="1"/>
  <c r="Q6" i="16" s="1"/>
  <c r="AN7" i="16"/>
  <c r="Q7" i="16" s="1" a="1"/>
  <c r="Q7" i="16" s="1"/>
  <c r="AN8" i="16"/>
  <c r="Q8" i="16" s="1" a="1"/>
  <c r="Q8" i="16" s="1"/>
  <c r="AN9" i="16"/>
  <c r="Q9" i="16" s="1" a="1"/>
  <c r="Q9" i="16" s="1"/>
  <c r="AN10" i="16"/>
  <c r="Q10" i="16" s="1" a="1"/>
  <c r="Q10" i="16" s="1"/>
  <c r="AN11" i="16"/>
  <c r="Q11" i="16" s="1" a="1"/>
  <c r="Q11" i="16" s="1"/>
  <c r="AN12" i="16"/>
  <c r="Q12" i="16" s="1" a="1"/>
  <c r="Q12" i="16" s="1"/>
  <c r="AN13" i="16"/>
  <c r="Q13" i="16" s="1" a="1"/>
  <c r="Q13" i="16" s="1"/>
  <c r="AN14" i="16"/>
  <c r="Q14" i="16" s="1" a="1"/>
  <c r="Q14" i="16" s="1"/>
  <c r="AN15" i="16"/>
  <c r="Q15" i="16" s="1" a="1"/>
  <c r="Q15" i="16" s="1"/>
  <c r="AN16" i="16"/>
  <c r="Q16" i="16" s="1" a="1"/>
  <c r="Q16" i="16" s="1"/>
  <c r="AN17" i="16"/>
  <c r="Q17" i="16" s="1" a="1"/>
  <c r="Q17" i="16" s="1"/>
  <c r="AN18" i="16"/>
  <c r="Q18" i="16" s="1" a="1"/>
  <c r="Q18" i="16" s="1"/>
  <c r="AN19" i="16"/>
  <c r="Q19" i="16" s="1" a="1"/>
  <c r="Q19" i="16" s="1"/>
  <c r="AN20" i="16"/>
  <c r="Q20" i="16" s="1" a="1"/>
  <c r="Q20" i="16" s="1"/>
  <c r="AN21" i="16"/>
  <c r="Q21" i="16" s="1" a="1"/>
  <c r="Q21" i="16" s="1"/>
  <c r="AN22" i="16"/>
  <c r="Q22" i="16" s="1" a="1"/>
  <c r="Q22" i="16" s="1"/>
  <c r="AN23" i="16"/>
  <c r="Q23" i="16" s="1" a="1"/>
  <c r="Q23" i="16" s="1"/>
  <c r="C50" i="14" s="1" a="1"/>
  <c r="C50" i="14" s="1"/>
  <c r="AN24" i="16"/>
  <c r="Q24" i="16" s="1" a="1"/>
  <c r="Q24" i="16" s="1"/>
  <c r="AN25" i="16"/>
  <c r="Q25" i="16" s="1" a="1"/>
  <c r="Q25" i="16" s="1"/>
  <c r="AN26" i="16"/>
  <c r="Q26" i="16" s="1" a="1"/>
  <c r="Q26" i="16" s="1"/>
  <c r="AN27" i="16"/>
  <c r="Q27" i="16" s="1" a="1"/>
  <c r="Q27" i="16" s="1"/>
  <c r="AN28" i="16"/>
  <c r="Q28" i="16" s="1" a="1"/>
  <c r="Q28" i="16" s="1"/>
  <c r="AN29" i="16"/>
  <c r="Q29" i="16" s="1" a="1"/>
  <c r="Q29" i="16" s="1"/>
  <c r="AN30" i="16"/>
  <c r="Q30" i="16" s="1" a="1"/>
  <c r="Q30" i="16" s="1"/>
  <c r="AN31" i="16"/>
  <c r="Q31" i="16" s="1" a="1"/>
  <c r="Q31" i="16" s="1"/>
  <c r="AN32" i="16"/>
  <c r="Q32" i="16" s="1" a="1"/>
  <c r="Q32" i="16" s="1"/>
  <c r="AN33" i="16"/>
  <c r="Q33" i="16" s="1" a="1"/>
  <c r="Q33" i="16" s="1"/>
  <c r="AN34" i="16"/>
  <c r="Q34" i="16" s="1" a="1"/>
  <c r="Q34" i="16" s="1"/>
  <c r="AN35" i="16"/>
  <c r="Q35" i="16" s="1" a="1"/>
  <c r="Q35" i="16" s="1"/>
  <c r="AN36" i="16"/>
  <c r="Q36" i="16" s="1" a="1"/>
  <c r="Q36" i="16" s="1"/>
  <c r="AN37" i="16"/>
  <c r="Q37" i="16" s="1" a="1"/>
  <c r="Q37" i="16" s="1"/>
  <c r="AN38" i="16"/>
  <c r="Q38" i="16" s="1" a="1"/>
  <c r="Q38" i="16" s="1"/>
  <c r="AN39" i="16"/>
  <c r="Q39" i="16" s="1" a="1"/>
  <c r="Q39" i="16" s="1"/>
  <c r="AN40" i="16"/>
  <c r="Q40" i="16" s="1" a="1"/>
  <c r="Q40" i="16" s="1"/>
  <c r="AN41" i="16"/>
  <c r="Q41" i="16" s="1" a="1"/>
  <c r="Q41" i="16" s="1"/>
  <c r="AN42" i="16"/>
  <c r="Q42" i="16" s="1" a="1"/>
  <c r="Q42" i="16" s="1"/>
  <c r="AN43" i="16"/>
  <c r="Q43" i="16" s="1" a="1"/>
  <c r="Q43" i="16" s="1"/>
  <c r="AN44" i="16"/>
  <c r="Q44" i="16" s="1" a="1"/>
  <c r="Q44" i="16" s="1"/>
  <c r="AN45" i="16"/>
  <c r="Q45" i="16" s="1" a="1"/>
  <c r="Q45" i="16" s="1"/>
  <c r="AN46" i="16"/>
  <c r="Q46" i="16" s="1" a="1"/>
  <c r="Q46" i="16" s="1"/>
  <c r="AN47" i="16"/>
  <c r="Q47" i="16" s="1" a="1"/>
  <c r="Q47" i="16" s="1"/>
  <c r="AN48" i="16"/>
  <c r="Q48" i="16" s="1" a="1"/>
  <c r="Q48" i="16" s="1"/>
  <c r="AN49" i="16"/>
  <c r="Q49" i="16" s="1" a="1"/>
  <c r="Q49" i="16" s="1"/>
  <c r="AN50" i="16"/>
  <c r="Q50" i="16" s="1" a="1"/>
  <c r="Q50" i="16" s="1"/>
  <c r="AN51" i="16"/>
  <c r="Q51" i="16" s="1" a="1"/>
  <c r="Q51" i="16" s="1"/>
  <c r="AN52" i="16"/>
  <c r="Q52" i="16" s="1" a="1"/>
  <c r="Q52" i="16" s="1"/>
  <c r="AN53" i="16"/>
  <c r="Q53" i="16" s="1" a="1"/>
  <c r="Q53" i="16" s="1"/>
  <c r="AN54" i="16"/>
  <c r="Q54" i="16" s="1" a="1"/>
  <c r="Q54" i="16" s="1"/>
  <c r="AN55" i="16"/>
  <c r="Q55" i="16" s="1" a="1"/>
  <c r="Q55" i="16" s="1"/>
  <c r="AN56" i="16"/>
  <c r="Q56" i="16" s="1" a="1"/>
  <c r="Q56" i="16" s="1"/>
  <c r="AN57" i="16"/>
  <c r="Q57" i="16" s="1" a="1"/>
  <c r="Q57" i="16" s="1"/>
  <c r="AN58" i="16"/>
  <c r="Q58" i="16" s="1" a="1"/>
  <c r="Q58" i="16" s="1"/>
  <c r="AN59" i="16"/>
  <c r="Q59" i="16" s="1" a="1"/>
  <c r="Q59" i="16" s="1"/>
  <c r="AN60" i="16"/>
  <c r="Q60" i="16" s="1" a="1"/>
  <c r="Q60" i="16" s="1"/>
  <c r="AN61" i="16"/>
  <c r="Q61" i="16" s="1" a="1"/>
  <c r="Q61" i="16" s="1"/>
  <c r="AN62" i="16"/>
  <c r="Q62" i="16" s="1" a="1"/>
  <c r="Q62" i="16" s="1"/>
  <c r="AN63" i="16"/>
  <c r="Q63" i="16" s="1" a="1"/>
  <c r="Q63" i="16" s="1"/>
  <c r="AN64" i="16"/>
  <c r="Q64" i="16" s="1" a="1"/>
  <c r="Q64" i="16" s="1"/>
  <c r="AN65" i="16"/>
  <c r="Q65" i="16" s="1" a="1"/>
  <c r="Q65" i="16" s="1"/>
  <c r="AN66" i="16"/>
  <c r="Q66" i="16" s="1" a="1"/>
  <c r="Q66" i="16" s="1"/>
  <c r="AN67" i="16"/>
  <c r="Q67" i="16" s="1" a="1"/>
  <c r="Q67" i="16" s="1"/>
  <c r="AN68" i="16"/>
  <c r="Q68" i="16" s="1" a="1"/>
  <c r="Q68" i="16" s="1"/>
  <c r="AN69" i="16"/>
  <c r="Q69" i="16" s="1" a="1"/>
  <c r="Q69" i="16" s="1"/>
  <c r="AN70" i="16"/>
  <c r="Q70" i="16" s="1" a="1"/>
  <c r="Q70" i="16" s="1"/>
  <c r="AN71" i="16"/>
  <c r="Q71" i="16" s="1" a="1"/>
  <c r="Q71" i="16" s="1"/>
  <c r="AN72" i="16"/>
  <c r="Q72" i="16" s="1" a="1"/>
  <c r="Q72" i="16" s="1"/>
  <c r="AN73" i="16"/>
  <c r="Q73" i="16" s="1" a="1"/>
  <c r="Q73" i="16" s="1"/>
  <c r="AN74" i="16"/>
  <c r="Q74" i="16" s="1" a="1"/>
  <c r="Q74" i="16" s="1"/>
  <c r="AN75" i="16"/>
  <c r="Q75" i="16" s="1" a="1"/>
  <c r="Q75" i="16" s="1"/>
  <c r="AN76" i="16"/>
  <c r="Q76" i="16" s="1" a="1"/>
  <c r="Q76" i="16" s="1"/>
  <c r="AN77" i="16"/>
  <c r="Q77" i="16" s="1" a="1"/>
  <c r="Q77" i="16" s="1"/>
  <c r="AN78" i="16"/>
  <c r="Q78" i="16" s="1" a="1"/>
  <c r="Q78" i="16" s="1"/>
  <c r="AN79" i="16"/>
  <c r="Q79" i="16" s="1" a="1"/>
  <c r="Q79" i="16" s="1"/>
  <c r="AN80" i="16"/>
  <c r="Q80" i="16" s="1" a="1"/>
  <c r="Q80" i="16" s="1"/>
  <c r="AN81" i="16"/>
  <c r="Q81" i="16" s="1" a="1"/>
  <c r="Q81" i="16" s="1"/>
  <c r="AN82" i="16"/>
  <c r="Q82" i="16" s="1" a="1"/>
  <c r="Q82" i="16" s="1"/>
  <c r="AN83" i="16"/>
  <c r="Q83" i="16" s="1" a="1"/>
  <c r="Q83" i="16" s="1"/>
  <c r="AN84" i="16"/>
  <c r="Q84" i="16" s="1" a="1"/>
  <c r="Q84" i="16" s="1"/>
  <c r="AN85" i="16"/>
  <c r="Q85" i="16" s="1" a="1"/>
  <c r="Q85" i="16" s="1"/>
  <c r="AN86" i="16"/>
  <c r="Q86" i="16" s="1" a="1"/>
  <c r="Q86" i="16" s="1"/>
  <c r="AN87" i="16"/>
  <c r="Q87" i="16" s="1" a="1"/>
  <c r="Q87" i="16" s="1"/>
  <c r="AN88" i="16"/>
  <c r="Q88" i="16" s="1" a="1"/>
  <c r="Q88" i="16" s="1"/>
  <c r="AN89" i="16"/>
  <c r="Q89" i="16" s="1" a="1"/>
  <c r="Q89" i="16" s="1"/>
  <c r="AN90" i="16"/>
  <c r="Q90" i="16" s="1" a="1"/>
  <c r="Q90" i="16" s="1"/>
  <c r="AN91" i="16"/>
  <c r="Q91" i="16" s="1" a="1"/>
  <c r="Q91" i="16" s="1"/>
  <c r="AN92" i="16"/>
  <c r="Q92" i="16" s="1" a="1"/>
  <c r="Q92" i="16" s="1"/>
  <c r="AN93" i="16"/>
  <c r="Q93" i="16" s="1" a="1"/>
  <c r="Q93" i="16" s="1"/>
  <c r="AN94" i="16"/>
  <c r="Q94" i="16" s="1" a="1"/>
  <c r="Q94" i="16" s="1"/>
  <c r="AN95" i="16"/>
  <c r="Q95" i="16" s="1" a="1"/>
  <c r="Q95" i="16" s="1"/>
  <c r="AN96" i="16"/>
  <c r="Q96" i="16" s="1" a="1"/>
  <c r="Q96" i="16" s="1"/>
  <c r="AN97" i="16"/>
  <c r="Q97" i="16" s="1" a="1"/>
  <c r="Q97" i="16" s="1"/>
  <c r="AN98" i="16"/>
  <c r="Q98" i="16" s="1" a="1"/>
  <c r="Q98" i="16" s="1"/>
  <c r="AN99" i="16"/>
  <c r="Q99" i="16" s="1" a="1"/>
  <c r="Q99" i="16" s="1"/>
  <c r="AN100" i="16"/>
  <c r="Q100" i="16" s="1" a="1"/>
  <c r="Q100" i="16" s="1"/>
  <c r="AN101" i="16"/>
  <c r="Q101" i="16" s="1" a="1"/>
  <c r="Q101" i="16" s="1"/>
  <c r="AN102" i="16"/>
  <c r="Q102" i="16" s="1" a="1"/>
  <c r="Q102" i="16" s="1"/>
  <c r="AN103" i="16"/>
  <c r="Q103" i="16" s="1" a="1"/>
  <c r="Q103" i="16" s="1"/>
  <c r="AN104" i="16"/>
  <c r="Q104" i="16" s="1" a="1"/>
  <c r="Q104" i="16" s="1"/>
  <c r="AN105" i="16"/>
  <c r="Q105" i="16" s="1" a="1"/>
  <c r="Q105" i="16" s="1"/>
  <c r="AN106" i="16"/>
  <c r="Q106" i="16" s="1" a="1"/>
  <c r="Q106" i="16" s="1"/>
  <c r="AN107" i="16"/>
  <c r="Q107" i="16" s="1" a="1"/>
  <c r="Q107" i="16" s="1"/>
  <c r="AN108" i="16"/>
  <c r="Q108" i="16" s="1" a="1"/>
  <c r="Q108" i="16" s="1"/>
  <c r="AN109" i="16"/>
  <c r="Q109" i="16" s="1" a="1"/>
  <c r="Q109" i="16" s="1"/>
  <c r="AN110" i="16"/>
  <c r="Q110" i="16" s="1" a="1"/>
  <c r="Q110" i="16" s="1"/>
  <c r="AN111" i="16"/>
  <c r="Q111" i="16" s="1" a="1"/>
  <c r="Q111" i="16" s="1"/>
  <c r="AN112" i="16"/>
  <c r="Q112" i="16" s="1" a="1"/>
  <c r="Q112" i="16" s="1"/>
  <c r="AN113" i="16"/>
  <c r="Q113" i="16" s="1" a="1"/>
  <c r="Q113" i="16" s="1"/>
  <c r="AN114" i="16"/>
  <c r="Q114" i="16" s="1" a="1"/>
  <c r="Q114" i="16" s="1"/>
  <c r="AN115" i="16"/>
  <c r="Q115" i="16" s="1" a="1"/>
  <c r="Q115" i="16" s="1"/>
  <c r="AN116" i="16"/>
  <c r="Q116" i="16" s="1" a="1"/>
  <c r="Q116" i="16" s="1"/>
  <c r="AN117" i="16"/>
  <c r="Q117" i="16" s="1" a="1"/>
  <c r="Q117" i="16" s="1"/>
  <c r="AN118" i="16"/>
  <c r="Q118" i="16" s="1" a="1"/>
  <c r="Q118" i="16" s="1"/>
  <c r="AN119" i="16"/>
  <c r="Q119" i="16" s="1" a="1"/>
  <c r="Q119" i="16" s="1"/>
  <c r="AN120" i="16"/>
  <c r="Q120" i="16" s="1" a="1"/>
  <c r="Q120" i="16" s="1"/>
  <c r="AN121" i="16"/>
  <c r="Q121" i="16" s="1" a="1"/>
  <c r="Q121" i="16" s="1"/>
  <c r="AN122" i="16"/>
  <c r="Q122" i="16" s="1" a="1"/>
  <c r="Q122" i="16" s="1"/>
  <c r="AN123" i="16"/>
  <c r="Q123" i="16" s="1" a="1"/>
  <c r="Q123" i="16" s="1"/>
  <c r="AN124" i="16"/>
  <c r="Q124" i="16" s="1" a="1"/>
  <c r="Q124" i="16" s="1"/>
  <c r="AN125" i="16"/>
  <c r="Q125" i="16" s="1" a="1"/>
  <c r="Q125" i="16" s="1"/>
  <c r="AN126" i="16"/>
  <c r="Q126" i="16" s="1" a="1"/>
  <c r="Q126" i="16" s="1"/>
  <c r="AN127" i="16"/>
  <c r="Q127" i="16" s="1" a="1"/>
  <c r="Q127" i="16" s="1"/>
  <c r="AN128" i="16"/>
  <c r="Q128" i="16" s="1" a="1"/>
  <c r="Q128" i="16" s="1"/>
  <c r="AN129" i="16"/>
  <c r="Q129" i="16" s="1" a="1"/>
  <c r="Q129" i="16" s="1"/>
  <c r="AN130" i="16"/>
  <c r="Q130" i="16" s="1" a="1"/>
  <c r="Q130" i="16" s="1"/>
  <c r="AN131" i="16"/>
  <c r="Q131" i="16" s="1" a="1"/>
  <c r="Q131" i="16" s="1"/>
  <c r="AN132" i="16"/>
  <c r="Q132" i="16" s="1" a="1"/>
  <c r="Q132" i="16" s="1"/>
  <c r="AN133" i="16"/>
  <c r="Q133" i="16" s="1" a="1"/>
  <c r="Q133" i="16" s="1"/>
  <c r="AN134" i="16"/>
  <c r="Q134" i="16" s="1" a="1"/>
  <c r="Q134" i="16" s="1"/>
  <c r="AN135" i="16"/>
  <c r="Q135" i="16" s="1" a="1"/>
  <c r="Q135" i="16" s="1"/>
  <c r="AN136" i="16"/>
  <c r="Q136" i="16" s="1" a="1"/>
  <c r="Q136" i="16" s="1"/>
  <c r="AN137" i="16"/>
  <c r="Q137" i="16" s="1" a="1"/>
  <c r="Q137" i="16" s="1"/>
  <c r="AN138" i="16"/>
  <c r="Q138" i="16" s="1" a="1"/>
  <c r="Q138" i="16" s="1"/>
  <c r="AN139" i="16"/>
  <c r="Q139" i="16" s="1" a="1"/>
  <c r="Q139" i="16" s="1"/>
  <c r="AN140" i="16"/>
  <c r="AN141" i="16"/>
  <c r="Q141" i="16" s="1" a="1"/>
  <c r="Q141" i="16" s="1"/>
  <c r="AN142" i="16"/>
  <c r="Q142" i="16" s="1" a="1"/>
  <c r="Q142" i="16" s="1"/>
  <c r="AN143" i="16"/>
  <c r="Q143" i="16" s="1" a="1"/>
  <c r="Q143" i="16" s="1"/>
  <c r="AN4" i="16"/>
  <c r="Q4" i="16" s="1" a="1"/>
  <c r="Q4" i="16" s="1"/>
  <c r="C17" i="14" s="1" a="1"/>
  <c r="C17" i="14" s="1"/>
  <c r="G4" i="29"/>
  <c r="C51" i="14" a="1"/>
  <c r="C51" i="14" s="1"/>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8" i="13" s="1"/>
  <c r="G17" i="13" s="1"/>
  <c r="G16" i="13" s="1"/>
  <c r="G15" i="13" s="1"/>
  <c r="G148" i="13"/>
  <c r="G147" i="13" s="1"/>
  <c r="G124" i="13"/>
  <c r="G123" i="13" s="1"/>
  <c r="G183" i="13"/>
  <c r="G182" i="13" s="1"/>
  <c r="G166" i="13"/>
  <c r="G165" i="13" s="1"/>
  <c r="G207" i="13"/>
  <c r="G206" i="13" s="1"/>
  <c r="G205" i="13" s="1"/>
  <c r="G204" i="13" s="1"/>
  <c r="C10" i="14" a="1"/>
  <c r="C10" i="14" s="1"/>
  <c r="C18" i="14" a="1"/>
  <c r="C18" i="14" s="1"/>
  <c r="C15" i="14" a="1"/>
  <c r="C15" i="14" s="1"/>
  <c r="C21" i="14" a="1"/>
  <c r="C21" i="14" s="1"/>
  <c r="C11" i="14" a="1"/>
  <c r="C11" i="14" s="1"/>
  <c r="C8" i="14" a="1"/>
  <c r="C8" i="14" s="1"/>
  <c r="C20" i="14" a="1"/>
  <c r="C20" i="14" s="1"/>
  <c r="Q140" i="16" a="1"/>
  <c r="Q140" i="16" s="1"/>
  <c r="C41" i="14" a="1"/>
  <c r="C41" i="14" s="1"/>
  <c r="C30" i="14" a="1"/>
  <c r="C30" i="14" s="1"/>
  <c r="R144" i="16"/>
  <c r="E145" i="29"/>
  <c r="T10" i="23" a="1"/>
  <c r="T10" i="23" s="1"/>
  <c r="Y112" i="13"/>
  <c r="Y47" i="13"/>
  <c r="G146" i="13" l="1"/>
  <c r="G67" i="13"/>
  <c r="G61" i="13" s="1"/>
  <c r="G60" i="13" s="1"/>
  <c r="G14" i="13" s="1"/>
  <c r="C33" i="14"/>
  <c r="C14" i="14" a="1"/>
  <c r="C14" i="14" s="1"/>
  <c r="C13" i="14" s="1" a="1"/>
  <c r="C13" i="14" s="1"/>
  <c r="C44" i="14" a="1"/>
  <c r="C44" i="14" s="1"/>
  <c r="C32" i="14" a="1"/>
  <c r="C32" i="14" s="1"/>
  <c r="O4" i="23"/>
  <c r="H511" i="10"/>
  <c r="M16" i="24"/>
  <c r="O9" i="23" l="1"/>
  <c r="J37" i="25" s="1"/>
  <c r="O7" i="23"/>
  <c r="J34" i="25" s="1"/>
  <c r="O2" i="23"/>
  <c r="O5" i="2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Y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BH61" i="13" s="1"/>
  <c r="BH60" i="13" s="1"/>
  <c r="BH14" i="13" s="1"/>
  <c r="Y59" i="13"/>
  <c r="F70" i="13"/>
  <c r="F69" i="13" s="1"/>
  <c r="W185" i="13"/>
  <c r="W135"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X94" i="16"/>
  <c r="AW95" i="16"/>
  <c r="AX95" i="16"/>
  <c r="AW96" i="16"/>
  <c r="AX96" i="16"/>
  <c r="AW97" i="16"/>
  <c r="AX97" i="16"/>
  <c r="AW98" i="16"/>
  <c r="AX98" i="16"/>
  <c r="AW99" i="16"/>
  <c r="AX99" i="16"/>
  <c r="AW100" i="16"/>
  <c r="AX100" i="16"/>
  <c r="AW101" i="16"/>
  <c r="AX101" i="16"/>
  <c r="AW102" i="16"/>
  <c r="AX102" i="16"/>
  <c r="AW103" i="16"/>
  <c r="AX103" i="16"/>
  <c r="AW104" i="16"/>
  <c r="AX104" i="16"/>
  <c r="AW105" i="16"/>
  <c r="AX105" i="16"/>
  <c r="AW106" i="16"/>
  <c r="AX106" i="16"/>
  <c r="AW107" i="16"/>
  <c r="AX107" i="16"/>
  <c r="AW108" i="16"/>
  <c r="AX108" i="16"/>
  <c r="AW109" i="16"/>
  <c r="AX109" i="16"/>
  <c r="AW110" i="16"/>
  <c r="AX110" i="16"/>
  <c r="AW111" i="16"/>
  <c r="AX111" i="16"/>
  <c r="AW112" i="16"/>
  <c r="AX112" i="16"/>
  <c r="AW113" i="16"/>
  <c r="AX113" i="16"/>
  <c r="AW114" i="16"/>
  <c r="AX114" i="16"/>
  <c r="AW115" i="16"/>
  <c r="AX115" i="16"/>
  <c r="AW116" i="16"/>
  <c r="AX116" i="16"/>
  <c r="AW117" i="16"/>
  <c r="AX117" i="16"/>
  <c r="AW118" i="16"/>
  <c r="AX118" i="16"/>
  <c r="AW119" i="16"/>
  <c r="AX119" i="16"/>
  <c r="AW120" i="16"/>
  <c r="AX120" i="16"/>
  <c r="AW121" i="16"/>
  <c r="AX121" i="16"/>
  <c r="AW122" i="16"/>
  <c r="AX122" i="16"/>
  <c r="AW123" i="16"/>
  <c r="AX123" i="16"/>
  <c r="AW124" i="16"/>
  <c r="AX124" i="16"/>
  <c r="AW125" i="16"/>
  <c r="AX125" i="16"/>
  <c r="AW126" i="16"/>
  <c r="AX126" i="16"/>
  <c r="AW127" i="16"/>
  <c r="AX127" i="16"/>
  <c r="AW128" i="16"/>
  <c r="AX128" i="16"/>
  <c r="AW129" i="16"/>
  <c r="AX129" i="16"/>
  <c r="AW130" i="16"/>
  <c r="AX130" i="16"/>
  <c r="AW131" i="16"/>
  <c r="AX131" i="16"/>
  <c r="AW132" i="16"/>
  <c r="AX132" i="16"/>
  <c r="AW133" i="16"/>
  <c r="AX133" i="16"/>
  <c r="AW134" i="16"/>
  <c r="AX134" i="16"/>
  <c r="AW135" i="16"/>
  <c r="AX135" i="16"/>
  <c r="AW136" i="16"/>
  <c r="AX136" i="16"/>
  <c r="AW137" i="16"/>
  <c r="AX137" i="16"/>
  <c r="AW138" i="16"/>
  <c r="AX138" i="16"/>
  <c r="AW139" i="16"/>
  <c r="AX139" i="16"/>
  <c r="AW140" i="16"/>
  <c r="AX140" i="16"/>
  <c r="AW141" i="16"/>
  <c r="AX141" i="16"/>
  <c r="AW142" i="16"/>
  <c r="AX142" i="16"/>
  <c r="AW143" i="16"/>
  <c r="AX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AX144" i="16" l="1"/>
  <c r="AW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V143" i="16" l="1"/>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V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A3" i="25"/>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C37" i="25"/>
  <c r="C36" i="25"/>
  <c r="BE61" i="13" l="1"/>
  <c r="BE60" i="13" s="1"/>
  <c r="BE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J31" i="25" s="1"/>
  <c r="BD166" i="13"/>
  <c r="BD124" i="13"/>
  <c r="BD123" i="13" s="1"/>
  <c r="BD183" i="13"/>
  <c r="BD182" i="13" s="1"/>
  <c r="AU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D55" i="16"/>
  <c r="AC55" i="16"/>
  <c r="AB55" i="16"/>
  <c r="AA55" i="16"/>
  <c r="Z55" i="16"/>
  <c r="Y55" i="16"/>
  <c r="X55" i="16"/>
  <c r="W55" i="16"/>
  <c r="V55" i="16"/>
  <c r="U55" i="16"/>
  <c r="T55" i="16"/>
  <c r="S55" i="16"/>
  <c r="T54" i="16"/>
  <c r="S54" i="16"/>
  <c r="S53" i="16"/>
  <c r="S142" i="16"/>
  <c r="S141" i="16"/>
  <c r="S138" i="16"/>
  <c r="S137" i="16"/>
  <c r="S135" i="16"/>
  <c r="S134" i="16"/>
  <c r="S133" i="16"/>
  <c r="S132" i="16"/>
  <c r="S130" i="16"/>
  <c r="S129" i="16"/>
  <c r="S128" i="16"/>
  <c r="S127" i="16"/>
  <c r="S126" i="16"/>
  <c r="S124" i="16"/>
  <c r="S123" i="16"/>
  <c r="S121" i="16"/>
  <c r="S119" i="16"/>
  <c r="S118" i="16"/>
  <c r="S116" i="16"/>
  <c r="S114" i="16"/>
  <c r="S112" i="16"/>
  <c r="S110" i="16"/>
  <c r="S109" i="16"/>
  <c r="S107" i="16"/>
  <c r="S106" i="16"/>
  <c r="S105" i="16"/>
  <c r="S104" i="16"/>
  <c r="S102" i="16"/>
  <c r="S101" i="16"/>
  <c r="S99" i="16"/>
  <c r="S98" i="16"/>
  <c r="S97" i="16"/>
  <c r="S95" i="16"/>
  <c r="S94" i="16"/>
  <c r="S93" i="16"/>
  <c r="S92" i="16"/>
  <c r="S90" i="16"/>
  <c r="S89" i="16"/>
  <c r="S88" i="16"/>
  <c r="S85" i="16"/>
  <c r="S84" i="16"/>
  <c r="S82" i="16"/>
  <c r="S80" i="16"/>
  <c r="S78" i="16"/>
  <c r="S76" i="16"/>
  <c r="S74" i="16"/>
  <c r="S73" i="16"/>
  <c r="S72" i="16"/>
  <c r="S70" i="16"/>
  <c r="S69" i="16"/>
  <c r="S68" i="16"/>
  <c r="S66" i="16"/>
  <c r="S65" i="16"/>
  <c r="S64" i="16"/>
  <c r="S62" i="16"/>
  <c r="S61" i="16"/>
  <c r="S60" i="16"/>
  <c r="S59" i="16"/>
  <c r="S57" i="16"/>
  <c r="S56"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4" i="16"/>
  <c r="AS53" i="16"/>
  <c r="AS52" i="16"/>
  <c r="AS51" i="16"/>
  <c r="AS50" i="16"/>
  <c r="AS49" i="16"/>
  <c r="AS48" i="16"/>
  <c r="AS47" i="16"/>
  <c r="AS46" i="16"/>
  <c r="AS45" i="16"/>
  <c r="AS44" i="16"/>
  <c r="AS43" i="16"/>
  <c r="AS42" i="16"/>
  <c r="AS41" i="16"/>
  <c r="AS40" i="16"/>
  <c r="AS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AS8" i="16"/>
  <c r="AS7" i="16"/>
  <c r="AS6" i="16"/>
  <c r="AS5" i="16"/>
  <c r="AS4"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18" i="16"/>
  <c r="AR17" i="16"/>
  <c r="AR16" i="16"/>
  <c r="AR15" i="16"/>
  <c r="AR14" i="16"/>
  <c r="AR13" i="16"/>
  <c r="AR12" i="16"/>
  <c r="AR11" i="16"/>
  <c r="AR10" i="16"/>
  <c r="AR9" i="16"/>
  <c r="AR8" i="16"/>
  <c r="AR7" i="16"/>
  <c r="AR6" i="16"/>
  <c r="AR5" i="16"/>
  <c r="AR4" i="16"/>
  <c r="AR20" i="16"/>
  <c r="AR21" i="16"/>
  <c r="AR22" i="16"/>
  <c r="AR23" i="16"/>
  <c r="AR24" i="16"/>
  <c r="AR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J55" i="16"/>
  <c r="AK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S144" i="16"/>
  <c r="AT144" i="16"/>
  <c r="AR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L55" i="16"/>
  <c r="AM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U4" i="16"/>
  <c r="AS48" i="13"/>
  <c r="U54" i="16"/>
  <c r="V54" i="16"/>
  <c r="W54" i="16"/>
  <c r="X54" i="16"/>
  <c r="Y54" i="16"/>
  <c r="Z54" i="16"/>
  <c r="AA54" i="16"/>
  <c r="AB54" i="16"/>
  <c r="AC54" i="16"/>
  <c r="AD54" i="16"/>
  <c r="U56" i="16"/>
  <c r="V56" i="16"/>
  <c r="W56" i="16"/>
  <c r="X56" i="16"/>
  <c r="Y56" i="16"/>
  <c r="Z56" i="16"/>
  <c r="AA56" i="16"/>
  <c r="AB56" i="16"/>
  <c r="AC56" i="16"/>
  <c r="AD56" i="16"/>
  <c r="U57" i="16"/>
  <c r="V57" i="16"/>
  <c r="W57" i="16"/>
  <c r="X57" i="16"/>
  <c r="Y57" i="16"/>
  <c r="Z57" i="16"/>
  <c r="AA57" i="16"/>
  <c r="AB57" i="16"/>
  <c r="AC57" i="16"/>
  <c r="AD57" i="16"/>
  <c r="U58" i="16"/>
  <c r="V58" i="16"/>
  <c r="W58" i="16"/>
  <c r="X58" i="16"/>
  <c r="Y58" i="16"/>
  <c r="Z58" i="16"/>
  <c r="AA58" i="16"/>
  <c r="AB58" i="16"/>
  <c r="AC58" i="16"/>
  <c r="AD58" i="16"/>
  <c r="AD53" i="16"/>
  <c r="AC53" i="16"/>
  <c r="AB53" i="16"/>
  <c r="AA53" i="16"/>
  <c r="Z53" i="16"/>
  <c r="Y53" i="16"/>
  <c r="X53" i="16"/>
  <c r="W53" i="16"/>
  <c r="V53" i="16"/>
  <c r="U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Y32" i="13" l="1"/>
  <c r="AG32" i="13"/>
  <c r="AK32" i="13"/>
  <c r="AO32" i="13"/>
  <c r="K32" i="13"/>
  <c r="O32" i="13"/>
  <c r="S32" i="13"/>
  <c r="AN32" i="13"/>
  <c r="M32" i="13"/>
  <c r="U32" i="13"/>
  <c r="AI32" i="13"/>
  <c r="AM32" i="13"/>
  <c r="S71" i="16"/>
  <c r="AV129" i="13"/>
  <c r="AW129" i="13" s="1"/>
  <c r="S63" i="16"/>
  <c r="S75" i="16"/>
  <c r="S67" i="16"/>
  <c r="S58" i="16"/>
  <c r="AQ19" i="13"/>
  <c r="AI19" i="13"/>
  <c r="AA19" i="13"/>
  <c r="W19" i="13"/>
  <c r="K19" i="13"/>
  <c r="J143" i="13"/>
  <c r="S86" i="16"/>
  <c r="AT134" i="13"/>
  <c r="S81" i="16"/>
  <c r="AT154" i="13"/>
  <c r="S91" i="16"/>
  <c r="AM19" i="13"/>
  <c r="AE19" i="13"/>
  <c r="S19" i="13"/>
  <c r="O19" i="13"/>
  <c r="AT128" i="13"/>
  <c r="S77" i="16"/>
  <c r="S96" i="16"/>
  <c r="S103" i="16"/>
  <c r="S108" i="16"/>
  <c r="S79" i="16"/>
  <c r="AT131" i="13"/>
  <c r="AT125" i="13"/>
  <c r="AT149" i="13"/>
  <c r="S87" i="16"/>
  <c r="S100" i="16"/>
  <c r="S111" i="16"/>
  <c r="S125" i="16"/>
  <c r="J227" i="13"/>
  <c r="AT228" i="13"/>
  <c r="S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71" i="16"/>
  <c r="T71" i="16"/>
  <c r="T58" i="16"/>
  <c r="T57"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O18" i="13" l="1"/>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D10" i="25"/>
  <c r="D38" i="25" s="1"/>
  <c r="J38" i="25" s="1"/>
  <c r="J39" i="25" s="1"/>
  <c r="D17" i="25"/>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J141" i="13"/>
  <c r="AT141" i="13" s="1"/>
  <c r="AT142" i="13"/>
  <c r="AT18" i="13"/>
  <c r="J16" i="13"/>
  <c r="AT17" i="13"/>
  <c r="G343" i="21"/>
  <c r="G122" i="21"/>
  <c r="G115" i="21" s="1"/>
  <c r="G114" i="21" s="1"/>
  <c r="G12" i="21" s="1"/>
  <c r="C7" i="21" s="1"/>
  <c r="V144" i="16"/>
  <c r="W144" i="16"/>
  <c r="X144" i="16"/>
  <c r="Y144" i="16"/>
  <c r="Z144" i="16"/>
  <c r="AA144" i="16"/>
  <c r="AB144" i="16"/>
  <c r="AC144" i="16"/>
  <c r="AD144" i="16"/>
  <c r="T143" i="16"/>
  <c r="T142" i="16"/>
  <c r="T141" i="16"/>
  <c r="T140" i="16"/>
  <c r="T139" i="16"/>
  <c r="T138" i="16"/>
  <c r="T137" i="16"/>
  <c r="T136" i="16"/>
  <c r="T135" i="16"/>
  <c r="T134" i="16"/>
  <c r="T133" i="16"/>
  <c r="T132" i="16"/>
  <c r="T131" i="16"/>
  <c r="T130" i="16"/>
  <c r="T129" i="16"/>
  <c r="T128" i="16"/>
  <c r="T127" i="16"/>
  <c r="AJ127" i="16" s="1"/>
  <c r="T126" i="16"/>
  <c r="T125" i="16"/>
  <c r="T124" i="16"/>
  <c r="T123" i="16"/>
  <c r="T122" i="16"/>
  <c r="T121" i="16"/>
  <c r="AJ121" i="16" s="1"/>
  <c r="T120" i="16"/>
  <c r="T119" i="16"/>
  <c r="T118" i="16"/>
  <c r="T117" i="16"/>
  <c r="T116" i="16"/>
  <c r="T115" i="16"/>
  <c r="T114" i="16"/>
  <c r="T113" i="16"/>
  <c r="T112" i="16"/>
  <c r="T111" i="16"/>
  <c r="T110" i="16"/>
  <c r="T109" i="16"/>
  <c r="T108" i="16"/>
  <c r="T107" i="16"/>
  <c r="T106" i="16"/>
  <c r="T105" i="16"/>
  <c r="T104" i="16"/>
  <c r="T103" i="16"/>
  <c r="T102" i="16"/>
  <c r="T101" i="16"/>
  <c r="AJ101" i="16" s="1"/>
  <c r="T100" i="16"/>
  <c r="T99" i="16"/>
  <c r="T98" i="16"/>
  <c r="T97" i="16"/>
  <c r="AJ97" i="16" s="1"/>
  <c r="T96" i="16"/>
  <c r="T95" i="16"/>
  <c r="T94" i="16"/>
  <c r="T93" i="16"/>
  <c r="T92" i="16"/>
  <c r="T91" i="16"/>
  <c r="T90" i="16"/>
  <c r="T89" i="16"/>
  <c r="T88" i="16"/>
  <c r="AJ88" i="16" s="1"/>
  <c r="AK88" i="16" s="1"/>
  <c r="T87" i="16"/>
  <c r="T86" i="16"/>
  <c r="T85" i="16"/>
  <c r="T84" i="16"/>
  <c r="AJ84" i="16" s="1"/>
  <c r="AK84" i="16" s="1"/>
  <c r="T83" i="16"/>
  <c r="T82" i="16"/>
  <c r="T81" i="16"/>
  <c r="T80" i="16"/>
  <c r="T79" i="16"/>
  <c r="T78" i="16"/>
  <c r="T77" i="16"/>
  <c r="AJ77" i="16" s="1"/>
  <c r="T75" i="16"/>
  <c r="T74" i="16"/>
  <c r="T73" i="16"/>
  <c r="T72" i="16"/>
  <c r="T70" i="16"/>
  <c r="T69" i="16"/>
  <c r="T68" i="16"/>
  <c r="T67" i="16"/>
  <c r="T66" i="16"/>
  <c r="T65" i="16"/>
  <c r="T64" i="16"/>
  <c r="T63" i="16"/>
  <c r="T62" i="16"/>
  <c r="T61" i="16"/>
  <c r="T60" i="16"/>
  <c r="T59" i="16"/>
  <c r="T56" i="16"/>
  <c r="T53"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T4" i="16"/>
  <c r="T76" i="16"/>
  <c r="AJ57" i="16"/>
  <c r="AK57" i="16" s="1"/>
  <c r="S143" i="16"/>
  <c r="S51" i="16"/>
  <c r="S52" i="16"/>
  <c r="S50" i="16"/>
  <c r="S47" i="16"/>
  <c r="S48" i="16"/>
  <c r="S49" i="16"/>
  <c r="S46" i="16"/>
  <c r="S45" i="16"/>
  <c r="S44" i="16"/>
  <c r="S43" i="16"/>
  <c r="S41" i="16"/>
  <c r="S42" i="16"/>
  <c r="S40" i="16"/>
  <c r="S36" i="16"/>
  <c r="S37" i="16"/>
  <c r="S38" i="16"/>
  <c r="S39" i="16"/>
  <c r="S34" i="16"/>
  <c r="S35" i="16"/>
  <c r="S33" i="16"/>
  <c r="S30" i="16"/>
  <c r="S31" i="16"/>
  <c r="S32" i="16"/>
  <c r="S29" i="16"/>
  <c r="S26" i="16"/>
  <c r="S27" i="16"/>
  <c r="S28" i="16"/>
  <c r="S25" i="16"/>
  <c r="S24" i="16"/>
  <c r="S20" i="16"/>
  <c r="S21" i="16"/>
  <c r="S22" i="16"/>
  <c r="S23" i="16"/>
  <c r="S19" i="16"/>
  <c r="S18" i="16"/>
  <c r="S13" i="16"/>
  <c r="S14" i="16"/>
  <c r="S15" i="16"/>
  <c r="S16" i="16"/>
  <c r="S17" i="16"/>
  <c r="S12" i="16"/>
  <c r="S11" i="16"/>
  <c r="S10" i="16"/>
  <c r="S8" i="16"/>
  <c r="S9" i="16"/>
  <c r="S7" i="16"/>
  <c r="S5" i="16"/>
  <c r="S6" i="16"/>
  <c r="S4" i="16"/>
  <c r="AL127" i="16" l="1"/>
  <c r="AM127" i="16" s="1"/>
  <c r="AK127" i="16"/>
  <c r="AL77" i="16"/>
  <c r="AM77" i="16" s="1"/>
  <c r="AK77" i="16"/>
  <c r="AL97" i="16"/>
  <c r="AM97" i="16" s="1"/>
  <c r="AK97" i="16"/>
  <c r="AL101" i="16"/>
  <c r="AM101" i="16" s="1"/>
  <c r="AK101" i="16"/>
  <c r="AL121" i="16"/>
  <c r="AM121" i="16" s="1"/>
  <c r="AK121" i="16"/>
  <c r="AJ51" i="16"/>
  <c r="AJ8" i="16"/>
  <c r="AK8" i="16" s="1"/>
  <c r="AJ37" i="16"/>
  <c r="AJ138" i="16"/>
  <c r="AJ142" i="16"/>
  <c r="AK142" i="16" s="1"/>
  <c r="J15" i="13"/>
  <c r="AT15" i="13" s="1"/>
  <c r="AT16" i="13"/>
  <c r="AJ32" i="16"/>
  <c r="AJ47" i="16"/>
  <c r="AK47" i="16" s="1"/>
  <c r="AJ20" i="16"/>
  <c r="AK20" i="16" s="1"/>
  <c r="AJ36" i="16"/>
  <c r="AK36" i="16" s="1"/>
  <c r="AJ56" i="16"/>
  <c r="AK56" i="16" s="1"/>
  <c r="AJ62" i="16"/>
  <c r="AJ100" i="16"/>
  <c r="AJ66" i="16"/>
  <c r="AJ135" i="16"/>
  <c r="AJ76" i="16"/>
  <c r="AJ12" i="16"/>
  <c r="AJ6" i="16"/>
  <c r="AK6" i="16" s="1"/>
  <c r="AJ22" i="16"/>
  <c r="AK22" i="16" s="1"/>
  <c r="AJ38" i="16"/>
  <c r="AJ42" i="16"/>
  <c r="AK42" i="16" s="1"/>
  <c r="AJ128" i="16"/>
  <c r="AK128" i="16" s="1"/>
  <c r="AJ85" i="16"/>
  <c r="AJ124" i="16"/>
  <c r="AJ89" i="16"/>
  <c r="AK89" i="16" s="1"/>
  <c r="AJ105" i="16"/>
  <c r="AK105" i="16" s="1"/>
  <c r="AJ23" i="16"/>
  <c r="AJ61" i="16"/>
  <c r="AK61" i="16" s="1"/>
  <c r="AJ79" i="16"/>
  <c r="AJ114" i="16"/>
  <c r="AJ48" i="16"/>
  <c r="AJ59" i="16"/>
  <c r="AJ72" i="16"/>
  <c r="AK72" i="16" s="1"/>
  <c r="AJ93" i="16"/>
  <c r="AJ143" i="16"/>
  <c r="AJ10" i="16"/>
  <c r="AJ18" i="16"/>
  <c r="AJ64" i="16"/>
  <c r="AK64" i="16" s="1"/>
  <c r="AJ86" i="16"/>
  <c r="AK86" i="16" s="1"/>
  <c r="AJ34" i="16"/>
  <c r="AJ46" i="16"/>
  <c r="AJ103" i="16"/>
  <c r="AJ132" i="16"/>
  <c r="AK132" i="16" s="1"/>
  <c r="AJ45" i="16"/>
  <c r="AK45" i="16" s="1"/>
  <c r="AJ53" i="16"/>
  <c r="AK53" i="16" s="1"/>
  <c r="AJ68" i="16"/>
  <c r="AJ26" i="16"/>
  <c r="AK26" i="16" s="1"/>
  <c r="AJ30" i="16"/>
  <c r="AJ110" i="16"/>
  <c r="AJ29" i="16"/>
  <c r="AJ14" i="16"/>
  <c r="T144" i="16"/>
  <c r="AJ74" i="16"/>
  <c r="AK74" i="16" s="1"/>
  <c r="AJ129" i="16"/>
  <c r="AJ24" i="16"/>
  <c r="AK24" i="16" s="1"/>
  <c r="AJ134" i="16"/>
  <c r="AK134" i="16" s="1"/>
  <c r="AJ87" i="16"/>
  <c r="AJ40" i="16"/>
  <c r="AK40" i="16" s="1"/>
  <c r="AJ5" i="16"/>
  <c r="AK5" i="16" s="1"/>
  <c r="AJ13" i="16"/>
  <c r="AJ21" i="16"/>
  <c r="AJ25" i="16"/>
  <c r="AK25" i="16" s="1"/>
  <c r="AJ41" i="16"/>
  <c r="AJ44" i="16"/>
  <c r="AJ78" i="16"/>
  <c r="AJ90" i="16"/>
  <c r="AK90" i="16" s="1"/>
  <c r="AJ94" i="16"/>
  <c r="AJ98" i="16"/>
  <c r="AJ102" i="16"/>
  <c r="AK102" i="16" s="1"/>
  <c r="AJ106" i="16"/>
  <c r="AK106" i="16" s="1"/>
  <c r="AJ116" i="16"/>
  <c r="AK116" i="16" s="1"/>
  <c r="AJ125" i="16"/>
  <c r="AK125" i="16" s="1"/>
  <c r="AJ140" i="16"/>
  <c r="AJ104" i="16"/>
  <c r="AK104" i="16" s="1"/>
  <c r="AJ9" i="16"/>
  <c r="AK9" i="16" s="1"/>
  <c r="AJ33" i="16"/>
  <c r="AJ112" i="16"/>
  <c r="AJ123" i="16"/>
  <c r="AJ126" i="16"/>
  <c r="AJ80" i="16"/>
  <c r="AK80" i="16" s="1"/>
  <c r="AJ108" i="16"/>
  <c r="AK108" i="16" s="1"/>
  <c r="AJ17" i="16"/>
  <c r="AJ92" i="16"/>
  <c r="AK92" i="16" s="1"/>
  <c r="AJ54" i="16"/>
  <c r="AJ50" i="16"/>
  <c r="AJ137" i="16"/>
  <c r="AJ141" i="16"/>
  <c r="AJ19" i="16"/>
  <c r="AK19" i="16" s="1"/>
  <c r="AJ91" i="16"/>
  <c r="AJ95" i="16"/>
  <c r="AJ99" i="16"/>
  <c r="AJ39" i="16"/>
  <c r="AJ49" i="16"/>
  <c r="AJ63" i="16"/>
  <c r="AJ27" i="16"/>
  <c r="AJ31" i="16"/>
  <c r="AK31" i="16" s="1"/>
  <c r="AJ35" i="16"/>
  <c r="AK35" i="16" s="1"/>
  <c r="AJ67" i="16"/>
  <c r="AJ71" i="16"/>
  <c r="AJ75" i="16"/>
  <c r="AJ107" i="16"/>
  <c r="AJ111" i="16"/>
  <c r="AJ7" i="16"/>
  <c r="AK7" i="16" s="1"/>
  <c r="AJ133" i="16"/>
  <c r="AJ52" i="16"/>
  <c r="AJ65" i="16"/>
  <c r="AJ73" i="16"/>
  <c r="AL57" i="16"/>
  <c r="AM57" i="16" s="1"/>
  <c r="AJ70" i="16"/>
  <c r="AK70" i="16" s="1"/>
  <c r="AJ96" i="16"/>
  <c r="AK96" i="16" s="1"/>
  <c r="AJ118" i="16"/>
  <c r="AK118" i="16" s="1"/>
  <c r="AJ16" i="16"/>
  <c r="D55" i="30" s="1" a="1"/>
  <c r="D55" i="30" s="1"/>
  <c r="AJ28" i="16"/>
  <c r="AK28" i="16" s="1"/>
  <c r="AJ69" i="16"/>
  <c r="AJ82" i="16"/>
  <c r="AK82" i="16" s="1"/>
  <c r="AJ130" i="16"/>
  <c r="AK130" i="16" s="1"/>
  <c r="AJ81" i="16"/>
  <c r="AJ109" i="16"/>
  <c r="AJ11" i="16"/>
  <c r="AJ15" i="16"/>
  <c r="AJ43" i="16"/>
  <c r="AJ60" i="16"/>
  <c r="AK60" i="16" s="1"/>
  <c r="AJ119" i="16"/>
  <c r="AK119" i="16" s="1"/>
  <c r="AJ4" i="16"/>
  <c r="AL88" i="16"/>
  <c r="AM88" i="16" s="1"/>
  <c r="AL84" i="16"/>
  <c r="AM84" i="16" s="1"/>
  <c r="D19" i="30" l="1" a="1"/>
  <c r="D19" i="30" s="1"/>
  <c r="F19" i="30" s="1"/>
  <c r="G19" i="30" s="1"/>
  <c r="D46" i="30" a="1"/>
  <c r="D46" i="30" s="1"/>
  <c r="E46" i="30" s="1"/>
  <c r="D48" i="30"/>
  <c r="D38" i="30" a="1"/>
  <c r="D38" i="30" s="1"/>
  <c r="D10" i="30" a="1"/>
  <c r="D10" i="30" s="1"/>
  <c r="D20" i="30" a="1"/>
  <c r="D20" i="30" s="1"/>
  <c r="D21" i="30" s="1"/>
  <c r="E55" i="30"/>
  <c r="F55" i="30"/>
  <c r="G55" i="30" s="1"/>
  <c r="D51" i="14" a="1"/>
  <c r="D51" i="14" s="1"/>
  <c r="E51" i="14" s="1"/>
  <c r="D56" i="30" a="1"/>
  <c r="D56" i="30" s="1"/>
  <c r="E19" i="30"/>
  <c r="D23" i="30" a="1"/>
  <c r="D23" i="30" s="1"/>
  <c r="D44" i="14" a="1"/>
  <c r="D44" i="14" s="1"/>
  <c r="E44" i="14" s="1"/>
  <c r="D49" i="30" a="1"/>
  <c r="D49" i="30" s="1"/>
  <c r="D22" i="30" a="1"/>
  <c r="D22" i="30" s="1"/>
  <c r="D17" i="30" a="1"/>
  <c r="D17" i="30" s="1"/>
  <c r="D18" i="14" a="1"/>
  <c r="D18" i="14" s="1"/>
  <c r="AK4" i="16"/>
  <c r="D17" i="14" a="1"/>
  <c r="D17" i="14" s="1"/>
  <c r="AK112" i="16"/>
  <c r="D10" i="14" a="1"/>
  <c r="D10" i="14" s="1"/>
  <c r="E10" i="14" s="1"/>
  <c r="AK126" i="16"/>
  <c r="D21" i="14" a="1"/>
  <c r="D21" i="14" s="1"/>
  <c r="AK12" i="16"/>
  <c r="D20" i="14" a="1"/>
  <c r="D20" i="14" s="1"/>
  <c r="D15" i="14" a="1"/>
  <c r="D15" i="14" s="1"/>
  <c r="D41" i="14" a="1"/>
  <c r="D41" i="14" s="1"/>
  <c r="E41" i="14" s="1"/>
  <c r="AK16" i="16"/>
  <c r="D50" i="14" a="1"/>
  <c r="D50" i="14" s="1"/>
  <c r="E50" i="14" s="1"/>
  <c r="D33" i="14" a="1"/>
  <c r="D33" i="14" s="1"/>
  <c r="E33" i="14" s="1"/>
  <c r="AK76" i="16"/>
  <c r="AL43" i="16"/>
  <c r="AM43" i="16" s="1"/>
  <c r="AK43" i="16"/>
  <c r="AL81" i="16"/>
  <c r="AM81" i="16" s="1"/>
  <c r="AK81" i="16"/>
  <c r="AL52" i="16"/>
  <c r="AM52" i="16" s="1"/>
  <c r="AK52" i="16"/>
  <c r="AL49" i="16"/>
  <c r="AM49" i="16" s="1"/>
  <c r="AK49" i="16"/>
  <c r="AL50" i="16"/>
  <c r="AM50" i="16" s="1"/>
  <c r="AK50" i="16"/>
  <c r="AL140" i="16"/>
  <c r="AM140" i="16" s="1"/>
  <c r="AK140" i="16"/>
  <c r="AL133" i="16"/>
  <c r="AM133" i="16" s="1"/>
  <c r="AK133" i="16"/>
  <c r="AL39" i="16"/>
  <c r="AM39" i="16" s="1"/>
  <c r="AK39" i="16"/>
  <c r="AL54" i="16"/>
  <c r="AM54" i="16" s="1"/>
  <c r="AK54" i="16"/>
  <c r="AL98" i="16"/>
  <c r="AM98" i="16" s="1"/>
  <c r="AK98" i="16"/>
  <c r="AL44" i="16"/>
  <c r="AM44" i="16" s="1"/>
  <c r="AK44" i="16"/>
  <c r="AL13" i="16"/>
  <c r="AM13" i="16" s="1"/>
  <c r="AK13" i="16"/>
  <c r="AL30" i="16"/>
  <c r="AM30" i="16" s="1"/>
  <c r="AK30" i="16"/>
  <c r="AL34" i="16"/>
  <c r="AM34" i="16" s="1"/>
  <c r="AK34" i="16"/>
  <c r="AL10" i="16"/>
  <c r="AM10" i="16" s="1"/>
  <c r="AK10" i="16"/>
  <c r="AL59" i="16"/>
  <c r="AM59" i="16" s="1"/>
  <c r="AK59" i="16"/>
  <c r="AL124" i="16"/>
  <c r="AM124" i="16" s="1"/>
  <c r="AK124" i="16"/>
  <c r="AL38" i="16"/>
  <c r="AM38" i="16" s="1"/>
  <c r="AK38" i="16"/>
  <c r="AL62" i="16"/>
  <c r="AM62" i="16" s="1"/>
  <c r="AK62" i="16"/>
  <c r="AL51" i="16"/>
  <c r="AM51" i="16" s="1"/>
  <c r="AK51" i="16"/>
  <c r="AL91" i="16"/>
  <c r="AM91" i="16" s="1"/>
  <c r="AK91" i="16"/>
  <c r="AL78" i="16"/>
  <c r="AM78" i="16" s="1"/>
  <c r="AK78" i="16"/>
  <c r="AL87" i="16"/>
  <c r="AM87" i="16" s="1"/>
  <c r="AK87" i="16"/>
  <c r="AL110" i="16"/>
  <c r="AM110" i="16" s="1"/>
  <c r="AK110" i="16"/>
  <c r="AL46" i="16"/>
  <c r="AM46" i="16" s="1"/>
  <c r="AK46" i="16"/>
  <c r="AL79" i="16"/>
  <c r="AM79" i="16" s="1"/>
  <c r="AK79" i="16"/>
  <c r="AL100" i="16"/>
  <c r="AM100" i="16" s="1"/>
  <c r="AK100" i="16"/>
  <c r="AL75" i="16"/>
  <c r="AM75" i="16" s="1"/>
  <c r="AK75" i="16"/>
  <c r="AL33" i="16"/>
  <c r="AM33" i="16" s="1"/>
  <c r="AK33" i="16"/>
  <c r="AL11" i="16"/>
  <c r="AM11" i="16" s="1"/>
  <c r="AK11" i="16"/>
  <c r="AL73" i="16"/>
  <c r="AM73" i="16" s="1"/>
  <c r="AK73" i="16"/>
  <c r="AL71" i="16"/>
  <c r="AM71" i="16" s="1"/>
  <c r="AK71" i="16"/>
  <c r="AL27" i="16"/>
  <c r="AM27" i="16" s="1"/>
  <c r="AK27" i="16"/>
  <c r="AL99" i="16"/>
  <c r="AM99" i="16" s="1"/>
  <c r="AK99" i="16"/>
  <c r="AL141" i="16"/>
  <c r="AM141" i="16" s="1"/>
  <c r="AK141" i="16"/>
  <c r="AL94" i="16"/>
  <c r="AM94" i="16" s="1"/>
  <c r="AK94" i="16"/>
  <c r="AL41" i="16"/>
  <c r="AM41" i="16" s="1"/>
  <c r="AK41" i="16"/>
  <c r="AL14" i="16"/>
  <c r="AM14" i="16" s="1"/>
  <c r="AK14" i="16"/>
  <c r="AL143" i="16"/>
  <c r="AM143" i="16" s="1"/>
  <c r="AK143" i="16"/>
  <c r="AL48" i="16"/>
  <c r="AM48" i="16" s="1"/>
  <c r="AK48" i="16"/>
  <c r="AL23" i="16"/>
  <c r="AM23" i="16" s="1"/>
  <c r="AK23" i="16"/>
  <c r="AL85" i="16"/>
  <c r="AM85" i="16" s="1"/>
  <c r="AK85" i="16"/>
  <c r="AL135" i="16"/>
  <c r="AM135" i="16" s="1"/>
  <c r="AK135" i="16"/>
  <c r="AL32" i="16"/>
  <c r="AM32" i="16" s="1"/>
  <c r="AK32" i="16"/>
  <c r="AL138" i="16"/>
  <c r="AM138" i="16" s="1"/>
  <c r="AK138" i="16"/>
  <c r="AL107" i="16"/>
  <c r="AM107" i="16" s="1"/>
  <c r="AK107" i="16"/>
  <c r="AL21" i="16"/>
  <c r="AM21" i="16" s="1"/>
  <c r="AK21" i="16"/>
  <c r="AL18" i="16"/>
  <c r="AM18" i="16" s="1"/>
  <c r="AK18" i="16"/>
  <c r="AL15" i="16"/>
  <c r="AM15" i="16" s="1"/>
  <c r="AK15" i="16"/>
  <c r="AL109" i="16"/>
  <c r="AM109" i="16" s="1"/>
  <c r="AK109" i="16"/>
  <c r="AL69" i="16"/>
  <c r="AM69" i="16" s="1"/>
  <c r="AK69" i="16"/>
  <c r="AL65" i="16"/>
  <c r="AM65" i="16" s="1"/>
  <c r="AK65" i="16"/>
  <c r="AL111" i="16"/>
  <c r="AM111" i="16" s="1"/>
  <c r="AK111" i="16"/>
  <c r="AL67" i="16"/>
  <c r="AM67" i="16" s="1"/>
  <c r="AK67" i="16"/>
  <c r="AL63" i="16"/>
  <c r="AM63" i="16" s="1"/>
  <c r="AK63" i="16"/>
  <c r="AL95" i="16"/>
  <c r="AM95" i="16" s="1"/>
  <c r="AK95" i="16"/>
  <c r="AL137" i="16"/>
  <c r="AM137" i="16" s="1"/>
  <c r="AK137" i="16"/>
  <c r="AL17" i="16"/>
  <c r="AM17" i="16" s="1"/>
  <c r="AK17" i="16"/>
  <c r="AL123" i="16"/>
  <c r="AM123" i="16" s="1"/>
  <c r="AK123" i="16"/>
  <c r="AL129" i="16"/>
  <c r="AM129" i="16" s="1"/>
  <c r="AK129" i="16"/>
  <c r="AL29" i="16"/>
  <c r="AM29" i="16" s="1"/>
  <c r="AK29" i="16"/>
  <c r="AL68" i="16"/>
  <c r="AM68" i="16" s="1"/>
  <c r="AK68" i="16"/>
  <c r="AL103" i="16"/>
  <c r="AM103" i="16" s="1"/>
  <c r="AK103" i="16"/>
  <c r="AL93" i="16"/>
  <c r="AM93" i="16" s="1"/>
  <c r="AK93" i="16"/>
  <c r="AL114" i="16"/>
  <c r="AM114" i="16" s="1"/>
  <c r="AK114" i="16"/>
  <c r="AL66" i="16"/>
  <c r="AM66" i="16" s="1"/>
  <c r="AK66" i="16"/>
  <c r="AL37" i="16"/>
  <c r="AM37" i="16" s="1"/>
  <c r="AK37" i="16"/>
  <c r="AL142" i="16"/>
  <c r="AM142" i="16" s="1"/>
  <c r="AL47" i="16"/>
  <c r="AM47" i="16" s="1"/>
  <c r="AL56" i="16"/>
  <c r="AM56" i="16" s="1"/>
  <c r="AL22" i="16"/>
  <c r="AM22" i="16" s="1"/>
  <c r="AL20" i="16"/>
  <c r="AM20" i="16" s="1"/>
  <c r="AL76" i="16"/>
  <c r="AM76" i="16" s="1"/>
  <c r="AL36" i="16"/>
  <c r="AM36" i="16" s="1"/>
  <c r="AL12" i="16"/>
  <c r="AM12" i="16" s="1"/>
  <c r="AL72" i="16"/>
  <c r="AM72" i="16" s="1"/>
  <c r="AL45" i="16"/>
  <c r="AM45" i="16" s="1"/>
  <c r="AL128" i="16"/>
  <c r="AM128" i="16" s="1"/>
  <c r="AL61" i="16"/>
  <c r="AM61" i="16" s="1"/>
  <c r="AL26" i="16"/>
  <c r="AM26" i="16" s="1"/>
  <c r="AL53" i="16"/>
  <c r="AM53" i="16" s="1"/>
  <c r="AL89" i="16"/>
  <c r="AM89" i="16" s="1"/>
  <c r="AL134" i="16"/>
  <c r="AM134" i="16" s="1"/>
  <c r="AL105" i="16"/>
  <c r="AM105" i="16" s="1"/>
  <c r="AL74" i="16"/>
  <c r="AM74" i="16" s="1"/>
  <c r="AL42" i="16"/>
  <c r="AM42" i="16" s="1"/>
  <c r="AL64" i="16"/>
  <c r="AM64" i="16" s="1"/>
  <c r="AL24" i="16"/>
  <c r="AM24" i="16" s="1"/>
  <c r="AL132" i="16"/>
  <c r="AM132" i="16" s="1"/>
  <c r="AL86" i="16"/>
  <c r="AM86" i="16" s="1"/>
  <c r="AL40" i="16"/>
  <c r="AM40" i="16" s="1"/>
  <c r="AL25" i="16"/>
  <c r="AM25" i="16" s="1"/>
  <c r="AL125" i="16"/>
  <c r="AM125" i="16" s="1"/>
  <c r="AL108" i="16"/>
  <c r="AM108" i="16" s="1"/>
  <c r="AL4" i="16"/>
  <c r="AM4" i="16" s="1"/>
  <c r="AL90" i="16"/>
  <c r="AM90" i="16" s="1"/>
  <c r="AL106" i="16"/>
  <c r="AM106" i="16" s="1"/>
  <c r="AL102" i="16"/>
  <c r="AM102" i="16" s="1"/>
  <c r="AL35" i="16"/>
  <c r="AM35" i="16" s="1"/>
  <c r="AL16" i="16"/>
  <c r="AM16" i="16" s="1"/>
  <c r="AL92" i="16"/>
  <c r="AM92" i="16" s="1"/>
  <c r="AL126" i="16"/>
  <c r="AM126" i="16" s="1"/>
  <c r="AL112" i="16"/>
  <c r="AM112" i="16" s="1"/>
  <c r="AL116" i="16"/>
  <c r="AM116" i="16" s="1"/>
  <c r="AL104" i="16"/>
  <c r="AM104" i="16" s="1"/>
  <c r="AL19" i="16"/>
  <c r="AM19" i="16" s="1"/>
  <c r="AL80" i="16"/>
  <c r="AM80" i="16" s="1"/>
  <c r="AL31" i="16"/>
  <c r="AM31" i="16" s="1"/>
  <c r="AL130" i="16"/>
  <c r="AM130" i="16" s="1"/>
  <c r="AL28" i="16"/>
  <c r="AM28" i="16" s="1"/>
  <c r="AL118" i="16"/>
  <c r="AM118" i="16" s="1"/>
  <c r="AL82" i="16"/>
  <c r="AM82" i="16" s="1"/>
  <c r="AL119" i="16"/>
  <c r="AM119" i="16" s="1"/>
  <c r="AL70" i="16"/>
  <c r="AM70" i="16" s="1"/>
  <c r="AL96" i="16"/>
  <c r="AM96" i="16" s="1"/>
  <c r="AL60" i="16"/>
  <c r="AM60" i="16" s="1"/>
  <c r="AT23" i="13"/>
  <c r="AU23" i="13" s="1"/>
  <c r="AT22" i="13"/>
  <c r="AU22" i="13" s="1"/>
  <c r="AT21" i="13"/>
  <c r="AU21" i="13" s="1"/>
  <c r="F46" i="30" l="1"/>
  <c r="G46" i="30" s="1"/>
  <c r="E22" i="30"/>
  <c r="D24" i="30"/>
  <c r="F22" i="30"/>
  <c r="G22" i="30" s="1"/>
  <c r="F38" i="30"/>
  <c r="G38" i="30" s="1"/>
  <c r="E38" i="30"/>
  <c r="E49" i="30"/>
  <c r="D51" i="30"/>
  <c r="F49" i="30"/>
  <c r="G49" i="30" s="1"/>
  <c r="F23" i="30"/>
  <c r="G23" i="30" s="1"/>
  <c r="E23" i="30"/>
  <c r="F56" i="30"/>
  <c r="G56" i="30" s="1"/>
  <c r="E56" i="30"/>
  <c r="E20" i="30"/>
  <c r="F20" i="30"/>
  <c r="G20" i="30" s="1"/>
  <c r="E17" i="30"/>
  <c r="F17" i="30"/>
  <c r="G17" i="30" s="1"/>
  <c r="D57" i="30"/>
  <c r="E21" i="30"/>
  <c r="F21" i="30"/>
  <c r="G21" i="30" s="1"/>
  <c r="F10" i="30"/>
  <c r="G10" i="30" s="1"/>
  <c r="E10" i="30"/>
  <c r="E48" i="30"/>
  <c r="F48" i="30"/>
  <c r="G48" i="30" s="1"/>
  <c r="C29"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C37" i="14" s="1"/>
  <c r="B3" i="17"/>
  <c r="B1" i="17"/>
  <c r="D58" i="30" l="1"/>
  <c r="F58" i="30" s="1"/>
  <c r="C9" i="25"/>
  <c r="C9" i="30"/>
  <c r="E51" i="30"/>
  <c r="F51" i="30"/>
  <c r="G51" i="30" s="1"/>
  <c r="F24" i="30"/>
  <c r="G24" i="30" s="1"/>
  <c r="E24" i="30"/>
  <c r="E57" i="30"/>
  <c r="F57" i="30"/>
  <c r="G57" i="30" s="1"/>
  <c r="C23" i="25"/>
  <c r="C20" i="25"/>
  <c r="C17" i="25"/>
  <c r="E17" i="25" s="1"/>
  <c r="C22" i="25"/>
  <c r="C15" i="25"/>
  <c r="C19" i="25"/>
  <c r="AV125" i="13"/>
  <c r="AW125" i="13" s="1"/>
  <c r="C8" i="25"/>
  <c r="C11" i="25"/>
  <c r="C10" i="25"/>
  <c r="F17" i="25"/>
  <c r="G17" i="25" s="1"/>
  <c r="C16" i="25"/>
  <c r="C7" i="25"/>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L8" i="16"/>
  <c r="AM8" i="16" s="1"/>
  <c r="AL7" i="16"/>
  <c r="AM7" i="16" s="1"/>
  <c r="F148" i="13"/>
  <c r="AV171" i="13"/>
  <c r="AW171" i="13" s="1"/>
  <c r="AL9" i="16"/>
  <c r="AM9" i="16" s="1"/>
  <c r="AL5" i="16"/>
  <c r="AM5" i="16" s="1"/>
  <c r="F64" i="13"/>
  <c r="AU64" i="13" s="1"/>
  <c r="AL6" i="16"/>
  <c r="AM6" i="16" s="1"/>
  <c r="AV48" i="13"/>
  <c r="AW48" i="13" s="1"/>
  <c r="F77" i="13"/>
  <c r="F76" i="13" s="1"/>
  <c r="F177" i="13"/>
  <c r="AU177" i="13" s="1"/>
  <c r="AV178" i="13"/>
  <c r="AW178" i="13" s="1"/>
  <c r="F207" i="13"/>
  <c r="F32" i="13"/>
  <c r="F183" i="13"/>
  <c r="F182" i="13" s="1"/>
  <c r="F166" i="13"/>
  <c r="Q144" i="16"/>
  <c r="E58" i="30" l="1"/>
  <c r="E59" i="30" s="1"/>
  <c r="D59" i="30"/>
  <c r="C7" i="30" a="1"/>
  <c r="C7" i="30" s="1"/>
  <c r="G58" i="30"/>
  <c r="G59" i="30" s="1"/>
  <c r="F59" i="30"/>
  <c r="F206" i="13"/>
  <c r="F205" i="13" s="1"/>
  <c r="F204" i="13" s="1"/>
  <c r="C21" i="25"/>
  <c r="F165" i="13"/>
  <c r="C24" i="25"/>
  <c r="C18" i="25"/>
  <c r="C14" i="25"/>
  <c r="F10" i="25"/>
  <c r="G10" i="25" s="1"/>
  <c r="E10" i="25"/>
  <c r="F18" i="13"/>
  <c r="AU18" i="13" s="1"/>
  <c r="F67" i="13"/>
  <c r="F142" i="13"/>
  <c r="AU142" i="13" s="1"/>
  <c r="AV143" i="13"/>
  <c r="AW143" i="13" s="1"/>
  <c r="F147" i="13"/>
  <c r="AV177" i="13"/>
  <c r="AW177" i="13" s="1"/>
  <c r="F63" i="13"/>
  <c r="AU63" i="13" s="1"/>
  <c r="AV64" i="13"/>
  <c r="AW64" i="13" s="1"/>
  <c r="C14" i="30" l="1"/>
  <c r="C25" i="30" s="1"/>
  <c r="C25" i="25"/>
  <c r="F17" i="13"/>
  <c r="F141" i="13"/>
  <c r="AU141" i="13" s="1"/>
  <c r="AV142" i="13"/>
  <c r="AW142" i="13" s="1"/>
  <c r="F146" i="13"/>
  <c r="F62" i="13"/>
  <c r="AU62" i="13" s="1"/>
  <c r="AV63" i="13"/>
  <c r="AW63" i="13" s="1"/>
  <c r="E42" i="14"/>
  <c r="C49" i="14"/>
  <c r="F16" i="13" l="1"/>
  <c r="AU16" i="13" s="1"/>
  <c r="AU17" i="13"/>
  <c r="AV141" i="13"/>
  <c r="AW141" i="13" s="1"/>
  <c r="AV62" i="13"/>
  <c r="AW62" i="13" s="1"/>
  <c r="F61" i="13"/>
  <c r="F45" i="14"/>
  <c r="G45" i="14" s="1"/>
  <c r="F42" i="14"/>
  <c r="G42" i="14" s="1"/>
  <c r="D52" i="14"/>
  <c r="D46" i="14"/>
  <c r="D49" i="14"/>
  <c r="F48" i="14"/>
  <c r="G48" i="14" s="1"/>
  <c r="F15" i="13" l="1"/>
  <c r="AU15" i="13" s="1"/>
  <c r="F49" i="14"/>
  <c r="G49" i="14" s="1"/>
  <c r="E49" i="14"/>
  <c r="F60" i="13"/>
  <c r="F51" i="14"/>
  <c r="G51" i="14" s="1"/>
  <c r="F50" i="14"/>
  <c r="G50" i="14" s="1"/>
  <c r="C46" i="14"/>
  <c r="F46" i="14" s="1"/>
  <c r="G46" i="14" s="1"/>
  <c r="F47" i="14"/>
  <c r="G47" i="14" s="1"/>
  <c r="C9" i="14"/>
  <c r="C7" i="14" s="1" a="1"/>
  <c r="C7" i="14" s="1"/>
  <c r="A2" i="14"/>
  <c r="E46" i="14" l="1"/>
  <c r="F14" i="13"/>
  <c r="B2" i="17"/>
  <c r="C2" i="20"/>
  <c r="C22" i="14"/>
  <c r="C52" i="14"/>
  <c r="F44" i="14"/>
  <c r="G44" i="14" s="1"/>
  <c r="F52" i="14" l="1"/>
  <c r="G52" i="14" s="1"/>
  <c r="E52" i="14"/>
  <c r="C53" i="14"/>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S115" i="16"/>
  <c r="AJ115" i="16" s="1"/>
  <c r="S131" i="16"/>
  <c r="AJ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S117" i="16"/>
  <c r="AJ117" i="16" s="1"/>
  <c r="S136" i="16"/>
  <c r="AJ136" i="16" s="1"/>
  <c r="D46" i="25"/>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S83" i="16"/>
  <c r="S120" i="16"/>
  <c r="AJ120" i="16" s="1"/>
  <c r="AK120" i="16" s="1"/>
  <c r="S139" i="16"/>
  <c r="AJ139" i="16" s="1"/>
  <c r="AK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S113" i="16"/>
  <c r="AJ113" i="16" s="1"/>
  <c r="S122" i="16"/>
  <c r="AJ122" i="16" s="1"/>
  <c r="AK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U144" i="16"/>
  <c r="AJ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D16" i="30" l="1" a="1"/>
  <c r="D16" i="30" s="1"/>
  <c r="E16" i="30" s="1"/>
  <c r="D11" i="30" a="1"/>
  <c r="D11" i="30" s="1"/>
  <c r="F11" i="30" s="1"/>
  <c r="G11" i="30" s="1"/>
  <c r="AV193" i="13"/>
  <c r="AW193" i="13" s="1"/>
  <c r="AU193" i="13"/>
  <c r="D15" i="30" a="1"/>
  <c r="D15" i="30" s="1"/>
  <c r="AV187" i="13"/>
  <c r="AW187" i="13" s="1"/>
  <c r="AU187" i="13"/>
  <c r="AV197" i="13"/>
  <c r="AW197" i="13" s="1"/>
  <c r="AU197" i="13"/>
  <c r="AV227" i="13"/>
  <c r="AW227" i="13" s="1"/>
  <c r="AU227" i="13"/>
  <c r="AV221" i="13"/>
  <c r="AW221" i="13" s="1"/>
  <c r="AU221" i="13"/>
  <c r="AV118" i="13"/>
  <c r="AW118" i="13" s="1"/>
  <c r="AU118" i="13"/>
  <c r="D15" i="25"/>
  <c r="E15" i="25" s="1"/>
  <c r="AU160" i="13"/>
  <c r="AV190" i="13"/>
  <c r="AW190" i="13" s="1"/>
  <c r="AU190" i="13"/>
  <c r="D9" i="30"/>
  <c r="AU137" i="13"/>
  <c r="AK113" i="16"/>
  <c r="D11" i="14" a="1"/>
  <c r="D11" i="14" s="1"/>
  <c r="E11" i="14" s="1"/>
  <c r="AK58" i="16"/>
  <c r="D14" i="14" a="1"/>
  <c r="D14" i="14" s="1"/>
  <c r="D13" i="14" s="1" a="1"/>
  <c r="D13" i="14" s="1"/>
  <c r="AL117" i="16"/>
  <c r="AM117" i="16" s="1"/>
  <c r="AK117" i="16"/>
  <c r="AL131" i="16"/>
  <c r="AM131" i="16" s="1"/>
  <c r="AK131" i="16"/>
  <c r="AL136" i="16"/>
  <c r="AM136" i="16" s="1"/>
  <c r="AK136" i="16"/>
  <c r="AL115" i="16"/>
  <c r="AM115" i="16" s="1"/>
  <c r="AK115" i="16"/>
  <c r="P60" i="13"/>
  <c r="P14" i="13" s="1"/>
  <c r="X60" i="13"/>
  <c r="X14" i="13" s="1"/>
  <c r="D11" i="25"/>
  <c r="E11" i="25" s="1"/>
  <c r="AV102" i="13"/>
  <c r="AW102" i="13" s="1"/>
  <c r="D23" i="25"/>
  <c r="D48" i="25"/>
  <c r="F46" i="25"/>
  <c r="G46" i="25" s="1"/>
  <c r="E46" i="25"/>
  <c r="D16" i="25"/>
  <c r="E16" i="25" s="1"/>
  <c r="D7" i="25"/>
  <c r="F7" i="25" s="1"/>
  <c r="G7" i="25" s="1"/>
  <c r="D9" i="25"/>
  <c r="D8" i="25"/>
  <c r="D22" i="25"/>
  <c r="AV108" i="13"/>
  <c r="AW108" i="13" s="1"/>
  <c r="D19" i="25"/>
  <c r="S146" i="13"/>
  <c r="AT124" i="13"/>
  <c r="AV91" i="13"/>
  <c r="AW91" i="13" s="1"/>
  <c r="AV82" i="13"/>
  <c r="AW82" i="13" s="1"/>
  <c r="AV148" i="13"/>
  <c r="AW148" i="13" s="1"/>
  <c r="S144" i="16"/>
  <c r="AJ83" i="16"/>
  <c r="AL122" i="16"/>
  <c r="AM122" i="16" s="1"/>
  <c r="AV147" i="13"/>
  <c r="AW147" i="13" s="1"/>
  <c r="AV137" i="13"/>
  <c r="AW137" i="13" s="1"/>
  <c r="J61" i="13"/>
  <c r="J60" i="13" s="1"/>
  <c r="J14" i="13" s="1"/>
  <c r="AL113" i="16"/>
  <c r="AM113" i="16" s="1"/>
  <c r="AL139" i="16"/>
  <c r="AM139" i="16" s="1"/>
  <c r="AV95" i="13"/>
  <c r="AW95" i="13" s="1"/>
  <c r="AV86" i="13"/>
  <c r="AW86" i="13" s="1"/>
  <c r="AL120" i="16"/>
  <c r="AM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L58" i="16"/>
  <c r="AM58" i="16" s="1"/>
  <c r="AV53" i="13"/>
  <c r="AW53" i="13" s="1"/>
  <c r="AT32" i="13"/>
  <c r="AU32" i="13" s="1"/>
  <c r="AT29" i="13"/>
  <c r="AU29" i="13" s="1"/>
  <c r="AV24" i="13"/>
  <c r="AW24" i="13" s="1"/>
  <c r="C23" i="14"/>
  <c r="G533" i="11"/>
  <c r="G348" i="11"/>
  <c r="G363" i="11"/>
  <c r="G307" i="11" s="1"/>
  <c r="D43" i="14"/>
  <c r="F41" i="14"/>
  <c r="G41" i="14" s="1"/>
  <c r="D9" i="14"/>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F15" i="25" l="1"/>
  <c r="G15" i="25" s="1"/>
  <c r="E11" i="30"/>
  <c r="F16" i="30"/>
  <c r="G16" i="30" s="1"/>
  <c r="AV207" i="13"/>
  <c r="AW207" i="13" s="1"/>
  <c r="AU207" i="13"/>
  <c r="AV124" i="13"/>
  <c r="AW124" i="13" s="1"/>
  <c r="AU124" i="13"/>
  <c r="D36" i="30"/>
  <c r="E9" i="30"/>
  <c r="F9" i="30"/>
  <c r="G9" i="30" s="1"/>
  <c r="D18" i="30"/>
  <c r="E15" i="30"/>
  <c r="F15" i="30"/>
  <c r="G15" i="30" s="1"/>
  <c r="AV123" i="13"/>
  <c r="AW123" i="13" s="1"/>
  <c r="AU123" i="13"/>
  <c r="AV206" i="13"/>
  <c r="AW206" i="13" s="1"/>
  <c r="AU206" i="13"/>
  <c r="D8" i="14" a="1"/>
  <c r="D8" i="14" s="1"/>
  <c r="E8" i="14" s="1"/>
  <c r="D35" i="30" a="1"/>
  <c r="D35" i="30" s="1"/>
  <c r="D8" i="30" a="1"/>
  <c r="D8" i="30" s="1"/>
  <c r="D7" i="30" s="1" a="1"/>
  <c r="D7" i="30" s="1"/>
  <c r="D31" i="14"/>
  <c r="E31" i="14" s="1"/>
  <c r="E9" i="14"/>
  <c r="F43" i="14"/>
  <c r="G43" i="14" s="1"/>
  <c r="E43" i="14"/>
  <c r="AK83" i="16"/>
  <c r="D30" i="14" a="1"/>
  <c r="D30" i="14" s="1"/>
  <c r="E30" i="14" s="1"/>
  <c r="E7" i="25"/>
  <c r="F16" i="25"/>
  <c r="G16" i="25" s="1"/>
  <c r="S61" i="13"/>
  <c r="S60" i="13" s="1"/>
  <c r="S14" i="13" s="1"/>
  <c r="AT14" i="13" s="1"/>
  <c r="AU14" i="13" s="1"/>
  <c r="D18" i="25"/>
  <c r="F18" i="25" s="1"/>
  <c r="G18" i="25" s="1"/>
  <c r="F11" i="25"/>
  <c r="G11" i="25" s="1"/>
  <c r="D33" i="25"/>
  <c r="E9" i="25"/>
  <c r="F9" i="25"/>
  <c r="G9" i="25" s="1"/>
  <c r="E23" i="25"/>
  <c r="F23" i="25"/>
  <c r="G23" i="25" s="1"/>
  <c r="D20" i="25"/>
  <c r="D21" i="25" s="1"/>
  <c r="D32" i="25"/>
  <c r="E8" i="25"/>
  <c r="F8" i="25"/>
  <c r="G8" i="25" s="1"/>
  <c r="D58" i="25"/>
  <c r="E48" i="25"/>
  <c r="F48" i="25"/>
  <c r="G48" i="25" s="1"/>
  <c r="F22" i="25"/>
  <c r="G22" i="25" s="1"/>
  <c r="D24" i="25"/>
  <c r="E22" i="25"/>
  <c r="E19" i="25"/>
  <c r="F19" i="25"/>
  <c r="G19" i="25" s="1"/>
  <c r="AT146" i="13"/>
  <c r="AU146" i="13" s="1"/>
  <c r="AL83" i="16"/>
  <c r="AM83" i="16" s="1"/>
  <c r="AJ144" i="16"/>
  <c r="AK144" i="16" s="1"/>
  <c r="AV67" i="13"/>
  <c r="AW67" i="13" s="1"/>
  <c r="AW160" i="13"/>
  <c r="AT19" i="13"/>
  <c r="AU19" i="13" s="1"/>
  <c r="AV29" i="13"/>
  <c r="AW29" i="13" s="1"/>
  <c r="F17" i="14"/>
  <c r="G17" i="14" s="1"/>
  <c r="E18" i="14"/>
  <c r="D16" i="14"/>
  <c r="AV18" i="13"/>
  <c r="AW18" i="13" s="1"/>
  <c r="AV32" i="13"/>
  <c r="AW32" i="13" s="1"/>
  <c r="AW28" i="13"/>
  <c r="F31" i="14"/>
  <c r="G31" i="14" s="1"/>
  <c r="F33" i="14"/>
  <c r="G33" i="14" s="1"/>
  <c r="G263" i="11"/>
  <c r="G122" i="11" s="1"/>
  <c r="D53" i="14"/>
  <c r="E53" i="14" s="1"/>
  <c r="F9" i="14"/>
  <c r="G9" i="14" s="1"/>
  <c r="E21" i="14"/>
  <c r="F21" i="14"/>
  <c r="G21" i="14" s="1"/>
  <c r="D22" i="14"/>
  <c r="F20" i="14"/>
  <c r="G20" i="14" s="1"/>
  <c r="E20" i="14"/>
  <c r="F11" i="14"/>
  <c r="G11" i="14" s="1"/>
  <c r="F10" i="14"/>
  <c r="G10" i="14" s="1"/>
  <c r="E13" i="14"/>
  <c r="F13" i="14"/>
  <c r="G13" i="14" s="1"/>
  <c r="E15" i="14"/>
  <c r="F15" i="14"/>
  <c r="G15" i="14" s="1"/>
  <c r="E14" i="14"/>
  <c r="F14" i="14"/>
  <c r="G14" i="14" s="1"/>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D7" i="14" l="1" a="1"/>
  <c r="D7" i="14" s="1"/>
  <c r="E7" i="14" s="1"/>
  <c r="F8" i="14"/>
  <c r="G8" i="14" s="1"/>
  <c r="D14" i="30"/>
  <c r="E7" i="30"/>
  <c r="F7" i="30"/>
  <c r="D37" i="30"/>
  <c r="F35" i="30"/>
  <c r="G35" i="30" s="1"/>
  <c r="E35" i="30"/>
  <c r="D34" i="30"/>
  <c r="F18" i="30"/>
  <c r="G18" i="30" s="1"/>
  <c r="E18" i="30"/>
  <c r="F8" i="30"/>
  <c r="G8" i="30" s="1"/>
  <c r="E8" i="30"/>
  <c r="E36" i="30"/>
  <c r="F36" i="30"/>
  <c r="G36" i="30" s="1"/>
  <c r="F30" i="14"/>
  <c r="G30" i="14" s="1"/>
  <c r="AT61" i="13"/>
  <c r="AU61" i="13" s="1"/>
  <c r="D34" i="25"/>
  <c r="E34" i="25" s="1"/>
  <c r="AT60" i="13"/>
  <c r="AU60" i="13" s="1"/>
  <c r="E18" i="25"/>
  <c r="AL144" i="16"/>
  <c r="AM144" i="16" s="1"/>
  <c r="F32" i="25"/>
  <c r="G32" i="25" s="1"/>
  <c r="E32" i="25"/>
  <c r="D59" i="25"/>
  <c r="F58" i="25"/>
  <c r="E58" i="25"/>
  <c r="E59" i="25" s="1"/>
  <c r="E20" i="25"/>
  <c r="F20" i="25"/>
  <c r="G20" i="25" s="1"/>
  <c r="E33" i="25"/>
  <c r="F33" i="25"/>
  <c r="G33" i="25" s="1"/>
  <c r="E24" i="25"/>
  <c r="F24" i="25"/>
  <c r="G24" i="25" s="1"/>
  <c r="F21" i="25"/>
  <c r="G21" i="25" s="1"/>
  <c r="E21" i="25"/>
  <c r="AV146" i="13"/>
  <c r="AW146" i="13" s="1"/>
  <c r="AV19" i="13"/>
  <c r="AW19" i="13" s="1"/>
  <c r="E17" i="14"/>
  <c r="F18" i="14"/>
  <c r="G18" i="14" s="1"/>
  <c r="D19" i="14"/>
  <c r="E19" i="14" s="1"/>
  <c r="G115" i="11"/>
  <c r="G114" i="11" s="1"/>
  <c r="G12" i="11" s="1"/>
  <c r="C7" i="11" s="1"/>
  <c r="E54" i="14"/>
  <c r="D54" i="14"/>
  <c r="F53" i="14"/>
  <c r="G53" i="14" s="1"/>
  <c r="E22" i="14"/>
  <c r="F22" i="14"/>
  <c r="G22" i="14" s="1"/>
  <c r="E16" i="14"/>
  <c r="F16" i="14"/>
  <c r="G16" i="14" s="1"/>
  <c r="AV205" i="13"/>
  <c r="AW205" i="13" s="1"/>
  <c r="AV17" i="13"/>
  <c r="AW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D32" i="14" l="1"/>
  <c r="E32" i="14" s="1"/>
  <c r="F7" i="14"/>
  <c r="G7" i="14" s="1"/>
  <c r="D12" i="14"/>
  <c r="E37" i="30"/>
  <c r="F37" i="30"/>
  <c r="G37" i="30" s="1"/>
  <c r="F34" i="30"/>
  <c r="E34" i="30"/>
  <c r="D40" i="30"/>
  <c r="G7" i="30"/>
  <c r="F14" i="30"/>
  <c r="G14" i="30" s="1"/>
  <c r="D25" i="30"/>
  <c r="E14" i="30"/>
  <c r="AV61" i="13"/>
  <c r="AW61" i="13" s="1"/>
  <c r="D29" i="14"/>
  <c r="E29" i="14" s="1"/>
  <c r="AV60" i="13"/>
  <c r="AW60" i="13" s="1"/>
  <c r="D31" i="25"/>
  <c r="F34" i="25"/>
  <c r="G34" i="25" s="1"/>
  <c r="G58" i="25"/>
  <c r="G59" i="25" s="1"/>
  <c r="F59" i="25"/>
  <c r="D23" i="14"/>
  <c r="D24" i="14" s="1"/>
  <c r="F19" i="14"/>
  <c r="G19" i="14" s="1"/>
  <c r="F54" i="14"/>
  <c r="G54" i="14"/>
  <c r="AV15" i="13"/>
  <c r="AW15" i="13" s="1"/>
  <c r="AV16" i="13"/>
  <c r="AW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F32" i="14" l="1"/>
  <c r="G32" i="14" s="1"/>
  <c r="D35" i="14"/>
  <c r="E35" i="14" s="1"/>
  <c r="F12" i="14"/>
  <c r="G12" i="14" s="1"/>
  <c r="E12" i="14"/>
  <c r="E25" i="30"/>
  <c r="D26" i="30"/>
  <c r="F25" i="30"/>
  <c r="G25" i="30" s="1"/>
  <c r="G34" i="30"/>
  <c r="F40" i="30"/>
  <c r="G40" i="30" s="1"/>
  <c r="E40" i="30"/>
  <c r="D42" i="30"/>
  <c r="F29" i="14"/>
  <c r="G29" i="14" s="1"/>
  <c r="E31" i="25"/>
  <c r="J32" i="25"/>
  <c r="J33" i="25" s="1"/>
  <c r="F31" i="25"/>
  <c r="G31" i="25" s="1"/>
  <c r="F24" i="14"/>
  <c r="G24" i="14" s="1"/>
  <c r="E24" i="14"/>
  <c r="E23" i="14"/>
  <c r="F23" i="14"/>
  <c r="G23" i="14" s="1"/>
  <c r="L1323" i="8"/>
  <c r="L1322" i="8"/>
  <c r="L982" i="8"/>
  <c r="L1045" i="8"/>
  <c r="L1889" i="8"/>
  <c r="L1890" i="8"/>
  <c r="L277" i="8"/>
  <c r="L614" i="8"/>
  <c r="L2212" i="8"/>
  <c r="L2213" i="8"/>
  <c r="L309" i="8"/>
  <c r="L329" i="8"/>
  <c r="L382" i="8"/>
  <c r="L358" i="8"/>
  <c r="L359" i="8"/>
  <c r="L298" i="8"/>
  <c r="L299" i="8"/>
  <c r="D37" i="14" l="1"/>
  <c r="E37" i="14" s="1"/>
  <c r="E42" i="30"/>
  <c r="F42" i="30"/>
  <c r="G42" i="30" s="1"/>
  <c r="E26" i="30"/>
  <c r="F26" i="30"/>
  <c r="G26" i="30" s="1"/>
  <c r="F35" i="14"/>
  <c r="G35" i="14" s="1"/>
  <c r="F40" i="25"/>
  <c r="G40" i="25" s="1"/>
  <c r="AV14" i="13"/>
  <c r="AW14" i="13" s="1"/>
  <c r="L1860" i="8"/>
  <c r="L1673" i="8"/>
  <c r="L2164" i="8"/>
  <c r="L1901" i="8"/>
  <c r="L2044" i="8"/>
  <c r="L1634" i="8"/>
  <c r="L377" i="8"/>
  <c r="L613" i="8"/>
  <c r="L677" i="8"/>
  <c r="L759" i="8"/>
  <c r="L981" i="8"/>
  <c r="L1084" i="8"/>
  <c r="F37" i="14" l="1"/>
  <c r="G37" i="14" s="1"/>
  <c r="L376" i="8"/>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<sst xmlns="http://schemas.openxmlformats.org/spreadsheetml/2006/main" count="34488" uniqueCount="6398">
  <si>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</si>
  <si>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</si>
  <si>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</si>
  <si>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</si>
  <si>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</si>
  <si>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</si>
  <si>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</si>
  <si>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</si>
  <si>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</si>
  <si>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</si>
  <si>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</si>
  <si>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</si>
  <si>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</si>
  <si>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</si>
  <si>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</si>
  <si>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</si>
  <si>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</si>
  <si>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</si>
  <si>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</si>
  <si>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</si>
  <si>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</si>
  <si>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</si>
  <si>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</si>
  <si>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</si>
  <si>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</si>
  <si>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</si>
  <si>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</si>
  <si>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</si>
  <si>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</si>
  <si>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</si>
  <si>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</si>
  <si>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</si>
  <si>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</si>
  <si>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</si>
  <si>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</si>
  <si>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</si>
  <si>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</si>
  <si>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</si>
  <si>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</si>
  <si>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</si>
  <si>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</si>
  <si>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</si>
  <si>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</si>
  <si>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</si>
  <si>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</si>
  <si>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</si>
  <si>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</si>
  <si>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</si>
  <si>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</si>
  <si>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</si>
  <si>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</si>
  <si>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</si>
  <si>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</si>
  <si>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</si>
  <si>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</si>
  <si>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</si>
  <si>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</si>
  <si>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</si>
  <si>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</si>
  <si>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</si>
  <si>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</si>
  <si>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</si>
  <si>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</si>
  <si>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</si>
  <si>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</si>
  <si>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</si>
  <si>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</si>
  <si>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</si>
  <si>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</si>
  <si>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</si>
  <si>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</si>
  <si>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</si>
  <si>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</si>
  <si>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</si>
  <si>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</si>
  <si>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</si>
  <si>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</si>
  <si>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</si>
  <si>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</si>
  <si>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</si>
  <si>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</si>
  <si>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</si>
  <si>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</si>
  <si>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</si>
  <si>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</si>
  <si>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</si>
  <si>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</si>
  <si>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</si>
  <si>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</si>
  <si>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</si>
  <si>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</si>
  <si>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</si>
  <si>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</si>
  <si>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</si>
  <si>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</si>
  <si>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</si>
  <si>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</si>
  <si>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</si>
  <si>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</si>
  <si>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</si>
  <si>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</si>
  <si>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</si>
  <si>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</si>
  <si>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</si>
  <si>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</si>
  <si>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</si>
  <si>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</si>
  <si>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</si>
  <si>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</si>
  <si>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</si>
  <si>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</si>
  <si>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</si>
  <si>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</si>
  <si>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</si>
  <si>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</si>
  <si>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</si>
  <si>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</si>
  <si>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</si>
  <si>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</si>
  <si>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</si>
  <si>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</si>
  <si>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</si>
  <si>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</si>
  <si>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</si>
  <si>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</si>
  <si>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</si>
  <si>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</si>
  <si>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</si>
  <si>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</si>
  <si>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</si>
  <si>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</si>
  <si>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</si>
  <si>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</si>
  <si>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</si>
  <si>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</si>
  <si>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</si>
  <si>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</si>
  <si>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</si>
  <si>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</si>
  <si>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</si>
  <si>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</si>
  <si>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</si>
  <si>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</si>
  <si>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</si>
  <si>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</si>
  <si>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</si>
  <si>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</si>
  <si>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</si>
  <si>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</si>
  <si>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</si>
  <si>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</si>
  <si>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</si>
  <si>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</si>
  <si>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</si>
  <si>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</si>
  <si>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</si>
  <si>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</si>
  <si>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</si>
  <si>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</si>
  <si>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</si>
  <si>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</si>
  <si>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</si>
  <si>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</si>
  <si>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</si>
  <si>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</si>
  <si>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</si>
  <si>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</si>
  <si>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</si>
  <si>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</si>
  <si>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</si>
  <si>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</si>
  <si>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</si>
  <si>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</si>
  <si>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</si>
  <si>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</si>
  <si>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</si>
  <si>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</si>
  <si>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</si>
  <si>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</si>
  <si>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</si>
  <si>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</si>
  <si>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</si>
  <si>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</si>
  <si>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</si>
  <si>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</si>
  <si>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</si>
  <si>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</si>
  <si>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</si>
  <si>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</si>
  <si>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</si>
  <si>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</si>
  <si>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</si>
  <si>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</si>
  <si>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</si>
  <si>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</si>
  <si>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</si>
  <si>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</si>
  <si>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</si>
  <si>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</si>
  <si>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</si>
  <si>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</si>
  <si>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</si>
  <si>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</si>
  <si>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</si>
  <si>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</si>
  <si>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</si>
  <si>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</si>
  <si>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</si>
  <si>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</si>
  <si>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</si>
  <si>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</si>
  <si>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</si>
  <si>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</si>
  <si>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</si>
  <si>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</si>
  <si>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</si>
  <si>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</si>
  <si>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</si>
  <si>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</si>
  <si>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</si>
  <si>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</si>
  <si>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</si>
  <si>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</si>
  <si>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</si>
  <si>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</si>
  <si>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</si>
  <si>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</si>
  <si>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</si>
  <si>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</si>
  <si>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</si>
  <si>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</si>
  <si>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</si>
  <si>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</si>
  <si>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</si>
  <si>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</si>
  <si>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</si>
  <si>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</si>
  <si>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</si>
  <si>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</si>
  <si>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</si>
  <si>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</si>
  <si>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</si>
  <si>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</si>
  <si>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</si>
  <si>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</si>
  <si>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</si>
  <si>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</si>
  <si>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</si>
  <si>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</si>
  <si>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</si>
  <si>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</si>
  <si>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</si>
  <si>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</si>
  <si>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</si>
  <si>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</si>
  <si>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</si>
  <si>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</si>
  <si>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</si>
  <si>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</si>
  <si>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</si>
  <si>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</si>
  <si>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</si>
  <si>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</si>
  <si>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</si>
  <si>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</si>
  <si>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</si>
  <si>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</si>
  <si>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</si>
  <si>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</si>
  <si>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</si>
  <si>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</si>
  <si>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</si>
  <si>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</si>
  <si>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</si>
  <si>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</si>
  <si>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</si>
  <si>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</si>
  <si>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</si>
  <si>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</si>
  <si>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</si>
  <si>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</si>
  <si>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</si>
  <si>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</si>
  <si>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</si>
  <si>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</si>
  <si>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</si>
  <si>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</si>
  <si>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</si>
  <si>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</si>
  <si>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</si>
  <si>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</si>
  <si>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</si>
  <si>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</si>
  <si>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</si>
  <si>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</si>
  <si>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</si>
  <si>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</si>
  <si>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</si>
  <si>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</si>
  <si>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</si>
  <si>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</si>
  <si>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</si>
  <si>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</si>
  <si>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</si>
  <si>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</si>
  <si>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</si>
  <si>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</si>
  <si>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</si>
  <si>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</si>
  <si>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</si>
  <si>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</si>
  <si>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</si>
  <si>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</si>
  <si>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</si>
  <si>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</si>
  <si>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</si>
  <si>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</si>
  <si>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</si>
  <si>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</si>
  <si>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</si>
  <si>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</si>
  <si>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</si>
  <si>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</si>
  <si>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</si>
  <si>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</si>
  <si>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</si>
  <si>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</si>
  <si>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</si>
  <si>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</si>
  <si>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</si>
  <si>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</si>
  <si>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</si>
  <si>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</si>
  <si>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</si>
  <si>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</si>
  <si>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</si>
  <si>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</si>
  <si>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</si>
  <si>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</si>
  <si>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</si>
  <si>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</si>
  <si>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</si>
  <si>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</si>
  <si>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</si>
  <si>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</si>
  <si>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</si>
  <si>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</si>
  <si>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</si>
  <si>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</si>
  <si>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</si>
  <si>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</si>
  <si>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</si>
  <si>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</si>
  <si>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</si>
  <si>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</si>
  <si>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</si>
  <si>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</si>
  <si>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</si>
  <si>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</si>
  <si>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</si>
  <si>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</si>
  <si>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</si>
  <si>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</si>
  <si>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</si>
  <si>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</si>
  <si>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</si>
  <si>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</si>
  <si>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</si>
  <si>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</si>
  <si>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</si>
  <si>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</si>
  <si>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</si>
  <si>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</si>
  <si>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</si>
  <si>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</si>
  <si>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</si>
  <si>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</si>
  <si>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</si>
  <si>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</si>
  <si>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</si>
  <si>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</si>
  <si>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</si>
  <si>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</si>
  <si>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</si>
  <si>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</si>
  <si>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</si>
  <si>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</si>
  <si>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</si>
  <si>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</si>
  <si>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</si>
  <si>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</si>
  <si>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</si>
  <si>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</si>
  <si>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</si>
  <si>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</si>
  <si>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</si>
  <si>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</si>
  <si>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</si>
  <si>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</si>
  <si>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</si>
  <si>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</si>
  <si>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</si>
  <si>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</si>
  <si>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</si>
  <si>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</si>
  <si>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</si>
  <si>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</si>
  <si>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</si>
  <si>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</si>
  <si>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</si>
  <si>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</si>
  <si>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</si>
  <si>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</si>
  <si>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</si>
  <si>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</si>
  <si>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</si>
  <si>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</si>
  <si>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</si>
  <si>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</si>
  <si>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</si>
  <si>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</si>
  <si>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</si>
  <si>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</si>
  <si>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</si>
  <si>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</si>
  <si>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</si>
  <si>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</si>
  <si>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</si>
  <si>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</si>
  <si>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</si>
  <si>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</si>
  <si>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</si>
  <si>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</si>
  <si>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</si>
  <si>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</si>
  <si>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</si>
  <si>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</si>
  <si>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</si>
  <si>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</si>
  <si>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</si>
  <si>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</si>
  <si>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</si>
  <si>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</si>
  <si>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</si>
  <si>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</si>
  <si>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</si>
  <si>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</si>
  <si>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</si>
  <si>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</si>
  <si>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</si>
  <si>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</si>
  <si>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</si>
  <si>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</si>
  <si>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</si>
  <si>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</si>
  <si>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</si>
  <si>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</si>
  <si>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</si>
  <si>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</si>
  <si>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</si>
  <si>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</si>
  <si>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</si>
  <si>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</si>
  <si>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</si>
  <si>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</si>
  <si>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</si>
  <si>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</si>
  <si>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</si>
  <si>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</si>
  <si>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</si>
  <si>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</si>
  <si>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</si>
  <si>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</si>
  <si>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</si>
  <si>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</si>
  <si>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</si>
  <si>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</si>
  <si>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</si>
  <si>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</si>
  <si>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</si>
  <si>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</si>
  <si>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</si>
  <si>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</si>
  <si>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</si>
  <si>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</si>
  <si>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</si>
  <si>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</si>
  <si>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</si>
  <si>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</si>
  <si>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</si>
  <si>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</si>
  <si>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</si>
  <si>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</si>
  <si>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</si>
  <si>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</si>
  <si>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</si>
  <si>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</si>
  <si>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</si>
  <si>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</si>
  <si>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</si>
  <si>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</si>
  <si>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</si>
  <si>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</si>
  <si>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</si>
  <si>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</si>
  <si>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</si>
  <si>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</si>
  <si>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</si>
  <si>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</si>
  <si>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</si>
  <si>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</si>
  <si>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</si>
  <si>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</si>
  <si>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</si>
  <si>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</si>
  <si>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</si>
  <si>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</si>
  <si>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</si>
  <si>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</si>
  <si>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</si>
  <si>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</si>
  <si>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</si>
  <si>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</si>
  <si>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</si>
  <si>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</si>
  <si>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</si>
  <si>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</si>
  <si>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</si>
  <si>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</si>
  <si>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</si>
  <si>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</si>
  <si>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</si>
  <si>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</si>
  <si>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</si>
  <si>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</si>
  <si>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</si>
  <si>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</si>
  <si>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</si>
  <si>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</si>
  <si>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</si>
  <si>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</si>
  <si>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</si>
  <si>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</si>
  <si>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</si>
  <si>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</si>
  <si>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</si>
  <si>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</si>
  <si>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</si>
  <si>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</si>
  <si>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</si>
  <si>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</si>
  <si>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</si>
  <si>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</si>
  <si>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</si>
  <si>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</si>
  <si>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</si>
  <si>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</si>
  <si>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</si>
  <si>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</si>
  <si>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</si>
  <si>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</si>
  <si>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</si>
  <si>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</si>
  <si>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</si>
  <si>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</si>
  <si>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</si>
  <si>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</si>
  <si>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</si>
  <si>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</si>
  <si>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</si>
  <si>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</si>
  <si>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</si>
  <si>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</si>
  <si>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</si>
  <si>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</si>
  <si>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</si>
  <si>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</si>
  <si>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</si>
  <si>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</si>
  <si>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</si>
  <si>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</si>
  <si>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</si>
  <si>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</si>
  <si>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</si>
  <si>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</si>
  <si>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</si>
  <si>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</si>
  <si>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</si>
  <si>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</si>
  <si>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</si>
  <si>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</si>
  <si>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</si>
  <si>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</si>
  <si>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</si>
  <si>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</si>
  <si>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</si>
  <si>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</si>
  <si>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</si>
  <si>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</si>
  <si>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</si>
  <si>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</si>
  <si>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</si>
  <si>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</si>
  <si>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</si>
  <si>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</si>
  <si>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</si>
  <si>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</si>
  <si>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</si>
  <si>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</si>
  <si>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</si>
  <si>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</si>
  <si>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</si>
  <si>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</si>
  <si>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</si>
  <si>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</si>
  <si>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</si>
  <si>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</si>
  <si>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</si>
  <si>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</si>
  <si>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</si>
  <si>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</si>
  <si>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</si>
  <si>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</si>
  <si>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</si>
  <si>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</si>
  <si>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</si>
  <si>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</si>
  <si>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</si>
  <si>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</si>
  <si>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</si>
  <si>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</si>
  <si>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</si>
  <si>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</si>
  <si>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</si>
  <si>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</si>
  <si>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</si>
  <si>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</si>
  <si>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</si>
  <si>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</si>
  <si>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</si>
  <si>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</si>
  <si>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</si>
  <si>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</si>
  <si>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</si>
  <si>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</si>
  <si>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</si>
  <si>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</si>
  <si>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</si>
  <si>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</si>
  <si>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</si>
  <si>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</si>
  <si>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</si>
  <si>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</si>
  <si>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</si>
  <si>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</si>
  <si>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</si>
  <si>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</si>
  <si>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</si>
  <si>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</si>
  <si>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</si>
  <si>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</si>
  <si>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</si>
  <si>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</si>
  <si>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</si>
  <si>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</si>
  <si>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</si>
  <si>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</si>
  <si>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</si>
  <si>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</si>
  <si>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</si>
  <si>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</si>
  <si>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</si>
  <si>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</si>
  <si>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</si>
  <si>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</si>
  <si>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</si>
  <si>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</si>
  <si>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</si>
  <si>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</si>
  <si>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</si>
  <si>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</si>
  <si>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</si>
  <si>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</si>
  <si>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</si>
  <si>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</si>
  <si>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</si>
  <si>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</si>
  <si>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</si>
  <si>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</si>
  <si>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</si>
  <si>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</si>
  <si>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</si>
  <si>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</si>
  <si>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</si>
  <si>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</si>
  <si>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</si>
  <si>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</si>
  <si>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</si>
  <si>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</si>
  <si>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</si>
  <si>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</si>
  <si>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</si>
  <si>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</si>
  <si>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</si>
  <si>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</si>
  <si>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</si>
  <si>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</si>
  <si>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</si>
  <si>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</si>
  <si>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</si>
  <si>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</si>
  <si>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</si>
  <si>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</si>
  <si>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</si>
  <si>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</si>
  <si>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</si>
  <si>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</si>
  <si>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</si>
  <si>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</si>
  <si>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</si>
  <si>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</si>
  <si>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</si>
  <si>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</si>
  <si>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</si>
  <si>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</si>
  <si>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</si>
  <si>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</si>
  <si>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</si>
  <si>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</si>
  <si>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</si>
  <si>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</si>
  <si>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</si>
  <si>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</si>
  <si>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</si>
  <si>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</si>
  <si>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</si>
  <si>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</si>
  <si>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</si>
  <si>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</si>
  <si>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</si>
  <si>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</si>
  <si>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</si>
  <si>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</si>
  <si>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</si>
  <si>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</si>
  <si>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</si>
  <si>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</si>
  <si>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</si>
  <si>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</si>
  <si>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</si>
  <si>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</si>
  <si>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</si>
  <si>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</si>
  <si>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</si>
  <si>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</si>
  <si>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</si>
  <si>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</si>
  <si>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</si>
  <si>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</si>
  <si>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</si>
  <si>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</si>
  <si>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</si>
  <si>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</si>
  <si>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</si>
  <si>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</si>
  <si>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</si>
  <si>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</si>
  <si>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</si>
  <si>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</si>
  <si>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</si>
  <si>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</si>
  <si>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</si>
  <si>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</si>
  <si>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</si>
  <si>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</si>
  <si>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</si>
  <si>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</si>
  <si>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</si>
  <si>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</si>
  <si>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</si>
  <si>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</si>
  <si>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</si>
  <si>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</si>
  <si>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</si>
  <si>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</si>
  <si>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</si>
  <si>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</si>
  <si>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</si>
  <si>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</si>
  <si>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</si>
  <si>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</si>
  <si>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</si>
  <si>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</si>
  <si>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</si>
  <si>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</si>
  <si>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</si>
  <si>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</si>
  <si>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</si>
  <si>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</si>
  <si>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</si>
  <si>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</si>
  <si>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</si>
  <si>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</si>
  <si>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</si>
  <si>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</si>
  <si>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</si>
  <si>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</si>
  <si>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</si>
  <si>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</si>
  <si>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</si>
  <si>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</si>
  <si>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</si>
  <si>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</si>
  <si>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</si>
  <si>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</si>
  <si>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</si>
  <si>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</si>
  <si>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</si>
  <si>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</si>
  <si>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</si>
  <si>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</si>
  <si>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</si>
  <si>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</si>
  <si>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</si>
  <si>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</si>
  <si>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</si>
  <si>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</si>
  <si>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</si>
  <si>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</si>
  <si>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</si>
  <si>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</si>
  <si>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</si>
  <si>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</si>
  <si>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</si>
  <si>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</si>
  <si>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</si>
  <si>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</si>
  <si>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</si>
  <si>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</si>
  <si>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</si>
  <si>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</si>
  <si>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</si>
  <si>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</si>
  <si>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</si>
  <si>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</si>
  <si>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</si>
  <si>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</si>
  <si>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</si>
  <si>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</si>
  <si>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</si>
  <si>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</si>
  <si>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</si>
  <si>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</si>
  <si>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</si>
  <si>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</si>
  <si>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</si>
  <si>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</si>
  <si>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</si>
  <si>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</si>
  <si>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</si>
  <si>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</si>
  <si>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</si>
  <si>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</si>
  <si>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</si>
  <si>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</si>
  <si>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</si>
  <si>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</si>
  <si>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</si>
  <si>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</si>
  <si>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</si>
  <si>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</si>
  <si>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</si>
  <si>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</si>
  <si>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</si>
  <si>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</si>
  <si>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</si>
  <si>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</si>
  <si>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</si>
  <si>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</si>
  <si>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</si>
  <si>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</si>
  <si>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</si>
  <si>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</si>
  <si>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</si>
  <si>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</si>
  <si>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</si>
  <si>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</si>
  <si>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</si>
  <si>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</si>
  <si>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</si>
  <si>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</si>
  <si>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</si>
  <si>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</si>
  <si>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</si>
  <si>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</si>
  <si>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</si>
  <si>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</si>
  <si>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</si>
  <si>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</si>
  <si>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</si>
  <si>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</si>
  <si>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</si>
  <si>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</si>
  <si>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</si>
  <si>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</si>
  <si>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</si>
  <si>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</si>
  <si>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</si>
  <si>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</si>
  <si>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</si>
  <si>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</si>
  <si>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</si>
  <si>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</si>
  <si>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</si>
  <si>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</si>
  <si>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</si>
  <si>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</si>
  <si>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</si>
  <si>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</si>
  <si>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</si>
  <si>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</si>
  <si>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</si>
  <si>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</si>
  <si>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</si>
  <si>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</si>
  <si>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</si>
  <si>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</si>
  <si>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</si>
  <si>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</si>
  <si>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</si>
  <si>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</si>
  <si>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</si>
  <si>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</si>
  <si>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</si>
  <si>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</si>
  <si>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</si>
  <si>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</si>
  <si>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</si>
  <si>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</si>
  <si>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</si>
  <si>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</si>
  <si>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</si>
  <si>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</si>
  <si>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</si>
  <si>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</si>
  <si>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</si>
  <si>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</si>
  <si>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</si>
  <si>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</si>
  <si>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</si>
  <si>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</si>
  <si>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</si>
  <si>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</si>
  <si>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</si>
  <si>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</si>
  <si>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</si>
  <si>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</si>
  <si>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</si>
  <si>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</si>
  <si>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</si>
  <si>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</si>
  <si>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</si>
  <si>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</si>
  <si>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</si>
  <si>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</si>
  <si>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</si>
  <si>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</si>
  <si>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</si>
  <si>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</si>
  <si>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</si>
  <si>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</si>
  <si>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</si>
  <si>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</si>
  <si>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</si>
  <si>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</si>
  <si>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</si>
  <si>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</si>
  <si>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</si>
  <si>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</si>
  <si>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</si>
  <si>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</si>
  <si>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</si>
  <si>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</si>
  <si>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</si>
  <si>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</si>
  <si>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</si>
  <si>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</si>
  <si>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</si>
  <si>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</si>
  <si>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</si>
  <si>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</si>
  <si>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</si>
  <si>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</si>
  <si>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</si>
  <si>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</si>
  <si>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</si>
  <si>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</si>
  <si>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</si>
  <si>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</si>
  <si>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</si>
  <si>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</si>
  <si>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</si>
  <si>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</si>
  <si>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</si>
  <si>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</si>
  <si>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</si>
  <si>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</si>
  <si>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</si>
  <si>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</si>
  <si>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</si>
  <si>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</si>
  <si>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</si>
  <si>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</si>
  <si>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</si>
  <si>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</si>
  <si>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</si>
  <si>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</si>
  <si>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</si>
  <si>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</si>
  <si>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</si>
  <si>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</si>
  <si>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</si>
  <si>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</si>
  <si>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</si>
  <si>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</si>
  <si>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</si>
  <si>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</si>
  <si>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</si>
  <si>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</si>
  <si>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</si>
  <si>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</si>
  <si>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</si>
  <si>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</si>
  <si>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</si>
  <si>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</si>
  <si>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</si>
  <si>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</si>
  <si>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</si>
  <si>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</si>
  <si>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</si>
  <si>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</si>
  <si>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</si>
  <si>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</si>
  <si>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</si>
  <si>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</si>
  <si>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</si>
  <si>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</si>
  <si>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</si>
  <si>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</si>
  <si>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</si>
  <si>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</si>
  <si>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</si>
  <si>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</si>
  <si>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</si>
  <si>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</si>
  <si>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</si>
  <si>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</si>
  <si>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</si>
  <si>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</si>
  <si>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</si>
  <si>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</si>
  <si>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</si>
  <si>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</si>
  <si>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</si>
  <si>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</si>
  <si>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</si>
  <si>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</si>
  <si>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</si>
  <si>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</si>
  <si>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</si>
  <si>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</si>
  <si>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</si>
  <si>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</si>
  <si>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</si>
  <si>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</si>
  <si>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</si>
  <si>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</si>
  <si>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</si>
  <si>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</si>
  <si>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</si>
  <si>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</si>
  <si>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</si>
  <si>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</si>
  <si>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</si>
  <si>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</si>
  <si>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</si>
  <si>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</si>
  <si>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</si>
  <si>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</si>
  <si>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</si>
  <si>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</si>
  <si>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</si>
  <si>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</si>
  <si>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</si>
  <si>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</si>
  <si>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</si>
  <si>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</si>
  <si>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</si>
  <si>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</si>
  <si>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</si>
  <si>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</si>
  <si>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</si>
  <si>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</si>
  <si>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</si>
  <si>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</si>
  <si>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</si>
  <si>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</si>
  <si>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</si>
  <si>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</si>
  <si>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</si>
  <si>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</si>
  <si>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</si>
  <si>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</si>
  <si>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</si>
  <si>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</si>
  <si>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</si>
  <si>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</si>
  <si>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</si>
  <si>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</si>
  <si>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</si>
  <si>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</si>
  <si>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</si>
  <si>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</si>
  <si>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</si>
  <si>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</si>
  <si>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</si>
  <si>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</si>
  <si>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</si>
  <si>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</si>
  <si>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</si>
  <si>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</si>
  <si>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</si>
  <si>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</si>
  <si>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</si>
  <si>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</si>
  <si>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</si>
  <si>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</si>
  <si>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</si>
  <si>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</si>
  <si>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</si>
  <si>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</si>
  <si>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</si>
  <si>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</si>
  <si>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</si>
  <si>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</si>
  <si>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</si>
  <si>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</si>
  <si>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</si>
  <si>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</si>
  <si>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</si>
  <si>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</si>
  <si>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</si>
  <si>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</si>
  <si>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</si>
  <si>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</si>
  <si>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</si>
  <si>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</si>
  <si>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</si>
  <si>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</si>
  <si>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</si>
  <si>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</si>
  <si>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</si>
  <si>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</si>
  <si>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</si>
  <si>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</si>
  <si>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</si>
  <si>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</si>
  <si>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</si>
  <si>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</si>
  <si>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</si>
  <si>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</si>
  <si>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</si>
  <si>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</si>
  <si>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</si>
  <si>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</si>
  <si>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</si>
  <si>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</si>
  <si>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</si>
  <si>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</si>
  <si>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</si>
  <si>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</si>
  <si>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</si>
  <si>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</si>
  <si>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</si>
  <si>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</si>
  <si>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</si>
  <si>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</si>
  <si>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</si>
  <si>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</si>
  <si>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</si>
  <si>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</si>
  <si>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</si>
  <si>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</si>
  <si>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</si>
  <si>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</si>
  <si>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</si>
  <si>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</si>
  <si>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</si>
  <si>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</si>
  <si>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</si>
  <si>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</si>
  <si>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</si>
  <si>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</si>
  <si>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</si>
  <si>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</si>
  <si>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</si>
  <si>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</si>
  <si>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</si>
  <si>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</si>
  <si>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</si>
  <si>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</si>
  <si>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</si>
  <si>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</si>
  <si>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</si>
  <si>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</si>
  <si>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</si>
  <si>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</si>
  <si>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</si>
  <si>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</si>
  <si>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</si>
  <si>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</si>
  <si>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</si>
  <si>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</si>
  <si>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</si>
  <si>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</si>
  <si>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</si>
  <si>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</si>
  <si>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</si>
  <si>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</si>
  <si>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</si>
  <si>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</si>
  <si>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</si>
  <si>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</si>
  <si>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</si>
  <si>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</si>
  <si>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</si>
  <si>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</si>
  <si>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</si>
  <si>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</si>
  <si>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</si>
  <si>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</si>
  <si>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</si>
  <si>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</si>
  <si>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</si>
  <si>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</si>
  <si>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</si>
  <si>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</si>
  <si>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</si>
  <si>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</si>
  <si>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</si>
  <si>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</si>
  <si>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</si>
  <si>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</si>
  <si>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</si>
  <si>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</si>
  <si>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</si>
  <si>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</si>
  <si>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</si>
  <si>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</si>
  <si>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</si>
  <si>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</si>
  <si>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</si>
  <si>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</si>
  <si>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</si>
  <si>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</si>
  <si>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</si>
  <si>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</si>
  <si>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</si>
  <si>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</si>
  <si>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</si>
  <si>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</si>
  <si>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</si>
  <si>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</si>
  <si>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</si>
  <si>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</si>
  <si>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</si>
  <si>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</si>
  <si>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</si>
  <si>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</si>
  <si>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</si>
  <si>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</si>
  <si>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</si>
  <si>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</si>
  <si>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</si>
  <si>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</si>
  <si>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</si>
  <si>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</si>
  <si>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</si>
  <si>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</si>
  <si>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</si>
  <si>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</si>
  <si>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</si>
  <si>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</si>
  <si>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</si>
  <si>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</si>
  <si>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</si>
  <si>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</si>
  <si>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</si>
  <si>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</si>
  <si>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</si>
  <si>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</si>
  <si>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</si>
  <si>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</si>
  <si>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</si>
  <si>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</si>
  <si>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</si>
  <si>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</si>
  <si>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</si>
  <si>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</si>
  <si>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</si>
  <si>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</si>
  <si>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</si>
  <si>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</si>
  <si>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</si>
  <si>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</si>
  <si>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</si>
  <si>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</si>
  <si>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</si>
  <si>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</si>
  <si>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</si>
  <si>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</si>
  <si>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</si>
  <si>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</si>
  <si>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</si>
  <si>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</si>
  <si>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</si>
  <si>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</si>
  <si>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</si>
  <si>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</si>
  <si>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</si>
  <si>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</si>
  <si>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</si>
  <si>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</si>
  <si>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</si>
  <si>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</si>
  <si>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</si>
  <si>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</si>
  <si>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</si>
  <si>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</si>
  <si>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</si>
  <si>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</si>
  <si>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</si>
  <si>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</si>
  <si>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</si>
  <si>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</si>
  <si>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</si>
  <si>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</si>
  <si>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</si>
  <si>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</si>
  <si>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</si>
  <si>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</si>
  <si>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</si>
  <si>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</si>
  <si>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</si>
  <si>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</si>
  <si>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</si>
  <si>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</si>
  <si>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</si>
  <si>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</si>
  <si>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</si>
  <si>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</si>
  <si>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</si>
  <si>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</si>
  <si>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</si>
  <si>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</si>
  <si>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</si>
  <si>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</si>
  <si>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</si>
  <si>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</si>
  <si>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</si>
  <si>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</si>
  <si>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</si>
  <si>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</si>
  <si>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</si>
  <si>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</si>
  <si>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</si>
  <si>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</si>
  <si>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</si>
  <si>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</si>
  <si>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</si>
  <si>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</si>
  <si>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</si>
  <si>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</si>
  <si>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</si>
  <si>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</si>
  <si>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</si>
  <si>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</si>
  <si>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</si>
  <si>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</si>
  <si>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</si>
  <si>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</si>
  <si>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</si>
  <si>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</si>
  <si>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</si>
  <si>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</si>
  <si>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</si>
  <si>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</si>
  <si>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</si>
  <si>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</si>
  <si>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</si>
  <si>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</si>
  <si>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</si>
  <si>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</si>
  <si>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</si>
  <si>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</si>
  <si>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</si>
  <si>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</si>
  <si>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</si>
  <si>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</si>
  <si>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</si>
  <si>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</si>
  <si>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</si>
  <si>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</si>
  <si>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</si>
  <si>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</si>
  <si>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</si>
  <si>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</si>
  <si>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</si>
  <si>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</si>
  <si>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</si>
  <si>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</si>
  <si>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</si>
  <si>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</si>
  <si>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</si>
  <si>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</si>
  <si>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</si>
  <si>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</si>
  <si>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</si>
  <si>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</si>
  <si>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</si>
  <si>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</si>
  <si>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</si>
  <si>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</si>
  <si>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</si>
  <si>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</si>
  <si>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</si>
  <si>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</si>
  <si>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</si>
  <si>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</si>
  <si>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</si>
  <si>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</si>
  <si>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</si>
  <si>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</si>
  <si>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</si>
  <si>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</si>
  <si>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</si>
  <si>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</si>
  <si>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</si>
  <si>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</si>
  <si>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</si>
  <si>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</si>
  <si>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</si>
  <si>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</si>
  <si>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</si>
  <si>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</si>
  <si>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</si>
  <si>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</si>
  <si>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</si>
  <si>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</si>
  <si>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</si>
  <si>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</si>
  <si>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</si>
  <si>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</si>
  <si>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</si>
  <si>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</si>
  <si>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</si>
  <si>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</si>
  <si>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</si>
  <si>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</si>
  <si>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</si>
  <si>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</si>
  <si>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</si>
  <si>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</si>
  <si>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</si>
  <si>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</si>
  <si>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</si>
  <si>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</si>
  <si>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</si>
  <si>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</si>
  <si>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</si>
  <si>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</si>
  <si>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</si>
  <si>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</si>
  <si>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</si>
  <si>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</si>
  <si>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</si>
  <si>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</si>
  <si>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</si>
  <si>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</si>
  <si>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</si>
  <si>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</si>
  <si>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</si>
  <si>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</si>
  <si>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</si>
  <si>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</si>
  <si>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</si>
  <si>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</si>
  <si>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</si>
  <si>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</si>
  <si>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</si>
  <si>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</si>
  <si>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</si>
  <si>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</si>
  <si>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</si>
  <si>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</si>
  <si>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</si>
  <si>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</si>
  <si>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</si>
  <si>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</si>
  <si>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</si>
  <si>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</si>
  <si>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</si>
  <si>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</si>
  <si>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</si>
  <si>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</si>
  <si>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</si>
  <si>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</si>
  <si>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</si>
  <si>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</si>
  <si>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</si>
  <si>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</si>
  <si>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</si>
  <si>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</si>
  <si>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</si>
  <si>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</si>
  <si>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</si>
  <si>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</si>
  <si>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</si>
  <si>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</si>
  <si>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</si>
  <si>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</si>
  <si>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</si>
  <si>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</si>
  <si>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</si>
  <si>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</si>
  <si>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</si>
  <si>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</si>
  <si>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</si>
  <si>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</si>
  <si>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</si>
  <si>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</si>
  <si>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</si>
  <si>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</si>
  <si>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</si>
  <si>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</si>
  <si>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</si>
  <si>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</si>
  <si>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</si>
  <si>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</si>
  <si>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</si>
  <si>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</si>
  <si>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</si>
  <si>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</si>
  <si>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</si>
  <si>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</si>
  <si>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</si>
  <si>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</si>
  <si>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</si>
  <si>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</si>
  <si>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</si>
  <si>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</si>
  <si>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</si>
  <si>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</si>
  <si>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</si>
  <si>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</si>
  <si>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</si>
  <si>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</si>
  <si>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</si>
  <si>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</si>
  <si>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</si>
  <si>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</si>
  <si>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</si>
  <si>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</si>
  <si>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</si>
  <si>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</si>
  <si>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</si>
  <si>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</si>
  <si>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</si>
  <si>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</si>
  <si>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</si>
  <si>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</si>
  <si>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</si>
  <si>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</si>
  <si>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</si>
  <si>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</si>
  <si>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</si>
  <si>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</si>
  <si>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</si>
  <si>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</si>
  <si>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</si>
  <si>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</si>
  <si>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</si>
  <si>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</si>
  <si>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</si>
  <si>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</si>
  <si>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</si>
  <si>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</si>
  <si>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</si>
  <si>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</si>
  <si>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</si>
  <si>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</si>
  <si>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</si>
  <si>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</si>
  <si>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</si>
  <si>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</si>
  <si>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</si>
  <si>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</si>
  <si>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</si>
  <si>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</si>
  <si>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</si>
  <si>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</si>
  <si>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</si>
  <si>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</si>
  <si>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</si>
  <si>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</si>
  <si>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</si>
  <si>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</si>
  <si>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</si>
  <si>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</si>
  <si>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</si>
  <si>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</si>
  <si>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</si>
  <si>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</si>
  <si>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</si>
  <si>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</si>
  <si>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</si>
  <si>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</si>
  <si>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</si>
  <si>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</si>
  <si>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</si>
  <si>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</si>
  <si>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</si>
  <si>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</si>
  <si>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</si>
  <si>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</si>
  <si>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</si>
  <si>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</si>
  <si>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</si>
  <si>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</si>
  <si>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</si>
  <si>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</si>
  <si>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</si>
  <si>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</si>
  <si>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</si>
  <si>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</si>
  <si>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</si>
  <si>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</si>
  <si>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</si>
  <si>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</si>
  <si>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</si>
  <si>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</si>
  <si>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</si>
  <si>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</si>
  <si>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</si>
  <si>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</si>
  <si>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</si>
  <si>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</si>
  <si>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</si>
  <si>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</si>
  <si>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</si>
  <si>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</si>
  <si>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</si>
  <si>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</si>
  <si>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</si>
  <si>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</si>
  <si>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</si>
  <si>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</si>
  <si>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</si>
  <si>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</si>
  <si>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</si>
  <si>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</si>
  <si>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</si>
  <si>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</si>
  <si>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</si>
  <si>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</si>
  <si>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</si>
  <si>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</si>
  <si>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</si>
  <si>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</si>
  <si>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</si>
  <si>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</si>
  <si>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</si>
  <si>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</si>
  <si>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</si>
  <si>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</si>
  <si>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</si>
  <si>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</si>
  <si>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</si>
  <si>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</si>
  <si>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</si>
  <si>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</si>
  <si>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</si>
  <si>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</si>
  <si>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</si>
  <si>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</si>
  <si>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</si>
  <si>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</si>
  <si>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</si>
  <si>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</si>
  <si>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</si>
  <si>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</si>
  <si>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</si>
  <si>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</si>
  <si>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</si>
  <si>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</si>
  <si>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</si>
  <si>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</si>
  <si>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</si>
  <si>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</si>
  <si>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</si>
  <si>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</si>
  <si>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</si>
  <si>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</si>
  <si>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</si>
  <si>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</si>
  <si>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</si>
  <si>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</si>
  <si>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</si>
  <si>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</si>
  <si>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</si>
  <si>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</si>
  <si>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</si>
  <si>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</si>
  <si>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</si>
  <si>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</si>
  <si>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</si>
  <si>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</si>
  <si>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</si>
  <si>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</si>
  <si>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</si>
  <si>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</si>
  <si>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</si>
  <si>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</si>
  <si>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</si>
  <si>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</si>
  <si>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</si>
  <si>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</si>
  <si>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</si>
  <si>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</si>
  <si>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</si>
  <si>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</si>
  <si>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</si>
  <si>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</si>
  <si>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</si>
  <si>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</si>
  <si>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</si>
  <si>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</si>
  <si>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</si>
  <si>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</si>
  <si>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</si>
  <si>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</si>
  <si>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</si>
  <si>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</si>
  <si>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</si>
  <si>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</si>
  <si>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</si>
  <si>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</si>
  <si>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</si>
  <si>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</si>
  <si>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</si>
  <si>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</si>
  <si>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</si>
  <si>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</si>
  <si>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</si>
  <si>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</si>
  <si>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</si>
  <si>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</si>
  <si>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</si>
  <si>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</si>
  <si>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</si>
  <si>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</si>
  <si>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</si>
  <si>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</si>
  <si>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</si>
  <si>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</si>
  <si>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</si>
  <si>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</si>
  <si>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</si>
  <si>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</si>
  <si>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</si>
  <si>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</si>
  <si>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</si>
  <si>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</si>
  <si>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</si>
  <si>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</si>
  <si>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</si>
  <si>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</si>
  <si>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</si>
  <si>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</si>
  <si>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</si>
  <si>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</si>
  <si>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</si>
  <si>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</si>
  <si>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</si>
  <si>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</si>
  <si>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</si>
  <si>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</si>
  <si>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</si>
  <si>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</si>
  <si>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</si>
  <si>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</si>
  <si>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</si>
  <si>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</si>
  <si>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</si>
  <si>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</si>
  <si>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</si>
  <si>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</si>
  <si>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</si>
  <si>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</si>
  <si>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</si>
  <si>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</si>
  <si>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</si>
  <si>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</si>
  <si>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</si>
  <si>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</si>
  <si>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</si>
  <si>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</si>
  <si>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</si>
  <si>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</si>
  <si>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</si>
  <si>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</si>
  <si>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</si>
  <si>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</si>
  <si>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</si>
  <si>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</si>
  <si>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</si>
  <si>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</si>
  <si>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</si>
  <si>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</si>
  <si>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</si>
  <si>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</si>
  <si>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</si>
  <si>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</si>
  <si>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</si>
  <si>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</si>
  <si>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</si>
  <si>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</si>
  <si>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</si>
  <si>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</si>
  <si>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</si>
  <si>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</si>
  <si>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</si>
  <si>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</si>
  <si>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</si>
  <si>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</si>
  <si>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</si>
  <si>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</si>
  <si>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</si>
  <si>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</si>
  <si>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</si>
  <si>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</si>
  <si>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</si>
  <si>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</si>
  <si>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</si>
  <si>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</si>
  <si>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</si>
  <si>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</si>
  <si>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</si>
  <si>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</si>
  <si>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</si>
  <si>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</si>
  <si>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</si>
  <si>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</si>
  <si>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</si>
  <si>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</si>
  <si>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</si>
  <si>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</si>
  <si>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</si>
  <si>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</si>
  <si>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</si>
  <si>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</si>
  <si>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</si>
  <si>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</si>
  <si>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</si>
  <si>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</si>
  <si>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</si>
  <si>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</si>
  <si>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</si>
  <si>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</si>
  <si>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</si>
  <si>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</si>
  <si>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</si>
  <si>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</si>
  <si>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</si>
  <si>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</si>
  <si>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</si>
  <si>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</si>
  <si>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</si>
  <si>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</si>
  <si>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</si>
  <si>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</si>
  <si>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</si>
  <si>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</si>
  <si>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</si>
  <si>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</si>
  <si>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</si>
  <si>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</si>
  <si>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</si>
  <si>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</si>
  <si>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</si>
  <si>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</si>
  <si>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</si>
  <si>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</si>
  <si>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</si>
  <si>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</si>
  <si>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</si>
  <si>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</si>
  <si>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</si>
  <si>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</si>
  <si>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</si>
  <si>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</si>
  <si>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</si>
  <si>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</si>
  <si>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</si>
  <si>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</si>
  <si>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</si>
  <si>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</si>
  <si>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</si>
  <si>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</si>
  <si>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</si>
  <si>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</si>
  <si>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</si>
  <si>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</si>
  <si>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</si>
  <si>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</si>
  <si>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</si>
  <si>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</si>
  <si>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</si>
  <si>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</si>
  <si>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</si>
  <si>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</si>
  <si>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</si>
  <si>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</si>
  <si>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</si>
  <si>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</si>
  <si>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</si>
  <si>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</si>
  <si>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</si>
  <si>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</si>
  <si>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</si>
  <si>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</si>
  <si>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</si>
  <si>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</si>
  <si>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</si>
  <si>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</si>
  <si>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</si>
  <si>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</si>
  <si>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</si>
  <si>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</si>
  <si>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</si>
  <si>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</si>
  <si>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</si>
  <si>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</si>
  <si>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</si>
  <si>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</si>
  <si>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</si>
  <si>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</si>
  <si>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</si>
  <si>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</si>
  <si>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</si>
  <si>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</si>
  <si>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</si>
  <si>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</si>
  <si>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</si>
  <si>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</si>
  <si>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</si>
  <si>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</si>
  <si>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</si>
  <si>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</si>
  <si>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</si>
  <si>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</si>
  <si>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</si>
  <si>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</si>
  <si>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</si>
  <si>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</si>
  <si>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</si>
  <si>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</si>
  <si>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</si>
  <si>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</si>
  <si>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</si>
  <si>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</si>
  <si>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</si>
  <si>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</si>
  <si>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</si>
  <si>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</si>
  <si>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</si>
  <si>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</si>
  <si>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</si>
  <si>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</si>
  <si>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</si>
  <si>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</si>
  <si>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</si>
  <si>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</si>
  <si>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</si>
  <si>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</si>
  <si>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</si>
  <si>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</si>
  <si>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</si>
  <si>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</si>
  <si>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</si>
  <si>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</si>
  <si>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</si>
  <si>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</si>
  <si>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</si>
  <si>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</si>
  <si>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</si>
  <si>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</si>
  <si>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</si>
  <si>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</si>
  <si>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</si>
  <si>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</si>
  <si>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</si>
  <si>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</si>
  <si>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</si>
  <si>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</si>
  <si>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</si>
  <si>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</si>
  <si>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</si>
  <si>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</si>
  <si>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</si>
  <si>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</si>
  <si>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</si>
  <si>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</si>
  <si>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</si>
  <si>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</si>
  <si>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</si>
  <si>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</si>
  <si>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</si>
  <si>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</si>
  <si>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</si>
  <si>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</si>
  <si>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</si>
  <si>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</si>
  <si>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</si>
  <si>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</si>
  <si>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</si>
  <si>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</si>
  <si>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</si>
  <si>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</si>
  <si>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</si>
  <si>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</si>
  <si>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</si>
  <si>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</si>
  <si>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</si>
  <si>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</si>
  <si>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</si>
  <si>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</si>
  <si>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</si>
  <si>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</si>
  <si>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</si>
  <si>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</si>
  <si>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</si>
  <si>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</si>
  <si>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</si>
  <si>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</si>
  <si>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</si>
  <si>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</si>
  <si>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</si>
  <si>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</si>
  <si>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</si>
  <si>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</si>
  <si>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</si>
  <si>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</si>
  <si>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</si>
  <si>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</si>
  <si>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</si>
  <si>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</si>
  <si>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</si>
  <si>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</si>
  <si>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</si>
  <si>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</si>
  <si>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</si>
  <si>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</si>
  <si>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</si>
  <si>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</si>
  <si>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</si>
  <si>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</si>
  <si>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</si>
  <si>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</si>
  <si>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</si>
  <si>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</si>
  <si>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</si>
  <si>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</si>
  <si>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</si>
  <si>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</si>
  <si>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</si>
  <si>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</si>
  <si>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</si>
  <si>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</si>
  <si>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</si>
  <si>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</si>
  <si>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</si>
  <si>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</si>
  <si>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</si>
  <si>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</si>
  <si>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</si>
  <si>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</si>
  <si>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</si>
  <si>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</si>
  <si>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</si>
  <si>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</si>
  <si>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</si>
  <si>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</si>
  <si>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</si>
  <si>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</si>
  <si>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</si>
  <si>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</si>
  <si>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</si>
  <si>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</si>
  <si>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</si>
  <si>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</si>
  <si>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</si>
  <si>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</si>
  <si>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</si>
  <si>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</si>
  <si>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</si>
  <si>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</si>
  <si>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</si>
  <si>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</si>
  <si>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</si>
  <si>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</si>
  <si>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</si>
  <si>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</si>
  <si>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</si>
  <si>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</si>
  <si>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</si>
  <si>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</si>
  <si>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</si>
  <si>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</si>
  <si>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</si>
  <si>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</si>
  <si>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</si>
  <si>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</si>
  <si>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</si>
  <si>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</si>
  <si>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</si>
  <si>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</si>
  <si>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</si>
  <si>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</si>
  <si>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</si>
  <si>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</si>
  <si>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</si>
  <si>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</si>
  <si>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</si>
  <si>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</si>
  <si>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</si>
  <si>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</si>
  <si>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</si>
  <si>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</si>
  <si>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</si>
  <si>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</si>
  <si>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</si>
  <si>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</si>
  <si>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</si>
  <si>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</si>
  <si>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</si>
  <si>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</si>
  <si>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</si>
  <si>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</si>
  <si>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</si>
  <si>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</si>
  <si>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</si>
  <si>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</si>
  <si>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</si>
  <si>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</si>
  <si>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</si>
  <si>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</si>
  <si>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</si>
  <si>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</si>
  <si>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</si>
  <si>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</si>
  <si>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</si>
  <si>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</si>
  <si>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</si>
  <si>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</si>
  <si>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</si>
  <si>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</si>
  <si>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</si>
  <si>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</si>
  <si>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</si>
  <si>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</si>
  <si>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</si>
  <si>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</si>
  <si>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</si>
  <si>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</si>
  <si>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</si>
  <si>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</si>
  <si>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</si>
  <si>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</si>
  <si>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</si>
  <si>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</si>
  <si>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</si>
  <si>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</si>
  <si>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</si>
  <si>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</si>
  <si>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</si>
  <si>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</si>
  <si>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</si>
  <si>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</si>
  <si>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</si>
  <si>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</si>
  <si>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</si>
  <si>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</si>
  <si>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</si>
  <si>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</si>
  <si>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</si>
  <si>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</si>
  <si>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</si>
  <si>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</si>
  <si>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</si>
  <si>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</si>
  <si>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</si>
  <si>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</si>
  <si>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</si>
  <si>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</si>
  <si>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</si>
  <si>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</si>
  <si>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</si>
  <si>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</si>
  <si>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</si>
  <si>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</si>
  <si>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</si>
  <si>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</si>
  <si>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</si>
  <si>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</si>
  <si>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</si>
  <si>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</si>
  <si>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</si>
  <si>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</si>
  <si>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</si>
  <si>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</si>
  <si>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</si>
  <si>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</si>
  <si>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</si>
  <si>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</si>
  <si>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</si>
  <si>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</si>
  <si>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</si>
  <si>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</si>
  <si>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</si>
  <si>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</si>
  <si>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</si>
  <si>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</si>
  <si>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</si>
  <si>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</si>
  <si>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</si>
  <si>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</si>
  <si>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</si>
  <si>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</si>
  <si>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</si>
  <si>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</si>
  <si>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</si>
  <si>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</si>
  <si>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</si>
  <si>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</si>
  <si>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</si>
  <si>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</si>
  <si>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</si>
  <si>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</si>
  <si>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</si>
  <si>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</si>
  <si>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</si>
  <si>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</si>
  <si>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</si>
  <si>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</si>
  <si>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</si>
  <si>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</si>
  <si>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</si>
  <si>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</si>
  <si>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</si>
  <si>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</si>
  <si>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</si>
  <si>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</si>
  <si>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</si>
  <si>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</si>
  <si>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</si>
  <si>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</si>
  <si>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</si>
  <si>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</si>
  <si>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</si>
  <si>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</si>
  <si>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</si>
  <si>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</si>
  <si>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</si>
  <si>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</si>
  <si>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</si>
  <si>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</si>
  <si>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</si>
  <si>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</si>
  <si>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</si>
  <si>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</si>
  <si>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</si>
  <si>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</si>
  <si>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</si>
  <si>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</si>
  <si>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</si>
  <si>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</si>
  <si>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</si>
  <si>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</si>
  <si>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</si>
  <si>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</si>
  <si>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</si>
  <si>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</si>
  <si>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</si>
  <si>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</si>
  <si>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</si>
  <si>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</si>
  <si>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</si>
  <si>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</si>
  <si>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</si>
  <si>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</si>
  <si>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</si>
  <si>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</si>
  <si>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</si>
  <si>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</si>
  <si>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</si>
  <si>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</si>
  <si>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</si>
  <si>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</si>
  <si>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</si>
  <si>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</si>
  <si>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</si>
  <si>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</si>
  <si>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</si>
  <si>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</si>
  <si>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</si>
  <si>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</si>
  <si>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</si>
  <si>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</si>
  <si>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</si>
  <si>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</si>
  <si>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</si>
  <si>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</si>
  <si>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</si>
  <si>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</si>
  <si>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</si>
  <si>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</si>
  <si>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</si>
  <si>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</si>
  <si>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</si>
  <si>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</si>
  <si>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</si>
  <si>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</si>
  <si>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</si>
  <si>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</si>
  <si>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</si>
  <si>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</si>
  <si>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</si>
  <si>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</si>
  <si>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</si>
  <si>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</si>
  <si>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</si>
  <si>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</si>
  <si>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</si>
  <si>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</si>
  <si>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</si>
  <si>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</si>
  <si>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</si>
  <si>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</si>
  <si>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</si>
  <si>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</si>
  <si>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</si>
  <si>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</si>
  <si>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</si>
  <si>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</si>
  <si>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</si>
  <si>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</si>
  <si>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</si>
  <si>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</si>
  <si>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</si>
  <si>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</si>
  <si>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</si>
  <si>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</si>
  <si>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</si>
  <si>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</si>
  <si>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</si>
  <si>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</si>
  <si>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</si>
  <si>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</si>
  <si>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</si>
  <si>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</si>
  <si>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</si>
  <si>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</si>
  <si>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</si>
  <si>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</si>
  <si>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</si>
  <si>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</si>
  <si>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</si>
  <si>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</si>
  <si>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</si>
  <si>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</si>
  <si>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</si>
  <si>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</si>
  <si>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</si>
  <si>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</si>
  <si>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</si>
  <si>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</si>
  <si>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</si>
  <si>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</si>
  <si>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</si>
  <si>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</si>
  <si>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</si>
  <si>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</si>
  <si>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</si>
  <si>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</si>
  <si>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</si>
  <si>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</si>
  <si>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</si>
  <si>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</si>
  <si>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</si>
  <si>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</si>
  <si>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</si>
  <si>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</si>
  <si>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</si>
  <si>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</si>
  <si>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</si>
  <si>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</si>
  <si>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</si>
  <si>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</si>
  <si>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</si>
  <si>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</si>
  <si>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</si>
  <si>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</si>
  <si>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</si>
  <si>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</si>
  <si>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</si>
  <si>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</si>
  <si>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</si>
  <si>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</si>
  <si>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</si>
  <si>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</si>
  <si>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</si>
  <si>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</si>
  <si>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</si>
  <si>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</si>
  <si>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</si>
  <si>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</si>
  <si>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</si>
  <si>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</si>
  <si>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</si>
  <si>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</si>
  <si>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</si>
  <si>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</si>
  <si>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</si>
  <si>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</si>
  <si>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</si>
  <si>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</si>
  <si>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</si>
  <si>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</si>
  <si>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</si>
  <si>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</si>
  <si>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</si>
  <si>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</si>
  <si>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</si>
  <si>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</si>
  <si>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</si>
  <si>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</si>
  <si>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</si>
  <si>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</si>
  <si>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</si>
  <si>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</si>
  <si>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</si>
  <si>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</si>
  <si>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</si>
  <si>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</si>
  <si>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</si>
  <si>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</si>
  <si>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</si>
  <si>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</si>
  <si>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</si>
  <si>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</si>
  <si>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</si>
  <si>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</si>
  <si>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</si>
  <si>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</si>
  <si>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</si>
  <si>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</si>
  <si>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</si>
  <si>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</si>
  <si>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</si>
  <si>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</si>
  <si>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</si>
  <si>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</si>
  <si>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</si>
  <si>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</si>
  <si>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</si>
  <si>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</si>
  <si>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</si>
  <si>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</si>
  <si>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</si>
  <si>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</si>
  <si>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</si>
  <si>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</si>
  <si>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</si>
  <si>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</si>
  <si>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</si>
  <si>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</si>
  <si>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</si>
  <si>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</si>
  <si>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</si>
  <si>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</si>
  <si>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</si>
  <si>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</si>
  <si>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</si>
  <si>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</si>
  <si>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</si>
  <si>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</si>
  <si>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</si>
  <si>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</si>
  <si>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</si>
  <si>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</si>
  <si>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</si>
  <si>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</si>
  <si>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</si>
  <si>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</si>
  <si>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</si>
  <si>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</si>
  <si>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</si>
  <si>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</si>
  <si>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</si>
  <si>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</si>
  <si>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</si>
  <si>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</si>
  <si>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</si>
  <si>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</si>
  <si>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</si>
  <si>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</si>
  <si>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</si>
  <si>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</si>
  <si>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</si>
  <si>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</si>
  <si>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</si>
  <si>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</si>
  <si>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</si>
  <si>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</si>
  <si>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</si>
  <si>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</si>
  <si>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</si>
  <si>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</si>
  <si>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</si>
  <si>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</si>
  <si>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</si>
  <si>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</si>
  <si>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</si>
  <si>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</si>
  <si>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</si>
  <si>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</si>
  <si>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</si>
  <si>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</si>
  <si>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</si>
  <si>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</si>
  <si>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</si>
  <si>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</si>
  <si>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</si>
  <si>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</si>
  <si>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</si>
  <si>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</si>
  <si>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</si>
  <si>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</si>
  <si>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</si>
  <si>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</si>
  <si>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</si>
  <si>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</si>
  <si>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</si>
  <si>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</si>
  <si>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</si>
  <si>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</si>
  <si>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</si>
  <si>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</si>
  <si>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</si>
  <si>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</si>
  <si>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</si>
  <si>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</si>
  <si>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</si>
  <si>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</si>
  <si>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</si>
  <si>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</si>
  <si>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</si>
  <si>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</si>
  <si>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</si>
  <si>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</si>
  <si>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</si>
  <si>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</si>
  <si>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</si>
  <si>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</si>
  <si>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</si>
  <si>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</si>
  <si>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</si>
  <si>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</si>
  <si>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</si>
  <si>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</si>
  <si>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</si>
  <si>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</si>
  <si>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</si>
  <si>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</si>
  <si>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</si>
  <si>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</si>
  <si>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</si>
  <si>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</si>
  <si>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</si>
  <si>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</si>
  <si>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</si>
  <si>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</si>
  <si>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</si>
  <si>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</si>
  <si>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</si>
  <si>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</si>
  <si>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</si>
  <si>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</si>
  <si>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</si>
  <si>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</si>
  <si>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</si>
  <si>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</si>
  <si>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</si>
  <si>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</si>
  <si>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</si>
  <si>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</si>
  <si>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</si>
  <si>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</si>
  <si>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</si>
  <si>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</si>
  <si>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</si>
  <si>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</si>
  <si>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</si>
  <si>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</si>
  <si>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</si>
  <si>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</si>
  <si>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</si>
  <si>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</si>
  <si>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</si>
  <si>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</si>
  <si>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</si>
  <si>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</si>
  <si>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</si>
  <si>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</si>
  <si>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</si>
  <si>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</si>
  <si>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</si>
  <si>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</si>
  <si>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</si>
  <si>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</si>
  <si>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</si>
  <si>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</si>
  <si>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</si>
  <si>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</si>
  <si>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</si>
  <si>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</si>
  <si>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</si>
  <si>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</si>
  <si>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</si>
  <si>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</si>
  <si>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</si>
  <si>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</si>
  <si>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</si>
  <si>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</si>
  <si>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</si>
  <si>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</si>
  <si>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</si>
  <si>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</si>
  <si>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</si>
  <si>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</si>
  <si>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</si>
  <si>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</si>
  <si>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</si>
  <si>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</si>
  <si>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</si>
  <si>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</si>
  <si>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</si>
  <si>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</si>
  <si>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</si>
  <si>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</si>
  <si>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</si>
  <si>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</si>
  <si>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</si>
  <si>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</si>
  <si>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</si>
  <si>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</si>
  <si>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</si>
  <si>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</si>
  <si>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</si>
  <si>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</si>
  <si>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</si>
  <si>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</si>
  <si>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</si>
  <si>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</si>
  <si>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</si>
  <si>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</si>
  <si>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</si>
  <si>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</si>
  <si>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</si>
  <si>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</si>
  <si>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</si>
  <si>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</si>
  <si>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</si>
  <si>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</si>
  <si>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</si>
  <si>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</si>
  <si>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</si>
  <si>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</si>
  <si>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</si>
  <si>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</si>
  <si>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</si>
  <si>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</si>
  <si>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</si>
  <si>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</si>
  <si>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</si>
  <si>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</si>
  <si>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</si>
  <si>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</si>
  <si>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</si>
  <si>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</si>
  <si>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</si>
  <si>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</si>
  <si>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</si>
  <si>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</si>
  <si>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</si>
  <si>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</si>
  <si>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</si>
  <si>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</si>
  <si>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</si>
  <si>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</si>
  <si>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</si>
  <si>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</si>
  <si>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</si>
  <si>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</si>
  <si>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</si>
  <si>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</si>
  <si>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</si>
  <si>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</si>
  <si>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</si>
  <si>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</si>
  <si>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</si>
  <si>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</si>
  <si>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</si>
  <si>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</si>
  <si>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</si>
  <si>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</si>
  <si>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</si>
  <si>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</si>
  <si>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</si>
  <si>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</si>
  <si>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</si>
  <si>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</si>
  <si>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</si>
  <si>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</si>
  <si>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</si>
  <si>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</si>
  <si>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</si>
  <si>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</si>
  <si>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</si>
  <si>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</si>
  <si>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</si>
  <si>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</si>
  <si>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</si>
  <si>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</si>
  <si>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</si>
  <si>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</si>
  <si>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</si>
  <si>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</si>
  <si>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</si>
  <si>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</si>
  <si>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</si>
  <si>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</si>
  <si>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</si>
  <si>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</si>
  <si>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</si>
  <si>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</si>
  <si>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</si>
  <si>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</si>
  <si>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</si>
  <si>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</si>
  <si>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</si>
  <si>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</si>
  <si>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</si>
  <si>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</si>
  <si>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</si>
  <si>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</si>
  <si>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</si>
  <si>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</si>
  <si>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</si>
  <si>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</si>
  <si>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</si>
  <si>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</si>
  <si>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</si>
  <si>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</si>
  <si>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</si>
  <si>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</si>
  <si>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</si>
  <si>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</si>
  <si>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</si>
  <si>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</si>
  <si>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</si>
  <si>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</si>
  <si>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</si>
  <si>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</si>
  <si>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</si>
  <si>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</si>
  <si>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</si>
  <si>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</si>
  <si>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</si>
  <si>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</si>
  <si>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</si>
  <si>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</si>
  <si>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</si>
  <si>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</si>
  <si>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</si>
  <si>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</si>
  <si>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</si>
  <si>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</si>
  <si>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</si>
  <si>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</si>
  <si>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</si>
  <si>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</si>
  <si>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</si>
  <si>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</si>
  <si>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</si>
  <si>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</si>
  <si>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</si>
  <si>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</si>
  <si>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</si>
  <si>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</si>
  <si>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</si>
  <si>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</si>
  <si>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</si>
  <si>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</si>
  <si>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</si>
  <si>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</si>
  <si>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</si>
  <si>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</si>
  <si>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</si>
  <si>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</si>
  <si>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</si>
  <si>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</si>
  <si>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</si>
  <si>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</si>
  <si>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</si>
  <si>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</si>
  <si>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</si>
  <si>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</si>
  <si>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</si>
  <si>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</si>
  <si>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</si>
  <si>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</si>
  <si>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</si>
  <si>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</si>
  <si>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</si>
  <si>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</si>
  <si>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</si>
  <si>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</si>
  <si>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</si>
  <si>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</si>
  <si>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</si>
  <si>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</si>
  <si>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</si>
  <si>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</si>
  <si>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</si>
  <si>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</si>
  <si>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</si>
  <si>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</si>
  <si>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</si>
  <si>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</si>
  <si>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</si>
  <si>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</si>
  <si>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</si>
  <si>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</si>
  <si>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</si>
  <si>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</si>
  <si>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</si>
  <si>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</si>
  <si>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</si>
  <si>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</si>
  <si>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</si>
  <si>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</si>
  <si>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</si>
  <si>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</si>
  <si>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</si>
  <si>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</si>
  <si>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</si>
  <si>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</si>
  <si>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</si>
  <si>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</si>
  <si>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</si>
  <si>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</si>
  <si>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</si>
  <si>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</si>
  <si>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</si>
  <si>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</si>
  <si>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</si>
  <si>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</si>
  <si>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</si>
  <si>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</si>
  <si>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</si>
  <si>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</si>
  <si>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</si>
  <si>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</si>
  <si>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</si>
  <si>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</si>
  <si>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</si>
  <si>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</si>
  <si>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</si>
  <si>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</si>
  <si>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</si>
  <si>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</si>
  <si>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</si>
  <si>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</si>
  <si>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</si>
  <si>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</si>
  <si>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</si>
  <si>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</si>
  <si>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</si>
  <si>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</si>
  <si>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</si>
  <si>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</si>
  <si>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</si>
  <si>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</si>
  <si>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</si>
  <si>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</si>
  <si>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</si>
  <si>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</si>
  <si>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</si>
  <si>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</si>
  <si>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</si>
  <si>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</si>
  <si>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</si>
  <si>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</si>
  <si>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</si>
  <si>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</si>
  <si>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</si>
  <si>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</si>
  <si>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</si>
  <si>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</si>
  <si>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</si>
  <si>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</si>
  <si>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</si>
  <si>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</si>
  <si>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</si>
  <si>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</si>
  <si>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</si>
  <si>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</si>
  <si>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</si>
  <si>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</si>
  <si>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</si>
  <si>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</si>
  <si>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</si>
  <si>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</si>
  <si>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</si>
  <si>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</si>
  <si>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</si>
  <si>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</si>
  <si>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</si>
  <si>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</si>
  <si>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</si>
  <si>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</si>
  <si>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</si>
  <si>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</si>
  <si>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</si>
  <si>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</si>
  <si>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</si>
  <si>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</si>
  <si>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</si>
  <si>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</si>
  <si>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</si>
  <si>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</si>
  <si>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</si>
  <si>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</si>
  <si>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</si>
  <si>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</si>
  <si>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</si>
  <si>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</si>
  <si>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</si>
  <si>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</si>
  <si>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</si>
  <si>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</si>
  <si>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</si>
  <si>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</si>
  <si>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</si>
  <si>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</si>
  <si>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</si>
  <si>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</si>
  <si>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</si>
  <si>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</si>
  <si>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</si>
  <si>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</si>
  <si>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</si>
  <si>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</si>
  <si>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</si>
  <si>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</si>
  <si>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</si>
  <si>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</si>
  <si>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</si>
  <si>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</si>
  <si>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</si>
  <si>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</si>
  <si>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</si>
  <si>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</si>
  <si>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</si>
  <si>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</si>
  <si>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</si>
  <si>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</si>
  <si>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</si>
  <si>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</si>
  <si>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</si>
  <si>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</si>
  <si>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</si>
  <si>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</si>
  <si>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</si>
  <si>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</si>
  <si>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</si>
  <si>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</si>
  <si>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</si>
  <si>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</si>
  <si>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</si>
  <si>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</si>
  <si>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</si>
  <si>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</si>
  <si>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</si>
  <si>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</si>
  <si>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</si>
  <si>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</si>
  <si>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</si>
  <si>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</si>
  <si>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</si>
  <si>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</si>
  <si>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</si>
  <si>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</si>
  <si>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</si>
  <si>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</si>
  <si>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</si>
  <si>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</si>
  <si>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</si>
  <si>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</si>
  <si>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</si>
  <si>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</si>
  <si>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</si>
  <si>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</si>
  <si>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</si>
  <si>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</si>
  <si>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</si>
  <si>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</si>
  <si>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</si>
  <si>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</si>
  <si>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</si>
  <si>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</si>
  <si>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</si>
  <si>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</si>
  <si>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</si>
  <si>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</si>
  <si>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</si>
  <si>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</si>
  <si>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</si>
  <si>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</si>
  <si>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</si>
  <si>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</si>
  <si>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</si>
  <si>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</si>
  <si>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</si>
  <si>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</si>
  <si>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</si>
  <si>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</si>
  <si>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</si>
  <si>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</si>
  <si>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</si>
  <si>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</si>
  <si>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</si>
  <si>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</si>
  <si>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</si>
  <si>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</si>
  <si>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</si>
  <si>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</si>
  <si>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</si>
  <si>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</si>
  <si>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</si>
  <si>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</si>
  <si>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</si>
  <si>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</si>
  <si>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</si>
  <si>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</si>
  <si>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</si>
  <si>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</si>
  <si>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</si>
  <si>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</si>
  <si>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</si>
  <si>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</si>
  <si>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</si>
  <si>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</si>
  <si>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</si>
  <si>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</si>
  <si>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</si>
  <si>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</si>
  <si>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</si>
  <si>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</si>
  <si>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</si>
  <si>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</si>
  <si>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</si>
  <si>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</si>
  <si>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</si>
  <si>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</si>
  <si>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</si>
  <si>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</si>
  <si>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</si>
  <si>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</si>
  <si>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</si>
  <si>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</si>
  <si>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</si>
  <si>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</si>
  <si>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</si>
  <si>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</si>
  <si>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</si>
  <si>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</si>
  <si>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</si>
  <si>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</si>
  <si>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</si>
  <si>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</si>
  <si>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</si>
  <si>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</si>
  <si>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</si>
  <si>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</si>
  <si>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</si>
  <si>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</si>
  <si>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</si>
  <si>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</si>
  <si>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</si>
  <si>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</si>
  <si>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</si>
  <si>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</si>
  <si>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</si>
  <si>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</si>
  <si>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</si>
  <si>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</si>
  <si>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</si>
  <si>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</si>
  <si>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</si>
  <si>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</si>
  <si>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</si>
  <si>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</si>
  <si>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</si>
  <si>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</si>
  <si>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</si>
  <si>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</si>
  <si>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</si>
  <si>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</si>
  <si>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</si>
  <si>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</si>
  <si>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</si>
  <si>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</si>
  <si>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</si>
  <si>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</si>
  <si>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</si>
  <si>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</si>
  <si>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</si>
  <si>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</si>
  <si>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</si>
  <si>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</si>
  <si>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</si>
  <si>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</si>
  <si>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</si>
  <si>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</si>
  <si>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</si>
  <si>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</si>
  <si>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</si>
  <si>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</si>
  <si>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</si>
  <si>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</si>
  <si>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</si>
  <si>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</si>
  <si>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</si>
  <si>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</si>
  <si>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</si>
  <si>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</si>
  <si>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</si>
  <si>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</si>
  <si>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</si>
  <si>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</si>
  <si>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</si>
  <si>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</si>
  <si>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</si>
  <si>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</si>
  <si>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</si>
  <si>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</si>
  <si>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</si>
  <si>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</si>
  <si>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</si>
  <si>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</si>
  <si>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</si>
  <si>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</si>
  <si>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</si>
  <si>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</si>
  <si>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</si>
  <si>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</si>
  <si>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</si>
  <si>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</si>
  <si>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</si>
  <si>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</si>
  <si>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</si>
  <si>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</si>
  <si>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</si>
  <si>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</si>
  <si>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</si>
  <si>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</si>
  <si>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</si>
  <si>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</si>
  <si>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</si>
  <si>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</si>
  <si>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</si>
  <si>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</si>
  <si>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</si>
  <si>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</si>
  <si>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</si>
  <si>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</si>
  <si>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</si>
  <si>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</si>
  <si>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</si>
  <si>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</si>
  <si>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</si>
  <si>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</si>
  <si>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</si>
  <si>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</si>
  <si>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</si>
  <si>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</si>
  <si>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</si>
  <si>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</si>
  <si>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</si>
  <si>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</si>
  <si>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</si>
  <si>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</si>
  <si>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</si>
  <si>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</si>
  <si>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</si>
  <si>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</si>
  <si>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</si>
  <si>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</si>
  <si>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</si>
  <si>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</si>
  <si>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</si>
  <si>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</si>
  <si>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</si>
  <si>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</si>
  <si>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</si>
  <si>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</si>
  <si>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</si>
  <si>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</si>
  <si>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</si>
  <si>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</si>
  <si>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</si>
  <si>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</si>
  <si>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</si>
  <si>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</si>
  <si>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</si>
  <si>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</si>
  <si>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</si>
  <si>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</si>
  <si>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</si>
  <si>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</si>
  <si>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</si>
  <si>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</si>
  <si>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</si>
  <si>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</si>
  <si>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</si>
  <si>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</si>
  <si>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</si>
  <si>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</si>
  <si>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</si>
  <si>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</si>
  <si>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</si>
  <si>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</si>
  <si>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</si>
  <si>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</si>
  <si>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</si>
  <si>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</si>
  <si>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</si>
  <si>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</si>
  <si>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</si>
  <si>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</si>
  <si>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</si>
  <si>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</si>
  <si>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</si>
  <si>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</si>
  <si>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</si>
  <si>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</si>
  <si>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</si>
  <si>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</si>
  <si>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</si>
  <si>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</si>
  <si>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</si>
  <si>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</si>
  <si>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</si>
  <si>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</si>
  <si>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</si>
  <si>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</si>
  <si>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</si>
  <si>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</si>
  <si>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</si>
  <si>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</si>
  <si>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</si>
  <si>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</si>
  <si>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</si>
  <si>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</si>
  <si>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</si>
  <si>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</si>
  <si>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</si>
  <si>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</si>
  <si>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</si>
  <si>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</si>
  <si>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</si>
  <si>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</si>
  <si>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</si>
  <si>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</si>
  <si>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</si>
  <si>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</si>
  <si>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</si>
  <si>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</si>
  <si>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</si>
  <si>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</si>
  <si>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</si>
  <si>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</si>
  <si>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</si>
  <si>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</si>
  <si>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</si>
  <si>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</si>
  <si>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</si>
  <si>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</si>
  <si>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</si>
  <si>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</si>
  <si>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</si>
  <si>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</si>
  <si>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</si>
  <si>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</si>
  <si>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</si>
  <si>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</si>
  <si>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</si>
  <si>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</si>
  <si>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</si>
  <si>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</si>
  <si>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</si>
  <si>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</si>
  <si>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</si>
  <si>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</si>
  <si>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</si>
  <si>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</si>
  <si>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</si>
  <si>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</si>
  <si>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</si>
  <si>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</si>
  <si>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</si>
  <si>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</si>
  <si>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</si>
  <si>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</si>
  <si>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</si>
  <si>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</si>
  <si>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</si>
  <si>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</si>
  <si>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</si>
  <si>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</si>
  <si>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</si>
  <si>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</si>
  <si>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</si>
  <si>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</si>
  <si>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</si>
  <si>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</si>
  <si>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</si>
  <si>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</si>
  <si>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</si>
  <si>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</si>
  <si>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</si>
  <si>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</si>
  <si>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</si>
  <si>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</si>
  <si>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</si>
  <si>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</si>
  <si>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</si>
  <si>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</si>
  <si>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</si>
  <si>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</si>
  <si>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</si>
  <si>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</si>
  <si>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</si>
  <si>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</si>
  <si>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</si>
  <si>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</si>
  <si>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</si>
  <si>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</si>
  <si>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</si>
  <si>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</si>
  <si>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</si>
  <si>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</si>
  <si>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</si>
  <si>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</si>
  <si>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</si>
  <si>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</si>
  <si>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</si>
  <si>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</si>
  <si>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</si>
  <si>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</si>
  <si>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</si>
  <si>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</si>
  <si>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</si>
  <si>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</si>
  <si>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</si>
  <si>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</si>
  <si>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</si>
  <si>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</si>
  <si>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</si>
  <si>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</si>
  <si>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</si>
  <si>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</si>
  <si>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</si>
  <si>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</si>
  <si>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</si>
  <si>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</si>
  <si>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</si>
  <si>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</si>
  <si>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</si>
  <si>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</si>
  <si>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</si>
  <si>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</si>
  <si>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</si>
  <si>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</si>
  <si>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</si>
  <si>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</si>
  <si>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</si>
  <si>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</si>
  <si>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</si>
  <si>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</si>
  <si>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</si>
  <si>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</si>
  <si>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</si>
  <si>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</si>
  <si>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</si>
  <si>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</si>
  <si>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</si>
  <si>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</si>
  <si>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</si>
  <si>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</si>
  <si>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</si>
  <si>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</si>
  <si>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</si>
  <si>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</si>
  <si>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</si>
  <si>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</si>
  <si>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</si>
  <si>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</si>
  <si>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</si>
  <si>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</si>
  <si>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</si>
  <si>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</si>
  <si>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</si>
  <si>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</si>
  <si>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</si>
  <si>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</si>
  <si>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</si>
  <si>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</si>
  <si>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</si>
  <si>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</si>
  <si>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</si>
  <si>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</si>
  <si>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</si>
  <si>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</si>
  <si>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</si>
  <si>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</si>
  <si>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</si>
  <si>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</si>
  <si>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</si>
  <si>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</si>
  <si>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</si>
  <si>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</si>
  <si>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</si>
  <si>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</si>
  <si>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</si>
  <si>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</si>
  <si>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</si>
  <si>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</si>
  <si>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</si>
  <si>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</si>
  <si>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</si>
  <si>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</si>
  <si>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</si>
  <si>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</si>
  <si>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</si>
  <si>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</si>
  <si>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</si>
  <si>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</si>
  <si>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</si>
  <si>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</si>
  <si>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</si>
  <si>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</si>
  <si>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</si>
  <si>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</si>
  <si>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</si>
  <si>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</si>
  <si>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</si>
  <si>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</si>
  <si>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</si>
  <si>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</si>
  <si>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</si>
  <si>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</si>
  <si>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</si>
  <si>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</si>
  <si>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</si>
  <si>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</si>
  <si>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</si>
  <si>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</si>
  <si>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</si>
  <si>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</si>
  <si>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</si>
  <si>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</si>
  <si>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</si>
  <si>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</si>
  <si>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</si>
  <si>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</si>
  <si>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</si>
  <si>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</si>
  <si>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</si>
  <si>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</si>
  <si>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</si>
  <si>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</si>
  <si>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</si>
  <si>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</si>
  <si>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</si>
  <si>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</si>
  <si>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</si>
  <si>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</si>
  <si>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</si>
  <si>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</si>
  <si>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</si>
  <si>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</si>
  <si>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</si>
  <si>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</si>
  <si>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</si>
  <si>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</si>
  <si>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</si>
  <si>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</si>
  <si>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</si>
  <si>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</si>
  <si>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</si>
  <si>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</si>
  <si>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</si>
  <si>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</si>
  <si>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</si>
  <si>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</si>
  <si>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</si>
  <si>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</si>
  <si>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</si>
  <si>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</si>
  <si>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</si>
  <si>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</si>
  <si>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</si>
  <si>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</si>
  <si>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</si>
  <si>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</si>
  <si>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</si>
  <si>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</si>
  <si>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</si>
  <si>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</si>
  <si>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</si>
  <si>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</si>
  <si>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</si>
  <si>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</si>
  <si>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</si>
  <si>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</si>
  <si>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</si>
  <si>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</si>
  <si>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</si>
  <si>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</si>
  <si>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</si>
  <si>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</si>
  <si>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</si>
  <si>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</si>
  <si>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</si>
  <si>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</si>
  <si>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</si>
  <si>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</si>
  <si>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</si>
  <si>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</si>
  <si>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</si>
  <si>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</si>
  <si>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</si>
  <si>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</si>
  <si>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</si>
  <si>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</si>
  <si>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</si>
  <si>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</si>
  <si>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</si>
  <si>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</si>
  <si>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</si>
  <si>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</si>
  <si>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</si>
  <si>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</si>
  <si>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</si>
  <si>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</si>
  <si>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</si>
  <si>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</si>
  <si>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</si>
  <si>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</si>
  <si>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</si>
  <si>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</si>
  <si>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</si>
  <si>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</si>
  <si>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</si>
  <si>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</si>
  <si>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</si>
  <si>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</si>
  <si>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</si>
  <si>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</si>
  <si>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</si>
  <si>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</si>
  <si>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</si>
  <si>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</si>
  <si>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</si>
  <si>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</si>
  <si>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</si>
  <si>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</si>
  <si>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</si>
  <si>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</si>
  <si>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</si>
  <si>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</si>
  <si>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</si>
  <si>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</si>
  <si>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</si>
  <si>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</si>
  <si>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</si>
  <si>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</si>
  <si>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</si>
  <si>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</si>
  <si>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</si>
  <si>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</si>
  <si>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</si>
  <si>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</si>
  <si>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</si>
  <si>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</si>
  <si>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</si>
  <si>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</si>
  <si>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</si>
  <si>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</si>
  <si>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</si>
  <si>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</si>
  <si>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</si>
  <si>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</si>
  <si>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</si>
  <si>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</si>
  <si>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</si>
  <si>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</si>
  <si>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</si>
  <si>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</si>
  <si>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</si>
  <si>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</si>
  <si>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</si>
  <si>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</si>
  <si>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</si>
  <si>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</si>
  <si>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</si>
  <si>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</si>
  <si>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</si>
  <si>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</si>
  <si>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</si>
  <si>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</si>
  <si>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</si>
  <si>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</si>
  <si>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</si>
  <si>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</si>
  <si>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</si>
  <si>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</si>
  <si>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</si>
  <si>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</si>
  <si>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</si>
  <si>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</si>
  <si>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</si>
  <si>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</si>
  <si>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</si>
  <si>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</si>
  <si>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</si>
  <si>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</si>
  <si>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</si>
  <si>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</si>
  <si>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</si>
  <si>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</si>
  <si>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</si>
  <si>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</si>
  <si>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</si>
  <si>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</si>
  <si>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</si>
  <si>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</si>
  <si>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</si>
  <si>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</si>
  <si>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</si>
  <si>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</si>
  <si>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</si>
  <si>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</si>
  <si>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</si>
  <si>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</si>
  <si>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</si>
  <si>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</si>
  <si>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</si>
  <si>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</si>
  <si>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</si>
  <si>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</si>
  <si>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</si>
  <si>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</si>
  <si>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</si>
  <si>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</si>
  <si>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</si>
  <si>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</si>
  <si>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</si>
  <si>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</si>
  <si>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</si>
  <si>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</si>
  <si>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</si>
  <si>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</si>
  <si>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</si>
  <si>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</si>
  <si>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</si>
  <si>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</si>
  <si>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</si>
  <si>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</si>
  <si>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</si>
  <si>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</si>
  <si>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</si>
  <si>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</si>
  <si>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</si>
  <si>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</si>
  <si>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</si>
  <si>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</si>
  <si>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</si>
  <si>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</si>
  <si>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</si>
  <si>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</si>
  <si>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</si>
  <si>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</si>
  <si>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</si>
  <si>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</si>
  <si>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</si>
  <si>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</si>
  <si>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</si>
  <si>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</si>
  <si>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</si>
  <si>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</si>
  <si>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</si>
  <si>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</si>
  <si>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</si>
  <si>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</si>
  <si>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</si>
  <si>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</si>
  <si>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</si>
  <si>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</si>
  <si>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</si>
  <si>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</si>
  <si>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</si>
  <si>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</si>
  <si>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</si>
  <si>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</si>
  <si>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</si>
  <si>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</si>
  <si>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</si>
  <si>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</si>
  <si>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</si>
  <si>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</si>
  <si>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</si>
  <si>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</si>
  <si>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</si>
  <si>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</si>
  <si>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</si>
  <si>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</si>
  <si>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</si>
  <si>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</si>
  <si>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</si>
  <si>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</si>
  <si>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</si>
  <si>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</si>
  <si>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</si>
  <si>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</si>
  <si>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</si>
  <si>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</si>
  <si>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</si>
  <si>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</si>
  <si>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</si>
  <si>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</si>
  <si>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</si>
  <si>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</si>
  <si>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</si>
  <si>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</si>
  <si>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</si>
  <si>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</si>
  <si>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</si>
  <si>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</si>
  <si>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</si>
  <si>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</si>
  <si>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</si>
  <si>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</si>
  <si>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</si>
  <si>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</si>
  <si>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</si>
  <si>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</si>
  <si>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</si>
  <si>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</si>
  <si>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</si>
  <si>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</si>
  <si>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</si>
  <si>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</si>
  <si>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</si>
  <si>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</si>
  <si>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</si>
  <si>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</si>
  <si>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</si>
  <si>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</si>
  <si>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</si>
  <si>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</si>
  <si>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</si>
  <si>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</si>
  <si>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</si>
  <si>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</si>
  <si>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</si>
  <si>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</si>
  <si>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</si>
  <si>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</si>
  <si>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</si>
  <si>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</si>
  <si>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</si>
  <si>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</si>
  <si>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</si>
  <si>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</si>
  <si>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</si>
  <si>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</si>
  <si>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</si>
  <si>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</si>
  <si>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</si>
  <si>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</si>
  <si>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</si>
  <si>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</si>
  <si>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</si>
  <si>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</si>
  <si>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</si>
  <si>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</si>
  <si>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</si>
  <si>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</si>
  <si>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</si>
  <si>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</si>
  <si>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</si>
  <si>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</si>
  <si>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</si>
  <si>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</si>
  <si>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</si>
  <si>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</si>
  <si>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</si>
  <si>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</si>
  <si>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</si>
  <si>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</si>
  <si>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</si>
  <si>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</si>
  <si>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</si>
  <si>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</si>
  <si>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</si>
  <si>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</si>
  <si>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</si>
  <si>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</si>
  <si>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</si>
  <si>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</si>
  <si>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</si>
  <si>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</si>
  <si>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</si>
  <si>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</si>
  <si>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</si>
  <si>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</si>
  <si>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</si>
  <si>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</si>
  <si>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</si>
  <si>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</si>
  <si>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</si>
  <si>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</si>
  <si>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</si>
  <si>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</si>
  <si>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</si>
  <si>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</si>
  <si>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</si>
  <si>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</si>
  <si>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</si>
  <si>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</si>
  <si>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</si>
  <si>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</si>
  <si>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</si>
  <si>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</si>
  <si>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</si>
  <si>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</si>
  <si>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</si>
  <si>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</si>
  <si>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</si>
  <si>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</si>
  <si>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</si>
  <si>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</si>
  <si>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</si>
  <si>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</si>
  <si>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</si>
  <si>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</si>
  <si>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</si>
  <si>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</si>
  <si>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</si>
  <si>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</si>
  <si>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</si>
  <si>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</si>
  <si>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</si>
  <si>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</si>
  <si>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</si>
  <si>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</si>
  <si>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</si>
  <si>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</si>
  <si>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</si>
  <si>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</si>
  <si>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</si>
  <si>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</si>
  <si>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</si>
  <si>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</si>
  <si>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</si>
  <si>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</si>
  <si>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</si>
  <si>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</si>
  <si>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</si>
  <si>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</si>
  <si>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</si>
  <si>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</si>
  <si>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</si>
  <si>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</si>
  <si>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</si>
  <si>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</si>
  <si>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</si>
  <si>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</si>
  <si>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</si>
  <si>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</si>
  <si>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</si>
  <si>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</si>
  <si>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</si>
  <si>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</si>
  <si>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</si>
  <si>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</si>
  <si>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</si>
  <si>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</si>
  <si>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</si>
  <si>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</si>
  <si>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</si>
  <si>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</si>
  <si>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</si>
  <si>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</si>
  <si>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</si>
  <si>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</si>
  <si>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</si>
  <si>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</si>
  <si>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</si>
  <si>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</si>
  <si>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</si>
  <si>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</si>
  <si>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</si>
  <si>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</si>
  <si>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</si>
  <si>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</si>
  <si>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</si>
  <si>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</si>
  <si>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</si>
  <si>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</si>
  <si>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</si>
  <si>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</si>
  <si>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</si>
  <si>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</si>
  <si>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</si>
  <si>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</si>
  <si>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</si>
  <si>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</si>
  <si>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</si>
  <si>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</si>
  <si>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</si>
  <si>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</si>
  <si>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</si>
  <si>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</si>
  <si>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</si>
  <si>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</si>
  <si>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</si>
  <si>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</si>
  <si>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</si>
  <si>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</si>
  <si>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</si>
  <si>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</si>
  <si>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</si>
  <si>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</si>
  <si>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</si>
  <si>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</si>
  <si>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</si>
  <si>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</si>
  <si>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</si>
  <si>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</si>
  <si>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</si>
  <si>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</si>
  <si>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</si>
  <si>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</si>
  <si>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</si>
  <si>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</si>
  <si>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</si>
  <si>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</si>
  <si>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</si>
  <si>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</si>
  <si>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</si>
  <si>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</si>
  <si>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</si>
  <si>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</si>
  <si>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</si>
  <si>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</si>
  <si>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</si>
  <si>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</si>
  <si>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</si>
  <si>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</si>
  <si>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</si>
  <si>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</si>
  <si>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</si>
  <si>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</si>
  <si>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</si>
  <si>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</si>
  <si>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</si>
  <si>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</si>
  <si>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</si>
  <si>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</si>
  <si>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</si>
  <si>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</si>
  <si>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</si>
  <si>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</si>
  <si>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</si>
  <si>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</si>
  <si>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</si>
  <si>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</si>
  <si>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</si>
  <si>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</si>
  <si>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</si>
  <si>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</si>
  <si>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</si>
  <si>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</si>
  <si>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</si>
  <si>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</si>
  <si>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</si>
  <si>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</si>
  <si>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</si>
  <si>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</si>
  <si>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</si>
  <si>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</si>
  <si>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</si>
  <si>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</si>
  <si>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</si>
  <si>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</si>
  <si>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</si>
  <si>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</si>
  <si>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</si>
  <si>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</si>
  <si>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</si>
  <si>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</si>
  <si>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</si>
  <si>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</si>
  <si>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</si>
  <si>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</si>
  <si>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</si>
  <si>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</si>
  <si>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</si>
  <si>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</si>
  <si>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</si>
  <si>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</si>
  <si>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</si>
  <si>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</si>
  <si>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</si>
  <si>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</si>
  <si>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</si>
  <si>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</si>
  <si>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</si>
  <si>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</si>
  <si>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</si>
  <si>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</si>
  <si>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</si>
  <si>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</si>
  <si>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</si>
  <si>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</si>
  <si>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</si>
  <si>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</si>
  <si>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</si>
  <si>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</si>
  <si>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</si>
  <si>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</si>
  <si>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</si>
  <si>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</si>
  <si>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</si>
  <si>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</si>
  <si>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</si>
  <si>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</si>
  <si>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</si>
  <si>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</si>
  <si>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</si>
  <si>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</si>
  <si>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</si>
  <si>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</si>
  <si>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</si>
  <si>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</si>
  <si>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</si>
  <si>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</si>
  <si>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</si>
  <si>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</si>
  <si>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</si>
  <si>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</si>
  <si>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</si>
  <si>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</si>
  <si>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</si>
  <si>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</si>
  <si>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</si>
  <si>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</si>
  <si>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</si>
  <si>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</si>
  <si>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</si>
  <si>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</si>
  <si>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</si>
  <si>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</si>
  <si>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</si>
  <si>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</si>
  <si>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</si>
  <si>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</si>
  <si>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</si>
  <si>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</si>
  <si>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</si>
  <si>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</si>
  <si>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</si>
  <si>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</si>
  <si>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</si>
  <si>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</si>
  <si>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</si>
  <si>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</si>
  <si>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</si>
  <si>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</si>
  <si>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</si>
  <si>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</si>
  <si>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</si>
  <si>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</si>
  <si>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</si>
  <si>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</si>
  <si>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</si>
  <si>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</si>
  <si>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</si>
  <si>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</si>
  <si>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</si>
  <si>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</si>
  <si>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</si>
  <si>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</si>
  <si>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</si>
  <si>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</si>
  <si>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</si>
  <si>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</si>
  <si>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</si>
  <si>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</si>
  <si>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</si>
  <si>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</si>
  <si>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</si>
  <si>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</si>
  <si>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</si>
  <si>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</si>
  <si>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</si>
  <si>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</si>
  <si>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</si>
  <si>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</si>
  <si>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</si>
  <si>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</si>
  <si>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</si>
  <si>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</si>
  <si>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</si>
  <si>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</si>
  <si>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</si>
  <si>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</si>
  <si>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</si>
  <si>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</si>
  <si>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</si>
  <si>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</si>
  <si>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</si>
  <si>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</si>
  <si>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</si>
  <si>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</si>
  <si>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</si>
  <si>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</si>
  <si>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</si>
  <si>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</si>
  <si>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</si>
  <si>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</si>
  <si>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</si>
  <si>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</si>
  <si>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</si>
  <si>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</si>
  <si>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</si>
  <si>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</si>
  <si>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</si>
  <si>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</si>
  <si>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</si>
  <si>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</si>
  <si>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</si>
  <si>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</si>
  <si>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</si>
  <si>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</si>
  <si>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</si>
  <si>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</si>
  <si>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</si>
  <si>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</si>
  <si>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</si>
  <si>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</si>
  <si>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</si>
  <si>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</si>
  <si>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</si>
  <si>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</si>
  <si>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</si>
  <si>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</si>
  <si>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</si>
  <si>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</si>
  <si>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</si>
  <si>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</si>
  <si>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</si>
  <si>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</si>
  <si>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</si>
  <si>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</si>
  <si>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</si>
  <si>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</si>
  <si>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</si>
  <si>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</si>
  <si>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</si>
  <si>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</si>
  <si>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</si>
  <si>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</si>
  <si>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</si>
  <si>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</si>
  <si>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</si>
  <si>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</si>
  <si>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</si>
  <si>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</si>
  <si>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</si>
  <si>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</si>
  <si>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</si>
  <si>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</si>
  <si>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</si>
  <si>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</si>
  <si>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</si>
  <si>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</si>
  <si>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</si>
  <si>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</si>
  <si>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</si>
  <si>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</si>
  <si>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</si>
  <si>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</si>
  <si>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</si>
  <si>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</si>
  <si>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</si>
  <si>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</si>
  <si>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</si>
  <si>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</si>
  <si>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</si>
  <si>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</si>
  <si>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</si>
  <si>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</si>
  <si>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</si>
  <si>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</si>
  <si>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</si>
  <si>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</si>
  <si>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</si>
  <si>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</si>
  <si>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</si>
  <si>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</si>
  <si>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</si>
  <si>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</si>
  <si>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</si>
  <si>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</si>
  <si>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</si>
  <si>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</si>
  <si>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</si>
  <si>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</si>
  <si>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</si>
  <si>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</si>
  <si>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</si>
  <si>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</si>
  <si>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</si>
  <si>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</si>
  <si>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</si>
  <si>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</si>
  <si>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</si>
  <si>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</si>
  <si>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</si>
  <si>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</si>
  <si>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</si>
  <si>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</si>
  <si>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</si>
  <si>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</si>
  <si>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</si>
  <si>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</si>
  <si>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</si>
  <si>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</si>
  <si>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</si>
  <si>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</si>
  <si>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</si>
  <si>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</si>
  <si>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</si>
  <si>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</si>
  <si>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</si>
  <si>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</si>
  <si>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</si>
  <si>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</si>
  <si>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</si>
  <si>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</si>
  <si>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</si>
  <si>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</si>
  <si>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</si>
  <si>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</si>
  <si>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</si>
  <si>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</si>
  <si>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</si>
  <si>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</si>
  <si>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</si>
  <si>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</si>
  <si>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</si>
  <si>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</si>
  <si>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</si>
  <si>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</si>
  <si>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</si>
  <si>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</si>
  <si>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</si>
  <si>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</si>
  <si>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</si>
  <si>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</si>
  <si>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</si>
  <si>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</si>
  <si>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</si>
  <si>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</si>
  <si>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</si>
  <si>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</si>
  <si>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</si>
  <si>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</si>
  <si>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</si>
  <si>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</si>
  <si>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</si>
  <si>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</si>
  <si>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</si>
  <si>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</si>
  <si>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</si>
  <si>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</si>
  <si>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</si>
  <si>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</si>
  <si>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</si>
  <si>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</si>
  <si>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</si>
  <si>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</si>
  <si>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</si>
  <si>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</si>
  <si>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</si>
  <si>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</si>
  <si>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</si>
  <si>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</si>
  <si>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</si>
  <si>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</si>
  <si>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</si>
  <si>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</si>
  <si>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</si>
  <si>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</si>
  <si>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</si>
  <si>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</si>
  <si>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</si>
  <si>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</si>
  <si>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</si>
  <si>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</si>
  <si>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</si>
  <si>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</si>
  <si>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</si>
  <si>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</si>
  <si>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</si>
  <si>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</si>
  <si>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</si>
  <si>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</si>
  <si>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</si>
  <si>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</si>
  <si>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</si>
  <si>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</si>
  <si>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</si>
  <si>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</si>
  <si>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</si>
  <si>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</si>
  <si>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</si>
  <si>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</si>
  <si>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</si>
  <si>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</si>
  <si>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</si>
  <si>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</si>
  <si>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</si>
  <si>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</si>
  <si>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</si>
  <si>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</si>
  <si>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</si>
  <si>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</si>
  <si>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</si>
  <si>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</si>
  <si>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</si>
  <si>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</si>
  <si>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</si>
  <si>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</si>
  <si>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</si>
  <si>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</si>
  <si>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</si>
  <si>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</si>
  <si>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</si>
  <si>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</si>
  <si>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</si>
  <si>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</si>
  <si>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</si>
  <si>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</si>
  <si>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</si>
  <si>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</si>
  <si>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</si>
  <si>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</si>
  <si>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</si>
  <si>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</si>
  <si>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</si>
  <si>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</si>
  <si>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</si>
  <si>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</si>
  <si>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</si>
  <si>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</si>
  <si>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</si>
  <si>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</si>
  <si>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</si>
  <si>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</si>
  <si>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</si>
  <si>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</si>
  <si>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</si>
  <si>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</si>
  <si>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</si>
  <si>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</si>
  <si>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</si>
  <si>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</si>
  <si>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</si>
  <si>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</si>
  <si>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</si>
  <si>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</si>
  <si>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</si>
  <si>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</si>
  <si>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</si>
  <si>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</si>
  <si>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</si>
  <si>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</si>
  <si>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</si>
  <si>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</si>
  <si>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</si>
  <si>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</si>
  <si>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</si>
  <si>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</si>
  <si>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</si>
  <si>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</si>
  <si>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</si>
  <si>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</si>
  <si>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</si>
  <si>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</si>
  <si>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</si>
  <si>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</si>
  <si>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</si>
  <si>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</si>
  <si>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</si>
  <si>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</si>
  <si>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</si>
  <si>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</si>
  <si>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</si>
  <si>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</si>
  <si>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</si>
  <si>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</si>
  <si>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</si>
  <si>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</si>
  <si>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</si>
  <si>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</si>
  <si>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</si>
  <si>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</si>
  <si>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</si>
  <si>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</si>
  <si>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</si>
  <si>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</si>
  <si>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</si>
  <si>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</si>
  <si>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</si>
  <si>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</si>
  <si>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</si>
  <si>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</si>
  <si>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</si>
  <si>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</si>
  <si>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</si>
  <si>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</si>
  <si>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</si>
  <si>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</si>
  <si>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</si>
  <si>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</si>
  <si>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</si>
  <si>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</si>
  <si>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</si>
  <si>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</si>
  <si>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</si>
  <si>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</si>
  <si>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</si>
  <si>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</si>
  <si>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</si>
  <si>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</si>
  <si>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</si>
  <si>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</si>
  <si>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</si>
  <si>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</si>
  <si>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</si>
  <si>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</si>
  <si>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</si>
  <si>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</si>
  <si>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</si>
  <si>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</si>
  <si>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</si>
  <si>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</si>
  <si>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</si>
  <si>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</si>
  <si>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</si>
  <si>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</si>
  <si>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</si>
  <si>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</si>
  <si>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</si>
  <si>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</si>
  <si>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</si>
  <si>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</si>
  <si>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</si>
  <si>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</si>
  <si>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</si>
  <si>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</si>
  <si>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</si>
  <si>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</si>
  <si>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</si>
  <si>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</si>
  <si>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</si>
  <si>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</si>
  <si>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</si>
  <si>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</si>
  <si>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</si>
  <si>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</si>
  <si>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</si>
  <si>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</si>
  <si>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</si>
  <si>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</si>
  <si>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</si>
  <si>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</si>
  <si>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</si>
  <si>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</si>
  <si>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</si>
  <si>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</si>
  <si>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</si>
  <si>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</si>
  <si>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</si>
  <si>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</si>
  <si>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</si>
  <si>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</si>
  <si>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</si>
  <si>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</si>
  <si>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</si>
  <si>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</si>
  <si>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</si>
  <si>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</si>
  <si>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</si>
  <si>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</si>
  <si>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</si>
  <si>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</si>
  <si>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</si>
  <si>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</si>
  <si>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</si>
  <si>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</si>
  <si>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</si>
  <si>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</si>
  <si>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</si>
  <si>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</si>
  <si>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</si>
  <si>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</si>
  <si>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</si>
  <si>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</si>
  <si>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</si>
  <si>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</si>
  <si>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</si>
  <si>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</si>
  <si>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</si>
  <si>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</si>
  <si>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</si>
  <si>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</si>
  <si>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</si>
  <si>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</si>
  <si>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</si>
  <si>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</si>
  <si>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</si>
  <si>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</si>
  <si>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</si>
  <si>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</si>
  <si>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</si>
  <si>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</si>
  <si>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</si>
  <si>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</si>
  <si>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</si>
  <si>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</si>
  <si>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</si>
  <si>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</si>
  <si>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</si>
  <si>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</si>
  <si>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</si>
  <si>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</si>
  <si>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</si>
  <si>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</si>
  <si>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</si>
  <si>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</si>
  <si>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</si>
  <si>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</si>
  <si>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</si>
  <si>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</si>
  <si>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</si>
  <si>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</si>
  <si>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</si>
  <si>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</si>
  <si>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</si>
  <si>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</si>
  <si>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</si>
  <si>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</si>
  <si>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</si>
  <si>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</si>
  <si>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</si>
  <si>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</si>
  <si>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</si>
  <si>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</si>
  <si>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</si>
  <si>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</si>
  <si>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</si>
  <si>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</si>
  <si>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</si>
  <si>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</si>
  <si>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</si>
  <si>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</si>
  <si>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</si>
  <si>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</si>
  <si>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</si>
  <si>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</si>
  <si>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</si>
  <si>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</si>
  <si>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</si>
  <si>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</si>
  <si>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</si>
  <si>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</si>
  <si>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</si>
  <si>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</si>
  <si>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</si>
  <si>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</si>
  <si>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</si>
  <si>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</si>
  <si>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</si>
  <si>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</si>
  <si>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</si>
  <si>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</si>
  <si>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</si>
  <si>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</si>
  <si>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</si>
  <si>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</si>
  <si>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</si>
  <si>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</si>
  <si>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</si>
  <si>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</si>
  <si>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</si>
  <si>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</si>
  <si>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</si>
  <si>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</si>
  <si>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</si>
  <si>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</si>
  <si>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</si>
  <si>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</si>
  <si>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</si>
  <si>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</si>
  <si>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</si>
  <si>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</si>
  <si>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</si>
  <si>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</si>
  <si>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</si>
  <si>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</si>
  <si>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</si>
  <si>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</si>
  <si>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</si>
  <si>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</si>
  <si>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</si>
  <si>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</si>
  <si>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</si>
  <si>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</si>
  <si>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</si>
  <si>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</si>
  <si>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</si>
  <si>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</si>
  <si>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</si>
  <si>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</si>
  <si>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</si>
  <si>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</si>
  <si>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</si>
  <si>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</si>
  <si>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</si>
  <si>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</si>
  <si>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</si>
  <si>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</si>
  <si>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</si>
  <si>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</si>
  <si>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</si>
  <si>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</si>
  <si>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</si>
  <si>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</si>
  <si>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</si>
  <si>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</si>
  <si>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</si>
  <si>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</si>
  <si>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</si>
  <si>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</si>
  <si>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</si>
  <si>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</si>
  <si>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</si>
  <si>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</si>
  <si>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</si>
  <si>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</si>
  <si>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</si>
  <si>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</si>
  <si>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</si>
  <si>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</si>
  <si>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</si>
  <si>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</si>
  <si>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</si>
  <si>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</si>
  <si>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</si>
  <si>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</si>
  <si>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</si>
  <si>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</si>
  <si>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</si>
  <si>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</si>
  <si>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</si>
  <si>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</si>
  <si>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</si>
  <si>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</si>
  <si>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</si>
  <si>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</si>
  <si>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</si>
  <si>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</si>
  <si>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</si>
  <si>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</si>
  <si>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</si>
  <si>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</si>
  <si>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</si>
  <si>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</si>
  <si>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</si>
  <si>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</si>
  <si>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</si>
  <si>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</si>
  <si>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</si>
  <si>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</si>
  <si>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</si>
  <si>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</si>
  <si>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</si>
  <si>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</si>
  <si>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</si>
  <si>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</si>
  <si>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</si>
  <si>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</si>
  <si>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</si>
  <si>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</si>
  <si>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</si>
  <si>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</si>
  <si>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</si>
  <si>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</si>
  <si>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</si>
  <si>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</si>
  <si>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</si>
  <si>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</si>
  <si>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</si>
  <si>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</si>
  <si>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</si>
  <si>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</si>
  <si>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</si>
  <si>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</si>
  <si>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</si>
  <si>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</si>
  <si>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</si>
  <si>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</si>
  <si>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</si>
  <si>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</si>
  <si>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</si>
  <si>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</si>
  <si>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</si>
  <si>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</si>
  <si>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</si>
  <si>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</si>
  <si>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</si>
  <si>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</si>
  <si>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</si>
  <si>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</si>
  <si>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</si>
  <si>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</si>
  <si>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</si>
  <si>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</si>
  <si>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</si>
  <si>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</si>
  <si>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</si>
  <si>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</si>
  <si>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</si>
  <si>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</si>
  <si>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</si>
  <si>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</si>
  <si>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</si>
  <si>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</si>
  <si>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</si>
  <si>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</si>
  <si>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</si>
  <si>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</si>
  <si>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</si>
  <si>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</si>
  <si>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</si>
  <si>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</si>
  <si>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</si>
  <si>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</si>
  <si>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</si>
  <si>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</si>
  <si>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</si>
  <si>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</si>
  <si>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</si>
  <si>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</si>
  <si>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</si>
  <si>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</si>
  <si>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</si>
  <si>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</si>
  <si>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</si>
  <si>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</si>
  <si>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</si>
  <si>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</si>
  <si>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</si>
  <si>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</si>
  <si>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</si>
  <si>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</si>
  <si>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</si>
  <si>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</si>
  <si>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</si>
  <si>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</si>
  <si>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</si>
  <si>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</si>
  <si>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</si>
  <si>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</si>
  <si>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</si>
  <si>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</si>
  <si>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</si>
  <si>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</si>
  <si>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</si>
  <si>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</si>
  <si>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</si>
  <si>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</si>
  <si>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</si>
  <si>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</si>
  <si>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</si>
  <si>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</si>
  <si>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</si>
  <si>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</si>
  <si>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</si>
  <si>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</si>
  <si>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</si>
  <si>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</si>
  <si>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</si>
  <si>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</si>
  <si>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</si>
  <si>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</si>
  <si>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</si>
  <si>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</si>
  <si>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</si>
  <si>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</si>
  <si>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</si>
  <si>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</si>
  <si>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</si>
  <si>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</si>
  <si>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</si>
  <si>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</si>
  <si>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</si>
  <si>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</si>
  <si>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</si>
  <si>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</si>
  <si>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</si>
  <si>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</si>
  <si>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</si>
  <si>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</si>
  <si>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</si>
  <si>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</si>
  <si>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</si>
  <si>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</si>
  <si>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</si>
  <si>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</si>
  <si>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</si>
  <si>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</si>
  <si>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</si>
  <si>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</si>
  <si>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</si>
  <si>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</si>
  <si>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</si>
  <si>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</si>
  <si>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</si>
  <si>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</si>
  <si>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</si>
  <si>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</si>
  <si>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</si>
  <si>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</si>
  <si>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</si>
  <si>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</si>
  <si>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</si>
  <si>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</si>
  <si>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</si>
  <si>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</si>
  <si>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</si>
  <si>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</si>
  <si>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</si>
  <si>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</si>
  <si>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</si>
  <si>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</si>
  <si>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</si>
  <si>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</si>
  <si>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</si>
  <si>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</si>
  <si>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</si>
  <si>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</si>
  <si>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</si>
  <si>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</si>
  <si>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</si>
  <si>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</si>
  <si>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</si>
  <si>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</si>
  <si>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</si>
  <si>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</si>
  <si>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</si>
  <si>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</si>
  <si>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</si>
  <si>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</si>
  <si>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</si>
  <si>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</si>
  <si>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</si>
  <si>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</si>
  <si>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</si>
  <si>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</si>
  <si>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</si>
  <si>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</si>
  <si>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</si>
  <si>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</si>
  <si>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</si>
  <si>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</si>
  <si>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</si>
  <si>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</si>
  <si>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</si>
  <si>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</si>
  <si>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</si>
  <si>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</si>
  <si>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</si>
  <si>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</si>
  <si>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</si>
  <si>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</si>
  <si>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</si>
  <si>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</si>
  <si>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</si>
  <si>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</si>
  <si>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</si>
  <si>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</si>
  <si>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</si>
  <si>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</si>
  <si>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</si>
  <si>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</si>
  <si>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</si>
  <si>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</si>
  <si>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</si>
  <si>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</si>
  <si>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</si>
  <si>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</si>
  <si>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</si>
  <si>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</si>
  <si>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</si>
  <si>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</si>
  <si>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</si>
  <si>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</si>
  <si>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</si>
  <si>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</si>
  <si>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</si>
  <si>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</si>
  <si>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</si>
  <si>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</si>
  <si>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</si>
  <si>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</si>
  <si>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</si>
  <si>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</si>
  <si>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</si>
  <si>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</si>
  <si>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</si>
  <si>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</si>
  <si>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</si>
  <si>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</si>
  <si>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</si>
  <si>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</si>
  <si>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</si>
  <si>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</si>
  <si>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</si>
  <si>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</si>
  <si>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</si>
  <si>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</si>
  <si>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</si>
  <si>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</si>
  <si>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</si>
  <si>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</si>
  <si>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</si>
  <si>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</si>
  <si>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</si>
  <si>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</si>
  <si>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</si>
  <si>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</si>
  <si>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</si>
  <si>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</si>
  <si>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</si>
  <si>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</si>
  <si>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</si>
  <si>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</si>
  <si>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</si>
  <si>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</si>
  <si>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</si>
  <si>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</si>
  <si>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</si>
  <si>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</si>
  <si>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</si>
  <si>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</si>
  <si>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</si>
  <si>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</si>
  <si>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</si>
  <si>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</si>
  <si>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</si>
  <si>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</si>
  <si>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</si>
  <si>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</si>
  <si>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</si>
  <si>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</si>
  <si>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</si>
  <si>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</si>
  <si>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</si>
  <si>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</si>
  <si>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</si>
  <si>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</si>
  <si>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</si>
  <si>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</si>
  <si>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</si>
  <si>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</si>
  <si>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</si>
  <si>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</si>
  <si>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</si>
  <si>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</si>
  <si>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</si>
  <si>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</si>
  <si>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</si>
  <si>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</si>
  <si>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</si>
  <si>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</si>
  <si>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</si>
  <si>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</si>
  <si>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</si>
  <si>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</si>
  <si>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</si>
  <si>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</si>
  <si>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</si>
  <si>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</si>
  <si>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</si>
  <si>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</si>
  <si>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</si>
  <si>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</si>
  <si>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</si>
  <si>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</si>
  <si>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</si>
  <si>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</si>
  <si>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</si>
  <si>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</si>
  <si>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</si>
  <si>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</si>
  <si>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</si>
  <si>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</si>
  <si>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</si>
  <si>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</si>
  <si>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</si>
  <si>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</si>
  <si>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</si>
  <si>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</si>
  <si>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</si>
  <si>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</si>
  <si>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</si>
  <si>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</si>
  <si>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</si>
  <si>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</si>
  <si>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</si>
  <si>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</si>
  <si>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</si>
  <si>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</si>
  <si>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</si>
  <si>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</si>
  <si>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</si>
  <si>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</si>
  <si>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</si>
  <si>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</si>
  <si>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</si>
  <si>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</si>
  <si>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</si>
  <si>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</si>
  <si>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</si>
  <si>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</si>
  <si>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</si>
  <si>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</si>
  <si>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</si>
  <si>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</si>
  <si>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</si>
  <si>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</si>
  <si>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</si>
  <si>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</si>
  <si>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</si>
  <si>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</si>
  <si>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</si>
  <si>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</si>
  <si>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</si>
  <si>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</si>
  <si>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</si>
  <si>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</si>
  <si>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</si>
  <si>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</si>
  <si>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</si>
  <si>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</si>
  <si>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</si>
  <si>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</si>
  <si>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</si>
  <si>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</si>
  <si>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</si>
  <si>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</si>
  <si>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</si>
  <si>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</si>
  <si>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</si>
  <si>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</si>
  <si>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</si>
  <si>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</si>
  <si>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</si>
  <si>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</si>
  <si>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</si>
  <si>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</si>
  <si>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</si>
  <si>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</si>
  <si>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</si>
  <si>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</si>
  <si>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</si>
  <si>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</si>
  <si>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</si>
  <si>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</si>
  <si>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</si>
  <si>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</si>
  <si>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</si>
  <si>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</si>
  <si>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</si>
  <si>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</si>
  <si>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</si>
  <si>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</si>
  <si>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</si>
  <si>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</si>
  <si>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</si>
  <si>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</si>
  <si>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</si>
  <si>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</si>
  <si>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</si>
  <si>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</si>
  <si>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</si>
  <si>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</si>
  <si>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</si>
  <si>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</si>
  <si>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</si>
  <si>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</si>
  <si>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</si>
  <si>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</si>
  <si>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</si>
  <si>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</si>
  <si>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</si>
  <si>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</si>
  <si>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</si>
  <si>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</si>
  <si>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</si>
  <si>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</si>
  <si>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</si>
  <si>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</si>
  <si>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</si>
  <si>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</si>
  <si>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</si>
  <si>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</si>
  <si>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</si>
  <si>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</si>
  <si>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</si>
  <si>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</si>
  <si>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</si>
  <si>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</si>
  <si>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</si>
  <si>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</si>
  <si>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</si>
  <si>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</si>
  <si>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</si>
  <si>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</si>
  <si>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</si>
  <si>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</si>
  <si>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</si>
  <si>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</si>
  <si>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</si>
  <si>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</si>
  <si>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</si>
  <si>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</si>
  <si>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</si>
  <si>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</si>
  <si>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</si>
  <si>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</si>
  <si>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</si>
  <si>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</si>
  <si>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</si>
  <si>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</si>
  <si>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</si>
  <si>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</si>
  <si>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</si>
  <si>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</si>
  <si>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</si>
  <si>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</si>
  <si>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</si>
  <si>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</si>
  <si>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</si>
  <si>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</si>
  <si>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</si>
  <si>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</si>
  <si>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</si>
  <si>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</si>
  <si>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</si>
  <si>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</si>
  <si>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</si>
  <si>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</si>
  <si>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</si>
  <si>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</si>
  <si>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</si>
  <si>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</si>
  <si>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</si>
  <si>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</si>
  <si>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</si>
  <si>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</si>
  <si>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</si>
  <si>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</si>
  <si>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</si>
  <si>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</si>
  <si>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</si>
  <si>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</si>
  <si>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</si>
  <si>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</si>
  <si>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</si>
  <si>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</si>
  <si>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</si>
  <si>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</si>
  <si>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</si>
  <si>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</si>
  <si>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</si>
  <si>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</si>
  <si>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</si>
  <si>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</si>
  <si>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</si>
  <si>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</si>
  <si>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</si>
  <si>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</si>
  <si>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</si>
  <si>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</si>
  <si>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</si>
  <si>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</si>
  <si>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</si>
  <si>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</si>
  <si>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</si>
  <si>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</si>
  <si>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</si>
  <si>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</si>
  <si>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</si>
  <si>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</si>
  <si>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</si>
  <si>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</si>
  <si>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</si>
  <si>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</si>
  <si>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</si>
  <si>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</si>
  <si>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</si>
  <si>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</si>
  <si>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</si>
  <si>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</si>
  <si>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</si>
  <si>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</si>
  <si>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</si>
  <si>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</si>
  <si>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</si>
  <si>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</si>
  <si>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</si>
  <si>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</si>
  <si>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</si>
  <si>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</si>
  <si>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</si>
  <si>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</si>
  <si>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</si>
  <si>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</si>
  <si>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</si>
  <si>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</si>
  <si>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</si>
  <si>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</si>
  <si>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</si>
  <si>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</si>
  <si>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</si>
  <si>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</si>
  <si>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</si>
  <si>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</si>
  <si>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</si>
  <si>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</si>
  <si>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</si>
  <si>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</si>
  <si>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</si>
  <si>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</si>
  <si>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</si>
  <si>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</si>
  <si>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</si>
  <si>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</si>
  <si>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</si>
  <si>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</si>
  <si>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</si>
  <si>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</si>
  <si>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</si>
  <si>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</si>
  <si>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</si>
  <si>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</si>
  <si>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</si>
  <si>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</si>
  <si>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</si>
  <si>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</si>
  <si>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</si>
  <si>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</si>
  <si>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</si>
  <si>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</si>
  <si>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</si>
  <si>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</si>
  <si>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</si>
  <si>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</si>
  <si>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</si>
  <si>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</si>
  <si>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</si>
  <si>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</si>
  <si>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</si>
  <si>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</si>
  <si>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</si>
  <si>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</si>
  <si>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</si>
  <si>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</si>
  <si>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</si>
  <si>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</si>
  <si>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</si>
  <si>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</si>
  <si>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</si>
  <si>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</si>
  <si>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</si>
  <si>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</si>
  <si>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</si>
  <si>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</si>
  <si>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</si>
  <si>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</si>
  <si>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</si>
  <si>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</si>
  <si>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</si>
  <si>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</si>
  <si>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</si>
  <si>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</si>
  <si>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</si>
  <si>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</si>
  <si>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</si>
  <si>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</si>
  <si>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</si>
  <si>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</si>
  <si>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</si>
  <si>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</si>
  <si>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</si>
  <si>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</si>
  <si>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</si>
  <si>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</si>
  <si>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</si>
  <si>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</si>
  <si>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</si>
  <si>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</si>
  <si>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</si>
  <si>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</si>
  <si>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</si>
  <si>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</si>
  <si>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</si>
  <si>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</si>
  <si>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</si>
  <si>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</si>
  <si>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</si>
  <si>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</si>
  <si>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</si>
  <si>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</si>
  <si>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</si>
  <si>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</si>
  <si>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</si>
  <si>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</si>
  <si>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</si>
  <si>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</si>
  <si>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</si>
  <si>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</si>
  <si>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</si>
  <si>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</si>
  <si>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</si>
  <si>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</si>
  <si>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</si>
  <si>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</si>
  <si>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</si>
  <si>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</si>
  <si>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</si>
  <si>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</si>
  <si>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</si>
  <si>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</si>
  <si>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</si>
  <si>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</si>
  <si>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</si>
  <si>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</si>
  <si>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</si>
  <si>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</si>
  <si>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</si>
  <si>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</si>
  <si>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</si>
  <si>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</si>
  <si>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</si>
  <si>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</si>
  <si>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</si>
  <si>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</si>
  <si>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</si>
  <si>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</si>
  <si>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</si>
  <si>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</si>
  <si>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</si>
  <si>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</si>
  <si>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</si>
  <si>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</si>
  <si>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</si>
  <si>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</si>
  <si>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</si>
  <si>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</si>
  <si>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</si>
  <si>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</si>
  <si>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</si>
  <si>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</si>
  <si>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</si>
  <si>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</si>
  <si>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</si>
  <si>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</si>
  <si>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</si>
  <si>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</si>
  <si>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</si>
  <si>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</si>
  <si>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</si>
  <si>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</si>
  <si>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</si>
  <si>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</si>
  <si>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</si>
  <si>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</si>
  <si>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</si>
  <si>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</si>
  <si>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</si>
  <si>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</si>
  <si>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</si>
  <si>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</si>
  <si>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</si>
  <si>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</si>
  <si>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</si>
  <si>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</si>
  <si>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</si>
  <si>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</si>
  <si>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</si>
  <si>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</si>
  <si>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</si>
  <si>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</si>
  <si>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</si>
  <si>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</si>
  <si>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</si>
  <si>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</si>
  <si>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</si>
  <si>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</si>
  <si>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</si>
  <si>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</si>
  <si>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</si>
  <si>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</si>
  <si>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</si>
  <si>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</si>
  <si>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</si>
  <si>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</si>
  <si>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</si>
  <si>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</si>
  <si>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</si>
  <si>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</si>
  <si>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</si>
  <si>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</si>
  <si>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</si>
  <si>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</si>
  <si>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</si>
  <si>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</si>
  <si>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</si>
  <si>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</si>
  <si>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</si>
  <si>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</si>
  <si>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</si>
  <si>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</si>
  <si>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</si>
  <si>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</si>
  <si>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</si>
  <si>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</si>
  <si>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</si>
  <si>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</si>
  <si>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</si>
  <si>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</si>
  <si>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</si>
  <si>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</si>
  <si>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</si>
  <si>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</si>
  <si>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</si>
  <si>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</si>
  <si>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</si>
  <si>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</si>
  <si>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</si>
  <si>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</si>
  <si>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</si>
  <si>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</si>
  <si>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</si>
  <si>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</si>
  <si>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</si>
  <si>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</si>
  <si>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</si>
  <si>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</si>
  <si>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</si>
  <si>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</si>
  <si>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</si>
  <si>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</si>
  <si>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</si>
  <si>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</si>
  <si>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</si>
  <si>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</si>
  <si>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</si>
  <si>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</si>
  <si>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</si>
  <si>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</si>
  <si>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</si>
  <si>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</si>
  <si>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</si>
  <si>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</si>
  <si>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</si>
  <si>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</si>
  <si>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</si>
  <si>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</si>
  <si>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</si>
  <si>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</si>
  <si>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</si>
  <si>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</si>
  <si>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</si>
  <si>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</si>
  <si>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</si>
  <si>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</si>
  <si>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</si>
  <si>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</si>
  <si>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</si>
  <si>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</si>
  <si>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</si>
  <si>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</si>
  <si>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</si>
  <si>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</si>
  <si>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</si>
  <si>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</si>
  <si>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</si>
  <si>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</si>
  <si>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</si>
  <si>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</si>
  <si>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</si>
  <si>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</si>
  <si>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</si>
  <si>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</si>
  <si>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</si>
  <si>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</si>
  <si>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</si>
  <si>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</si>
  <si>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</si>
  <si>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</si>
  <si>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</si>
  <si>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</si>
  <si>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</si>
  <si>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</si>
  <si>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</si>
  <si>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</si>
  <si>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</si>
  <si>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</si>
  <si>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</si>
  <si>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</si>
  <si>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</si>
  <si>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</si>
  <si>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</si>
  <si>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</si>
  <si>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</si>
  <si>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</si>
  <si>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</si>
  <si>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</si>
  <si>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</si>
  <si>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</si>
  <si>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</si>
  <si>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</si>
  <si>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</si>
  <si>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</si>
  <si>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</si>
  <si>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</si>
  <si>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</si>
  <si>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</si>
  <si>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</si>
  <si>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</si>
  <si>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</si>
  <si>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</si>
  <si>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</si>
  <si>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</si>
  <si>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</si>
  <si>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</si>
  <si>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</si>
  <si>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</si>
  <si>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</si>
  <si>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</si>
  <si>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</si>
  <si>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</si>
  <si>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</si>
  <si>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</si>
  <si>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</si>
  <si>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</si>
  <si>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</si>
  <si>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</si>
  <si>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</si>
  <si>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</si>
  <si>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</si>
  <si>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</si>
  <si>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</si>
  <si>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</si>
  <si>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</si>
  <si>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</si>
  <si>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</si>
  <si>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</si>
  <si>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</si>
  <si>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</si>
  <si>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</si>
  <si>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</si>
  <si>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</si>
  <si>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</si>
  <si>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</si>
  <si>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</si>
  <si>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</si>
  <si>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</si>
  <si>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</si>
  <si>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</si>
  <si>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</si>
  <si>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</si>
  <si>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</si>
  <si>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</si>
  <si>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</si>
  <si>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</si>
  <si>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</si>
  <si>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</si>
  <si>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</si>
  <si>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</si>
  <si>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</si>
  <si>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</si>
  <si>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</si>
  <si>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</si>
  <si>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</si>
  <si>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</si>
  <si>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</si>
  <si>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</si>
  <si>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</si>
  <si>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</si>
  <si>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</si>
  <si>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</si>
  <si>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</si>
  <si>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</si>
  <si>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</si>
  <si>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</si>
  <si>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</si>
  <si>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</si>
  <si>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</si>
  <si>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</si>
  <si>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</si>
  <si>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</si>
  <si>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</si>
  <si>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</si>
  <si>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</si>
  <si>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</si>
  <si>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</si>
  <si>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</si>
  <si>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</si>
  <si>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</si>
  <si>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</si>
  <si>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</si>
  <si>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</si>
  <si>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</si>
  <si>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</si>
  <si>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</si>
  <si>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</si>
  <si>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</si>
  <si>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</si>
  <si>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</si>
  <si>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</si>
  <si>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</si>
  <si>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</si>
  <si>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</si>
  <si>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</si>
  <si>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</si>
  <si>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</si>
  <si>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</si>
  <si>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</si>
  <si>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</si>
  <si>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</si>
  <si>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</si>
  <si>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</si>
  <si>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</si>
  <si>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</si>
  <si>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</si>
  <si>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</si>
  <si>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</si>
  <si>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</si>
  <si>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</si>
  <si>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</si>
  <si>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</si>
  <si>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</si>
  <si>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</si>
  <si>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</si>
  <si>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</si>
  <si>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</si>
  <si>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</si>
  <si>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</si>
  <si>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</si>
  <si>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</si>
  <si>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</si>
  <si>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</si>
  <si>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</si>
  <si>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</si>
  <si>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</si>
  <si>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</si>
  <si>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</si>
  <si>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</si>
  <si>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</si>
  <si>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</si>
  <si>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</si>
  <si>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</si>
  <si>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</si>
  <si>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</si>
  <si>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</si>
  <si>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</si>
  <si>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</si>
  <si>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</si>
  <si>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</si>
  <si>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</si>
  <si>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</si>
  <si>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</si>
  <si>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</si>
  <si>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</si>
  <si>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</si>
  <si>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</si>
  <si>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</si>
  <si>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</si>
  <si>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</si>
  <si>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</si>
  <si>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</si>
  <si>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</si>
  <si>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</si>
  <si>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</si>
  <si>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</si>
  <si>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</si>
  <si>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</si>
  <si>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</si>
  <si>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</si>
  <si>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</si>
  <si>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</si>
  <si>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</si>
  <si>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</si>
  <si>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</si>
  <si>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</si>
  <si>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</si>
  <si>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</si>
  <si>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</si>
  <si>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</si>
  <si>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</si>
  <si>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</si>
  <si>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</si>
  <si>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</si>
  <si>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</si>
  <si>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</si>
  <si>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</si>
  <si>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</si>
  <si>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</si>
  <si>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</si>
  <si>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</si>
  <si>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</si>
  <si>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</si>
  <si>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</si>
  <si>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</si>
  <si>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</si>
  <si>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</si>
  <si>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</si>
  <si>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</si>
  <si>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</si>
  <si>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</si>
  <si>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</si>
  <si>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</si>
  <si>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</si>
  <si>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</si>
  <si>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</si>
  <si>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</si>
  <si>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</si>
  <si>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</si>
  <si>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</si>
  <si>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</si>
  <si>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</si>
  <si>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</si>
  <si>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</si>
  <si>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</si>
  <si>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</si>
  <si>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</si>
  <si>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</si>
  <si>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</si>
  <si>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</si>
  <si>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</si>
  <si>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</si>
  <si>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</si>
  <si>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</si>
  <si>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</si>
  <si>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</si>
  <si>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</si>
  <si>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</si>
  <si>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</si>
  <si>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</si>
  <si>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</si>
  <si>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</si>
  <si>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</si>
  <si>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</si>
  <si>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</si>
  <si>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</si>
  <si>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</si>
  <si>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</si>
  <si>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</si>
  <si>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</si>
  <si>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</si>
  <si>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</si>
  <si>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</si>
  <si>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</si>
  <si>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</si>
  <si>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</si>
  <si>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</si>
  <si>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</si>
  <si>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</si>
  <si>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</si>
  <si>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</si>
  <si>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</si>
  <si>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</si>
  <si>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</si>
  <si>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</si>
  <si>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</si>
  <si>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</si>
  <si>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</si>
  <si>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</si>
  <si>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</si>
  <si>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</si>
  <si>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</si>
  <si>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</si>
  <si>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</si>
  <si>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</si>
  <si>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</si>
  <si>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</si>
  <si>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</si>
  <si>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</si>
  <si>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</si>
  <si>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</si>
  <si>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</si>
  <si>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</si>
  <si>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</si>
  <si>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</si>
  <si>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</si>
  <si>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</si>
  <si>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</si>
  <si>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</si>
  <si>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</si>
  <si>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</si>
  <si>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</si>
  <si>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</si>
  <si>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</si>
  <si>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</si>
  <si>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</si>
  <si>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</si>
  <si>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</si>
  <si>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</si>
  <si>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</si>
  <si>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</si>
  <si>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</si>
  <si>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</si>
  <si>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</si>
  <si>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</si>
  <si>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</si>
  <si>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</si>
  <si>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</si>
  <si>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</si>
  <si>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</si>
  <si>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</si>
  <si>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</si>
  <si>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</si>
  <si>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</si>
  <si>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</si>
  <si>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</si>
  <si>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</si>
  <si>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</si>
  <si>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</si>
  <si>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</si>
  <si>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</si>
  <si>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</si>
  <si>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</si>
  <si>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</si>
  <si>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</si>
  <si>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</si>
  <si>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</si>
  <si>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</si>
  <si>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</si>
  <si>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</si>
  <si>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</si>
  <si>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</si>
  <si>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</si>
  <si>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</si>
  <si>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</si>
  <si>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</si>
  <si>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</si>
  <si>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</si>
  <si>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</si>
  <si>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</si>
  <si>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</si>
  <si>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</si>
  <si>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</si>
  <si>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</si>
  <si>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</si>
  <si>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</si>
  <si>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</si>
  <si>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</si>
  <si>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</si>
  <si>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</si>
  <si>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</si>
  <si>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</si>
  <si>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</si>
  <si>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</si>
  <si>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</si>
  <si>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</si>
  <si>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</si>
  <si>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</si>
  <si>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</si>
  <si>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</si>
  <si>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</si>
  <si>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</si>
  <si>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</si>
  <si>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</si>
  <si>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</si>
  <si>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</si>
  <si>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</si>
  <si>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</si>
  <si>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</si>
  <si>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</si>
  <si>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</si>
  <si>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</si>
  <si>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</si>
  <si>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</si>
  <si>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</si>
  <si>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</si>
  <si>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</si>
  <si>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</si>
  <si>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</si>
  <si>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</si>
  <si>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</si>
  <si>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</si>
  <si>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</si>
  <si>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</si>
  <si>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</si>
  <si>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</si>
  <si>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</si>
  <si>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</si>
  <si>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</si>
  <si>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</si>
  <si>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</si>
  <si>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</si>
  <si>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</si>
  <si>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</si>
  <si>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</si>
  <si>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</si>
  <si>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</si>
  <si>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</si>
  <si>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</si>
  <si>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</si>
  <si>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</si>
  <si>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</si>
  <si>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</si>
  <si>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</si>
  <si>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</si>
  <si>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</si>
  <si>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</si>
  <si>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</si>
  <si>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</si>
  <si>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</si>
  <si>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</si>
  <si>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</si>
  <si>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</si>
  <si>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</si>
  <si>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</si>
  <si>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</si>
  <si>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</si>
  <si>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</si>
  <si>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</si>
  <si>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</si>
  <si>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</si>
  <si>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</si>
  <si>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</si>
  <si>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</si>
  <si>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</si>
  <si>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</si>
  <si>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</si>
  <si>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</si>
  <si>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</si>
  <si>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</si>
  <si>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</si>
  <si>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</si>
  <si>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</si>
  <si>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</si>
  <si>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</si>
  <si>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</si>
  <si>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</si>
  <si>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</si>
  <si>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</si>
  <si>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</si>
  <si>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</si>
  <si>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</si>
  <si>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</si>
  <si>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</si>
  <si>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</si>
  <si>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</si>
  <si>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</si>
  <si>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</si>
  <si>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</si>
  <si>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</si>
  <si>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</si>
  <si>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</si>
  <si>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</si>
  <si>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</si>
  <si>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</si>
  <si>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</si>
  <si>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</si>
  <si>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</si>
  <si>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</si>
  <si>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</si>
  <si>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</si>
  <si>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</si>
  <si>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</si>
  <si>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</si>
  <si>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</si>
  <si>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</si>
  <si>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</si>
  <si>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</si>
  <si>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</si>
  <si>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</si>
  <si>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</si>
  <si>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</si>
  <si>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</si>
  <si>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</si>
  <si>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</si>
  <si>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</si>
  <si>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</si>
  <si>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</si>
  <si>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</si>
  <si>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</si>
  <si>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</si>
  <si>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</si>
  <si>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</si>
  <si>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</si>
  <si>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</si>
  <si>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</si>
  <si>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</si>
  <si>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</si>
  <si>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</si>
  <si>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</si>
  <si>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</si>
  <si>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</si>
  <si>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</si>
  <si>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</si>
  <si>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</si>
  <si>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</si>
  <si>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</si>
  <si>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</si>
  <si>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</si>
  <si>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</si>
  <si>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</si>
  <si>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</si>
  <si>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</si>
  <si>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</si>
  <si>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</si>
  <si>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</si>
  <si>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</si>
  <si>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</si>
  <si>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</si>
  <si>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</si>
  <si>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</si>
  <si>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</si>
  <si>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</si>
  <si>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</si>
  <si>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</si>
  <si>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</si>
  <si>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</si>
  <si>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</si>
  <si>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</si>
  <si>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</si>
  <si>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</si>
  <si>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</si>
  <si>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</si>
  <si>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</si>
  <si>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</si>
  <si>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</si>
  <si>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</si>
  <si>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</si>
  <si>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</si>
  <si>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</si>
  <si>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</si>
  <si>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</si>
  <si>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</si>
  <si>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</si>
  <si>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</si>
  <si>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</si>
  <si>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</si>
  <si>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</si>
  <si>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</si>
  <si>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</si>
  <si>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</si>
  <si>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</si>
  <si>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</si>
  <si>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</si>
  <si>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</si>
  <si>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</si>
  <si>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</si>
  <si>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</si>
  <si>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</si>
  <si>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</si>
  <si>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</si>
  <si>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</si>
  <si>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</si>
  <si>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</si>
  <si>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</si>
  <si>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</si>
  <si>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</si>
  <si>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</si>
  <si>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</si>
  <si>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</si>
  <si>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</si>
  <si>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</si>
  <si>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</si>
  <si>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</si>
  <si>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</si>
  <si>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</si>
  <si>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</si>
  <si>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</si>
  <si>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</si>
  <si>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</si>
  <si>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</si>
  <si>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</si>
  <si>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</si>
  <si>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</si>
  <si>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</si>
  <si>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</si>
  <si>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</si>
  <si>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</si>
  <si>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</si>
  <si>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</si>
  <si>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</si>
  <si>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</si>
  <si>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</si>
  <si>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</si>
  <si>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</si>
  <si>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</si>
  <si>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</si>
  <si>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</si>
  <si>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</si>
  <si>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</si>
  <si>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</si>
  <si>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</si>
  <si>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</si>
  <si>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</si>
  <si>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</si>
  <si>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</si>
  <si>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</si>
  <si>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</si>
  <si>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</si>
  <si>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</si>
  <si>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</si>
  <si>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</si>
  <si>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</si>
  <si>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</si>
  <si>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</si>
  <si>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</si>
  <si>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</si>
  <si>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</si>
  <si>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</si>
  <si>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</si>
  <si>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</si>
  <si>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</si>
  <si>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</si>
  <si>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</si>
  <si>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</si>
  <si>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</si>
  <si>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</si>
  <si>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</si>
  <si>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</si>
  <si>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</si>
  <si>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</si>
  <si>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</si>
  <si>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</si>
  <si>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</si>
  <si>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</si>
  <si>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</si>
  <si>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</si>
  <si>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</si>
  <si>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</si>
  <si>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</si>
  <si>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</si>
  <si>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</si>
  <si>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</si>
  <si>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</si>
  <si>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</si>
  <si>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</si>
  <si>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</si>
  <si>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</si>
  <si>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</si>
  <si>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</si>
  <si>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</si>
  <si>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</si>
  <si>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</si>
  <si>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</si>
  <si>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</si>
  <si>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</si>
  <si>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</si>
  <si>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</si>
  <si>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</si>
  <si>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</si>
  <si>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</si>
  <si>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</si>
  <si>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</si>
  <si>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</si>
  <si>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</si>
  <si>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</si>
  <si>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</si>
  <si>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</si>
  <si>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</si>
  <si>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</si>
  <si>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</si>
  <si>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</si>
  <si>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</si>
  <si>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</si>
  <si>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</si>
  <si>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</si>
  <si>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</si>
  <si>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</si>
  <si>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</si>
  <si>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</si>
  <si>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</si>
  <si>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</si>
  <si>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</si>
  <si>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</si>
  <si>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</si>
  <si>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</si>
  <si>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</si>
  <si>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</si>
  <si>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</si>
  <si>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</si>
  <si>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</si>
  <si>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</si>
  <si>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</si>
  <si>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</si>
  <si>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</si>
  <si>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</si>
  <si>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</si>
  <si>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</si>
  <si>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</si>
  <si>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</si>
  <si>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</si>
  <si>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</si>
  <si>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</si>
  <si>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</si>
  <si>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</si>
  <si>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</si>
  <si>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</si>
  <si>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</si>
  <si>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</si>
  <si>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</si>
  <si>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</si>
  <si>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</si>
  <si>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</si>
  <si>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</si>
  <si>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</si>
  <si>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</si>
  <si>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</si>
  <si>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</si>
  <si>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</si>
  <si>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</si>
  <si>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</si>
  <si>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</si>
  <si>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</si>
  <si>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</si>
  <si>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</si>
  <si>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</si>
  <si>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</si>
  <si>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</si>
  <si>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</si>
  <si>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</si>
  <si>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</si>
  <si>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</si>
  <si>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</si>
  <si>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</si>
  <si>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</si>
  <si>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</si>
  <si>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</si>
  <si>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</si>
  <si>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</si>
  <si>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</si>
  <si>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</si>
  <si>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</si>
  <si>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</si>
  <si>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</si>
  <si>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</si>
  <si>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</si>
  <si>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</si>
  <si>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</si>
  <si>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</si>
  <si>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</si>
  <si>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</si>
  <si>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</si>
  <si>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</si>
  <si>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</si>
  <si>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</si>
  <si>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</si>
  <si>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</si>
  <si>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</si>
  <si>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</si>
  <si>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</si>
  <si>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</si>
  <si>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</si>
  <si>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</si>
  <si>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</si>
  <si>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</si>
  <si>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</si>
  <si>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</si>
  <si>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</si>
  <si>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</si>
  <si>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</si>
  <si>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</si>
  <si>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</si>
  <si>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</si>
  <si>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</si>
  <si>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</si>
  <si>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</si>
  <si>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</si>
  <si>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</si>
  <si>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</si>
  <si>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</si>
  <si>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</si>
  <si>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</si>
  <si>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</si>
  <si>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</si>
  <si>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</si>
  <si>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</si>
  <si>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</si>
  <si>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</si>
  <si>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</si>
  <si>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</si>
  <si>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Berdasarkan DIPA Revisi 2 POK 2 TA. 2022 (Tanggal 22 Maret 2022)</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</si>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</sst>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2"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51" fillId="0" borderId="0" applyFont="0" applyFill="0" applyBorder="0" applyAlignment="0" applyProtection="0"/>
    <xf numFmtId="0" fontId="51" fillId="0" borderId="0"/>
  </cellStyleXfs>
  <cellXfs count="53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0" fontId="0" fillId="0" borderId="1" xfId="0" applyFill="1" applyBorder="1" applyAlignment="1">
      <alignment horizontal="left" wrapText="1"/>
    </xf>
    <xf numFmtId="0" fontId="0" fillId="23" borderId="1" xfId="0" applyFill="1" applyBorder="1" applyAlignment="1">
      <alignment horizontal="left"/>
    </xf>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7" fillId="29"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0" borderId="1" xfId="1" applyFont="1" applyBorder="1" applyAlignment="1">
      <alignment horizontal="center"/>
    </xf>
    <xf numFmtId="41" fontId="41" fillId="0" borderId="1" xfId="1" applyFont="1" applyBorder="1" applyAlignment="1">
      <alignment horizontal="center"/>
    </xf>
    <xf numFmtId="41" fontId="37" fillId="2" borderId="1" xfId="1" applyFont="1" applyFill="1" applyBorder="1" applyAlignment="1">
      <alignment horizontal="center"/>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23" borderId="1" xfId="0" applyNumberFormat="1" applyFill="1" applyBorder="1" applyAlignment="1">
      <alignment vertical="top"/>
    </xf>
    <xf numFmtId="2" fontId="0" fillId="23"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7" fillId="26" borderId="1" xfId="0" applyNumberFormat="1" applyFont="1" applyFill="1" applyBorder="1" applyAlignment="1">
      <alignment vertical="top"/>
    </xf>
    <xf numFmtId="2" fontId="37" fillId="26" borderId="1" xfId="0" applyNumberFormat="1" applyFont="1" applyFill="1" applyBorder="1" applyAlignment="1">
      <alignment vertical="top"/>
    </xf>
    <xf numFmtId="41" fontId="0" fillId="33" borderId="1" xfId="0" applyNumberFormat="1" applyFill="1" applyBorder="1" applyAlignment="1">
      <alignment vertical="top"/>
    </xf>
    <xf numFmtId="2" fontId="0" fillId="33" borderId="1" xfId="0" applyNumberFormat="1" applyFill="1" applyBorder="1" applyAlignment="1">
      <alignment vertical="top"/>
    </xf>
    <xf numFmtId="41" fontId="0" fillId="36" borderId="1" xfId="0" applyNumberFormat="1" applyFill="1" applyBorder="1" applyAlignment="1">
      <alignment vertical="top"/>
    </xf>
    <xf numFmtId="2" fontId="0" fillId="36" borderId="1" xfId="0" applyNumberFormat="1" applyFill="1" applyBorder="1" applyAlignment="1">
      <alignment vertical="top"/>
    </xf>
    <xf numFmtId="0" fontId="37" fillId="29" borderId="1" xfId="0" applyFont="1" applyFill="1" applyBorder="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9" fillId="30" borderId="1" xfId="2" applyFont="1" applyFill="1" applyBorder="1" applyAlignment="1">
      <alignment horizontal="center" vertical="center"/>
    </xf>
    <xf numFmtId="0" fontId="37" fillId="0" borderId="0" xfId="0" applyFont="1" applyAlignment="1">
      <alignment horizont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9" borderId="1" xfId="0" applyFont="1" applyFill="1" applyBorder="1" applyAlignment="1">
      <alignment horizontal="center"/>
    </xf>
    <xf numFmtId="0" fontId="39" fillId="30" borderId="1" xfId="2" applyFont="1" applyFill="1" applyBorder="1" applyAlignment="1">
      <alignment horizontal="center" vertical="center"/>
    </xf>
    <xf numFmtId="0" fontId="42" fillId="0" borderId="0" xfId="0" applyFont="1" applyAlignment="1">
      <alignment horizontal="center"/>
    </xf>
    <xf numFmtId="0" fontId="37" fillId="0" borderId="1" xfId="0" applyFont="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7" fillId="26" borderId="1" xfId="0" applyFont="1" applyFill="1" applyBorder="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7" fillId="0" borderId="0" xfId="0" applyFont="1" applyAlignment="1">
      <alignment horizontal="center"/>
    </xf>
    <xf numFmtId="41" fontId="37" fillId="0" borderId="0" xfId="1" applyFont="1"/>
    <xf numFmtId="0" fontId="15" fillId="26" borderId="1" xfId="0" applyFont="1" applyFill="1" applyBorder="1" applyAlignment="1">
      <alignment vertical="top" wrapText="1"/>
    </xf>
    <xf numFmtId="0" fontId="0" fillId="26" borderId="1" xfId="0" applyFill="1" applyBorder="1"/>
    <xf numFmtId="41" fontId="0" fillId="26" borderId="1" xfId="1" applyFont="1" applyFill="1" applyBorder="1"/>
    <xf numFmtId="41" fontId="0" fillId="0" borderId="0" xfId="1" applyFont="1" applyFill="1"/>
    <xf numFmtId="0" fontId="0" fillId="28" borderId="1" xfId="0" applyFill="1" applyBorder="1"/>
    <xf numFmtId="41" fontId="0" fillId="28" borderId="1" xfId="1" applyFont="1" applyFill="1" applyBorder="1" applyAlignment="1">
      <alignment horizontal="right"/>
    </xf>
    <xf numFmtId="41" fontId="51" fillId="28" borderId="1" xfId="10" applyFont="1" applyFill="1" applyBorder="1"/>
    <xf numFmtId="41" fontId="0" fillId="28" borderId="1" xfId="1" applyFont="1" applyFill="1" applyBorder="1"/>
    <xf numFmtId="41" fontId="51" fillId="28" borderId="1" xfId="11" applyNumberFormat="1" applyFill="1" applyBorder="1"/>
    <xf numFmtId="41" fontId="0" fillId="28" borderId="1" xfId="0" applyNumberFormat="1" applyFill="1" applyBorder="1" applyAlignment="1">
      <alignment horizontal="left"/>
    </xf>
    <xf numFmtId="2" fontId="0" fillId="28" borderId="1" xfId="0" applyNumberFormat="1" applyFill="1" applyBorder="1"/>
    <xf numFmtId="41" fontId="0" fillId="28"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6" borderId="1" xfId="0" applyNumberFormat="1" applyFill="1" applyBorder="1"/>
    <xf numFmtId="166" fontId="37" fillId="28" borderId="1" xfId="0" applyNumberFormat="1" applyFont="1" applyFill="1" applyBorder="1"/>
    <xf numFmtId="166" fontId="0" fillId="28" borderId="1" xfId="0" applyNumberFormat="1" applyFill="1" applyBorder="1"/>
    <xf numFmtId="0" fontId="20" fillId="0" borderId="1" xfId="2" applyFont="1" applyFill="1" applyBorder="1" applyAlignment="1">
      <alignment horizontal="center" vertical="center" wrapText="1"/>
    </xf>
    <xf numFmtId="0" fontId="0" fillId="0" borderId="0" xfId="0" applyFill="1"/>
    <xf numFmtId="41" fontId="20" fillId="0" borderId="1" xfId="2" applyNumberFormat="1" applyFont="1" applyFill="1" applyBorder="1" applyAlignment="1">
      <alignment horizontal="center" vertical="center" wrapText="1"/>
    </xf>
    <xf numFmtId="41" fontId="20" fillId="0" borderId="1" xfId="1" applyFont="1" applyFill="1" applyBorder="1" applyAlignment="1">
      <alignment horizontal="center" vertical="center" wrapText="1"/>
    </xf>
    <xf numFmtId="41" fontId="20" fillId="0" borderId="1" xfId="2" applyNumberFormat="1" applyFont="1" applyFill="1" applyBorder="1" applyAlignment="1">
      <alignment horizontal="center"/>
    </xf>
    <xf numFmtId="0" fontId="39" fillId="0" borderId="1" xfId="2" applyFont="1" applyFill="1" applyBorder="1" applyAlignment="1">
      <alignment horizontal="center" vertical="center" wrapText="1"/>
    </xf>
    <xf numFmtId="41" fontId="39" fillId="0" borderId="1" xfId="1" applyFont="1" applyFill="1" applyBorder="1" applyAlignment="1">
      <alignment horizontal="center" vertical="center" wrapText="1"/>
    </xf>
    <xf numFmtId="2" fontId="39" fillId="0" borderId="1" xfId="2" applyNumberFormat="1" applyFont="1" applyFill="1" applyBorder="1" applyAlignment="1">
      <alignment horizontal="center" vertical="center"/>
    </xf>
    <xf numFmtId="2" fontId="20" fillId="0" borderId="1" xfId="2" applyNumberFormat="1" applyFont="1" applyFill="1" applyBorder="1" applyAlignment="1">
      <alignment horizontal="center" vertical="center"/>
    </xf>
    <xf numFmtId="41" fontId="20" fillId="0" borderId="1" xfId="1" applyFont="1" applyFill="1" applyBorder="1" applyAlignment="1">
      <alignment horizontal="center" vertical="center"/>
    </xf>
    <xf numFmtId="41" fontId="39" fillId="0" borderId="1" xfId="1" applyFont="1" applyFill="1" applyBorder="1" applyAlignment="1">
      <alignment horizontal="center"/>
    </xf>
    <xf numFmtId="41" fontId="20" fillId="0" borderId="1" xfId="1" applyFont="1" applyFill="1" applyBorder="1" applyAlignment="1">
      <alignment horizontal="center"/>
    </xf>
    <xf numFmtId="166" fontId="39" fillId="0" borderId="1" xfId="1" applyNumberFormat="1" applyFont="1" applyFill="1" applyBorder="1" applyAlignment="1">
      <alignment horizontal="center"/>
    </xf>
    <xf numFmtId="166" fontId="20" fillId="0" borderId="1" xfId="1" applyNumberFormat="1" applyFont="1" applyFill="1" applyBorder="1" applyAlignment="1">
      <alignment horizontal="center"/>
    </xf>
    <xf numFmtId="0" fontId="37" fillId="29" borderId="14" xfId="0" applyFont="1" applyFill="1" applyBorder="1" applyAlignment="1">
      <alignment horizontal="center" vertical="center"/>
    </xf>
    <xf numFmtId="0" fontId="37" fillId="28" borderId="14" xfId="0" quotePrefix="1" applyFont="1" applyFill="1" applyBorder="1"/>
    <xf numFmtId="0" fontId="15" fillId="26" borderId="14" xfId="0" applyFont="1" applyFill="1" applyBorder="1" applyAlignment="1">
      <alignment horizontal="center" vertical="top"/>
    </xf>
    <xf numFmtId="0" fontId="0" fillId="28" borderId="14" xfId="0" applyFill="1" applyBorder="1" applyAlignment="1">
      <alignment horizontal="center"/>
    </xf>
    <xf numFmtId="0" fontId="37" fillId="29" borderId="17" xfId="0" applyFont="1" applyFill="1" applyBorder="1" applyAlignment="1">
      <alignment horizontal="center" vertical="center"/>
    </xf>
    <xf numFmtId="0" fontId="37" fillId="29" borderId="4" xfId="0" applyFont="1" applyFill="1" applyBorder="1" applyAlignment="1">
      <alignment horizontal="center" vertical="center"/>
    </xf>
    <xf numFmtId="0" fontId="37" fillId="29" borderId="4" xfId="0" applyFont="1" applyFill="1" applyBorder="1" applyAlignment="1">
      <alignment horizontal="center"/>
    </xf>
    <xf numFmtId="9" fontId="0" fillId="29" borderId="4" xfId="4" applyFon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horizontal="center"/>
    </xf>
    <xf numFmtId="0" fontId="37" fillId="30" borderId="4" xfId="0" applyFont="1" applyFill="1" applyBorder="1" applyAlignment="1"/>
    <xf numFmtId="0" fontId="0" fillId="28" borderId="2" xfId="0" applyFill="1" applyBorder="1"/>
    <xf numFmtId="41" fontId="0" fillId="28" borderId="2" xfId="1" applyFont="1" applyFill="1" applyBorder="1"/>
    <xf numFmtId="41" fontId="51" fillId="28" borderId="2" xfId="11" applyNumberFormat="1" applyFill="1" applyBorder="1"/>
    <xf numFmtId="41" fontId="0" fillId="28" borderId="2" xfId="0" applyNumberFormat="1" applyFill="1" applyBorder="1" applyAlignment="1">
      <alignment horizontal="left"/>
    </xf>
    <xf numFmtId="166" fontId="0" fillId="28" borderId="2" xfId="0" applyNumberFormat="1" applyFill="1" applyBorder="1"/>
    <xf numFmtId="41" fontId="0" fillId="28" borderId="2" xfId="0" applyNumberFormat="1" applyFill="1" applyBorder="1"/>
    <xf numFmtId="2" fontId="0" fillId="28" borderId="2" xfId="0" applyNumberFormat="1" applyFill="1" applyBorder="1"/>
    <xf numFmtId="41" fontId="0" fillId="0" borderId="0" xfId="1" applyFont="1" applyBorder="1"/>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66">
    <dxf>
      <font>
        <b/>
        <i val="0"/>
        <color auto="1"/>
      </font>
      <fill>
        <patternFill>
          <bgColor rgb="FFFFFF00"/>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bottom style="thin">
          <color indexed="64"/>
        </bottom>
      </border>
    </dxf>
    <dxf>
      <border outline="0">
        <left style="thin">
          <color indexed="64"/>
        </left>
        <top style="thin">
          <color indexed="64"/>
        </top>
      </border>
    </dxf>
    <dxf>
      <numFmt numFmtId="35" formatCode="_-* #,##0.00_-;\-* #,##0.00_-;_-* &quot;-&quot;??_-;_-@_-"/>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externalLink" Target="externalLinks/externalLink2.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microsoft.com/office/2007/relationships/slicerCache" Target="slicerCaches/slicerCach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pivotCacheDefinition" Target="pivotCache/pivotCacheDefinition3.xml"/><Relationship Id="rId30" Type="http://schemas.microsoft.com/office/2007/relationships/slicerCache" Target="slicerCaches/slicerCache3.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327660</xdr:colOff>
          <xdr:row>1</xdr:row>
          <xdr:rowOff>22860</xdr:rowOff>
        </xdr:from>
        <xdr:to>
          <xdr:col>12</xdr:col>
          <xdr:colOff>1402080</xdr:colOff>
          <xdr:row>3</xdr:row>
          <xdr:rowOff>22860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137160</xdr:rowOff>
        </xdr:from>
        <xdr:to>
          <xdr:col>13</xdr:col>
          <xdr:colOff>502920</xdr:colOff>
          <xdr:row>15</xdr:row>
          <xdr:rowOff>7620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60960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99060</xdr:rowOff>
        </xdr:from>
        <xdr:to>
          <xdr:col>13</xdr:col>
          <xdr:colOff>449580</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327660</xdr:rowOff>
        </xdr:from>
        <xdr:to>
          <xdr:col>13</xdr:col>
          <xdr:colOff>449580</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xdr:row>
          <xdr:rowOff>160020</xdr:rowOff>
        </xdr:from>
        <xdr:to>
          <xdr:col>13</xdr:col>
          <xdr:colOff>449580</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175260</xdr:rowOff>
        </xdr:from>
        <xdr:to>
          <xdr:col>13</xdr:col>
          <xdr:colOff>449580</xdr:colOff>
          <xdr:row>21</xdr:row>
          <xdr:rowOff>60960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15</xdr:row>
          <xdr:rowOff>60960</xdr:rowOff>
        </xdr:from>
        <xdr:to>
          <xdr:col>13</xdr:col>
          <xdr:colOff>487680</xdr:colOff>
          <xdr:row>15</xdr:row>
          <xdr:rowOff>274320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327660</xdr:colOff>
          <xdr:row>21</xdr:row>
          <xdr:rowOff>137160</xdr:rowOff>
        </xdr:from>
        <xdr:to>
          <xdr:col>12</xdr:col>
          <xdr:colOff>1668780</xdr:colOff>
          <xdr:row>23</xdr:row>
          <xdr:rowOff>30480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511629</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a:extLst>
                <a:ext uri="{84589F7E-364E-4C9E-8A38-B11213B215E9}">
                  <a14:cameraTool cellRange="PERSUBBID!$A$5:$G$24" spid="_x0000_s52021"/>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E00-000005000000}"/>
                </a:ext>
              </a:extLst>
            </xdr:cNvPr>
            <xdr:cNvPicPr>
              <a:picLocks noChangeAspect="1" noChangeArrowheads="1"/>
              <a:extLst>
                <a:ext uri="{84589F7E-364E-4C9E-8A38-B11213B215E9}">
                  <a14:cameraTool cellRange="PERSUBBID!$A$39:$G$54" spid="_x0000_s52022"/>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E00-000006000000}"/>
                </a:ext>
              </a:extLst>
            </xdr:cNvPr>
            <xdr:cNvPicPr>
              <a:picLocks noChangeAspect="1" noChangeArrowheads="1"/>
              <a:extLst>
                <a:ext uri="{84589F7E-364E-4C9E-8A38-B11213B215E9}">
                  <a14:cameraTool cellRange="PERSUBBID!$A$26:$G$37" spid="_x0000_s52023"/>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a:extLst>
                <a:ext uri="{84589F7E-364E-4C9E-8A38-B11213B215E9}">
                  <a14:cameraTool cellRange="'PERSUBBID GAJI'!$A$1:$G$59" spid="_x0000_s39368"/>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Y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81058912039" createdVersion="7" refreshedVersion="8" minRefreshableVersion="3" recordCount="140" xr:uid="{F6A9A8BE-9DF4-47CC-B2DE-53AB58A65CAC}">
  <cacheSource type="worksheet">
    <worksheetSource ref="A3:AQ143" sheet="SP2D"/>
  </cacheSource>
  <cacheFields count="45">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0">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n v="0"/>
    <n v="0"/>
    <n v="0"/>
    <n v="0"/>
    <n v="0"/>
    <n v="0"/>
    <n v="0"/>
    <n v="0"/>
    <n v="0"/>
    <n v="0"/>
    <n v="0"/>
    <n v="0"/>
    <x v="0"/>
    <x v="1"/>
    <x v="3"/>
    <s v="52"/>
    <s v="SEKRETARIAT BADAN RISET DAN SUMBERDAYA MANUSIA KELAUTAN DAN PERIKANAN"/>
    <n v="0"/>
    <n v="0"/>
    <n v="8784000"/>
    <n v="100"/>
    <s v="DL.2376.AFA.001.054.A.521219"/>
    <s v="Non COVID"/>
    <s v="PERJALANAN DINAS"/>
    <s v="Belanja Barang Non Operasional"/>
  </r>
  <r>
    <s v="032"/>
    <s v="12"/>
    <s v="DL"/>
    <x v="0"/>
    <s v="2376"/>
    <x v="0"/>
    <s v="AFA"/>
    <s v="2376.AFA. Norma, Standard, Prosedur dan Kriteria"/>
    <s v="001"/>
    <x v="0"/>
    <s v="054"/>
    <x v="3"/>
    <s v="A"/>
    <x v="6"/>
    <n v="522151"/>
    <x v="1"/>
    <x v="26"/>
    <n v="10000000"/>
    <n v="0"/>
    <n v="0"/>
    <n v="0"/>
    <n v="7200000"/>
    <n v="0"/>
    <n v="0"/>
    <n v="0"/>
    <n v="0"/>
    <n v="0"/>
    <n v="0"/>
    <n v="0"/>
    <n v="0"/>
    <x v="0"/>
    <x v="1"/>
    <x v="3"/>
    <s v="52"/>
    <s v="SEKRETARIAT BADAN RISET DAN SUMBERDAYA MANUSIA KELAUTAN DAN PERIKANAN"/>
    <n v="7200000"/>
    <n v="72"/>
    <n v="2800000"/>
    <n v="28.000000000000004"/>
    <s v="DL.2376.AFA.001.054.A.522151"/>
    <s v="Non COVID"/>
    <s v="BELANJA BAHAN"/>
    <s v="Belanja Barang Non Operasional"/>
  </r>
  <r>
    <s v="032"/>
    <s v="12"/>
    <s v="DL"/>
    <x v="0"/>
    <s v="2376"/>
    <x v="0"/>
    <s v="AFA"/>
    <s v="2376.AFA. Norma, Standard, Prosedur dan Kriteria"/>
    <s v="001"/>
    <x v="0"/>
    <s v="054"/>
    <x v="3"/>
    <s v="A"/>
    <x v="6"/>
    <s v="522192"/>
    <x v="5"/>
    <x v="15"/>
    <n v="500000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n v="0"/>
    <n v="0"/>
    <n v="0"/>
    <n v="0"/>
    <n v="114200000"/>
    <n v="0"/>
    <n v="0"/>
    <n v="0"/>
    <n v="0"/>
    <n v="0"/>
    <n v="0"/>
    <n v="0"/>
    <x v="0"/>
    <x v="2"/>
    <x v="4"/>
    <n v="53"/>
    <s v="SEKRETARIAT BADAN RISET DAN SUMBERDAYA MANUSIA KELAUTAN DAN PERIKANAN"/>
    <n v="114200000"/>
    <n v="100"/>
    <n v="0"/>
    <n v="0"/>
    <s v="WA.2378.CAN.001.301.A.532111"/>
    <s v="Non COVID"/>
    <s v="BELANJA MODAL"/>
    <s v="Belanja Barang Non Operasional"/>
  </r>
  <r>
    <s v="032"/>
    <s v="12"/>
    <s v="WA"/>
    <x v="1"/>
    <s v="2378"/>
    <x v="1"/>
    <s v="EBA"/>
    <s v="2378.EBA. Layanan Dukungan Manajemen Internal"/>
    <n v="958"/>
    <x v="2"/>
    <n v="311"/>
    <x v="5"/>
    <s v="A"/>
    <x v="8"/>
    <n v="521211"/>
    <x v="0"/>
    <x v="29"/>
    <n v="144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n v="0"/>
    <n v="0"/>
    <n v="47132450"/>
    <n v="0"/>
    <n v="20031830"/>
    <n v="0"/>
    <n v="0"/>
    <n v="0"/>
    <n v="0"/>
    <n v="0"/>
    <n v="0"/>
    <n v="0"/>
    <x v="0"/>
    <x v="2"/>
    <x v="4"/>
    <s v="52"/>
    <s v="SEKRETARIAT BADAN RISET DAN SUMBERDAYA MANUSIA KELAUTAN DAN PERIKANAN"/>
    <n v="67164280"/>
    <n v="81.377711003949884"/>
    <n v="15369720"/>
    <n v="18.622288996050113"/>
    <s v="WA.2378.EBA.962.301.E.521241"/>
    <s v="COVID"/>
    <s v="BELANJA JASA"/>
    <s v="Belanja Barang Non Operasional"/>
  </r>
  <r>
    <s v="032"/>
    <s v="12"/>
    <s v="WA"/>
    <x v="1"/>
    <s v="2378"/>
    <x v="1"/>
    <s v="EBA"/>
    <s v="2378.EBA. Layanan Dukungan Manajemen Internal"/>
    <n v="962"/>
    <x v="3"/>
    <n v="301"/>
    <x v="6"/>
    <s v="E"/>
    <x v="13"/>
    <n v="522191"/>
    <x v="10"/>
    <x v="44"/>
    <n v="35000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n v="994"/>
    <x v="4"/>
    <s v="002"/>
    <x v="7"/>
    <s v="GA"/>
    <x v="18"/>
    <n v="521811"/>
    <x v="4"/>
    <x v="58"/>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BA"/>
    <s v="2378.EBA. Layanan Dukungan Manajemen Internal"/>
    <n v="994"/>
    <x v="4"/>
    <s v="002"/>
    <x v="7"/>
    <s v="GB"/>
    <x v="19"/>
    <n v="521114"/>
    <x v="12"/>
    <x v="10"/>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BA"/>
    <s v="2378.EBA. Layanan Dukungan Manajemen Internal"/>
    <n v="994"/>
    <x v="4"/>
    <s v="002"/>
    <x v="7"/>
    <s v="GB"/>
    <x v="19"/>
    <n v="522141"/>
    <x v="8"/>
    <x v="59"/>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BA"/>
    <s v="2378.EBA. Layanan Dukungan Manajemen Internal"/>
    <n v="994"/>
    <x v="4"/>
    <s v="002"/>
    <x v="7"/>
    <s v="GD"/>
    <x v="21"/>
    <n v="521115"/>
    <x v="15"/>
    <x v="63"/>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BA"/>
    <s v="2378.EBA. Layanan Dukungan Manajemen Internal"/>
    <n v="994"/>
    <x v="4"/>
    <s v="002"/>
    <x v="7"/>
    <s v="GE"/>
    <x v="22"/>
    <n v="521111"/>
    <x v="11"/>
    <x v="30"/>
    <n v="45000000"/>
    <n v="0"/>
    <n v="0"/>
    <n v="0"/>
    <n v="0"/>
    <n v="0"/>
    <n v="0"/>
    <n v="0"/>
    <n v="0"/>
    <n v="0"/>
    <n v="0"/>
    <n v="0"/>
    <n v="0"/>
    <x v="0"/>
    <x v="2"/>
    <x v="4"/>
    <s v="52"/>
    <s v="SEKRETARIAT BADAN RISET DAN SUMBERDAYA MANUSIA KELAUTAN DAN PERIKANAN"/>
    <n v="0"/>
    <n v="0"/>
    <n v="0"/>
    <n v="0"/>
    <s v="WA.2378.EBA.994.002.GE.521111"/>
    <s v="Non COVID"/>
    <s v="BELANJA PERKANTORAN"/>
    <s v="Belanja Barang Operasional"/>
  </r>
  <r>
    <s v="032"/>
    <s v="12"/>
    <s v="WA"/>
    <x v="1"/>
    <s v="2378"/>
    <x v="1"/>
    <s v="EBA"/>
    <s v="2378.EBA. Layanan Dukungan Manajemen Internal"/>
    <n v="994"/>
    <x v="4"/>
    <s v="002"/>
    <x v="7"/>
    <s v="GE"/>
    <x v="22"/>
    <n v="521811"/>
    <x v="4"/>
    <x v="30"/>
    <n v="26000000"/>
    <n v="0"/>
    <n v="0"/>
    <n v="0"/>
    <n v="0"/>
    <n v="0"/>
    <n v="0"/>
    <n v="0"/>
    <n v="0"/>
    <n v="0"/>
    <n v="0"/>
    <n v="0"/>
    <n v="0"/>
    <x v="0"/>
    <x v="2"/>
    <x v="4"/>
    <s v="52"/>
    <s v="SEKRETARIAT BADAN RISET DAN SUMBERDAYA MANUSIA KELAUTAN DAN PERIKANAN"/>
    <n v="0"/>
    <n v="0"/>
    <n v="0"/>
    <n v="0"/>
    <s v="WA.2378.EBA.994.002.GE.521811"/>
    <s v="Non COVID"/>
    <s v="BELANJA PERSEDIAAN"/>
    <s v="Belanja Barang Operasional"/>
  </r>
  <r>
    <s v="032"/>
    <s v="12"/>
    <s v="WA"/>
    <x v="1"/>
    <s v="2378"/>
    <x v="1"/>
    <s v="EBA"/>
    <s v="2378.EBA. Layanan Dukungan Manajemen Internal"/>
    <n v="994"/>
    <x v="4"/>
    <s v="002"/>
    <x v="7"/>
    <s v="GE"/>
    <x v="22"/>
    <n v="523121"/>
    <x v="13"/>
    <x v="30"/>
    <n v="2900000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n v="0"/>
    <n v="0"/>
    <n v="0"/>
    <n v="0"/>
    <n v="540000000"/>
    <n v="0"/>
    <n v="0"/>
    <n v="0"/>
    <n v="0"/>
    <n v="0"/>
    <n v="0"/>
    <n v="0"/>
    <x v="0"/>
    <x v="2"/>
    <x v="4"/>
    <n v="53"/>
    <s v="SEKRETARIAT BADAN RISET DAN SUMBERDAYA MANUSIA KELAUTAN DAN PERIKANAN"/>
    <n v="540000000"/>
    <n v="100"/>
    <n v="0"/>
    <n v="0"/>
    <s v="WA.2378.EBB.951.301.A.532111"/>
    <s v="Non COVID"/>
    <s v="BELANJA MODAL"/>
    <s v="Belanja Barang Non Operasional"/>
  </r>
  <r>
    <s v="032"/>
    <s v="12"/>
    <s v="WA"/>
    <x v="1"/>
    <s v="2378"/>
    <x v="1"/>
    <s v="EBD"/>
    <s v="2378.EBD. Layanan Manajemen Kinerja Internal"/>
    <n v="952"/>
    <x v="6"/>
    <n v="301"/>
    <x v="9"/>
    <s v="A"/>
    <x v="24"/>
    <n v="521211"/>
    <x v="0"/>
    <x v="9"/>
    <n v="22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n v="0"/>
    <n v="0"/>
    <n v="2459000"/>
    <n v="0"/>
    <n v="2390000"/>
    <n v="0"/>
    <n v="0"/>
    <n v="0"/>
    <n v="0"/>
    <n v="0"/>
    <n v="0"/>
    <n v="0"/>
    <x v="0"/>
    <x v="3"/>
    <x v="5"/>
    <s v="52"/>
    <s v="SEKRETARIAT BADAN RISET DAN SUMBERDAYA MANUSIA KELAUTAN DAN PERIKANAN"/>
    <n v="4849000"/>
    <n v="48.49"/>
    <n v="5151000"/>
    <n v="51.51"/>
    <s v="WA.2378.EBD.952.301.A.521811"/>
    <s v="Non COVID"/>
    <s v="BELANJA PERSEDIAAN"/>
    <s v="Belanja Barang Non Operasional"/>
  </r>
  <r>
    <s v="032"/>
    <s v="12"/>
    <s v="WA"/>
    <x v="1"/>
    <s v="2378"/>
    <x v="1"/>
    <s v="EBD"/>
    <s v="2378.EBD. Layanan Manajemen Kinerja Internal"/>
    <n v="952"/>
    <x v="6"/>
    <n v="301"/>
    <x v="9"/>
    <s v="A"/>
    <x v="24"/>
    <n v="524111"/>
    <x v="2"/>
    <x v="66"/>
    <n v="62400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BELANJA PERSEDIAAN"/>
    <s v="Belanja Barang Non Operasional"/>
  </r>
  <r>
    <s v="032"/>
    <s v="12"/>
    <s v="WA"/>
    <x v="1"/>
    <s v="2378"/>
    <x v="1"/>
    <s v="EBD"/>
    <s v="2378.EBD. Layanan Manajemen Kinerja Internal"/>
    <n v="952"/>
    <x v="6"/>
    <n v="301"/>
    <x v="9"/>
    <s v="B"/>
    <x v="25"/>
    <n v="522151"/>
    <x v="1"/>
    <x v="30"/>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n v="0"/>
    <n v="0"/>
    <n v="4947750"/>
    <n v="0"/>
    <n v="4878000"/>
    <n v="0"/>
    <n v="0"/>
    <n v="0"/>
    <n v="0"/>
    <n v="0"/>
    <n v="0"/>
    <n v="0"/>
    <x v="0"/>
    <x v="3"/>
    <x v="5"/>
    <s v="52"/>
    <s v="SEKRETARIAT BADAN RISET DAN SUMBERDAYA MANUSIA KELAUTAN DAN PERIKANAN"/>
    <n v="9825750"/>
    <n v="56.14714285714286"/>
    <n v="7674250"/>
    <n v="43.852857142857147"/>
    <s v="WA.2378.EBD.952.301.C.521811"/>
    <s v="Non COVID"/>
    <s v="BELANJA PERSEDIAAN"/>
    <s v="Belanja Barang Non Operasional"/>
  </r>
  <r>
    <s v="032"/>
    <s v="12"/>
    <s v="WA"/>
    <x v="1"/>
    <s v="2378"/>
    <x v="1"/>
    <s v="EBD"/>
    <s v="2378.EBD. Layanan Manajemen Kinerja Internal"/>
    <n v="952"/>
    <x v="6"/>
    <n v="301"/>
    <x v="9"/>
    <s v="C"/>
    <x v="26"/>
    <n v="522151"/>
    <x v="1"/>
    <x v="30"/>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x v="86"/>
    <n v="56380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x v="16"/>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x v="9"/>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n v="0"/>
    <n v="0"/>
    <n v="0"/>
    <n v="0"/>
    <n v="4845000"/>
    <n v="0"/>
    <n v="0"/>
    <n v="0"/>
    <n v="0"/>
    <n v="0"/>
    <n v="0"/>
    <n v="0"/>
    <x v="0"/>
    <x v="3"/>
    <x v="5"/>
    <s v="52"/>
    <s v="SEKRETARIAT BADAN RISET DAN SUMBERDAYA MANUSIA KELAUTAN DAN PERIKANAN"/>
    <n v="4845000"/>
    <n v="16.150000000000002"/>
    <n v="25155000"/>
    <n v="83.850000000000009"/>
    <s v="WA.4345.EBC.996.302.A.521811"/>
    <s v="Non COVID"/>
    <s v="BELANJA PERSEDIAAN"/>
    <s v="Belanja Barang Non Operasional"/>
  </r>
  <r>
    <s v="032"/>
    <s v="12"/>
    <s v="WA"/>
    <x v="1"/>
    <s v="4345"/>
    <x v="2"/>
    <s v="EBC"/>
    <s v="4345.EAM. Layanan Manajemen SDM Internal"/>
    <n v="996"/>
    <x v="9"/>
    <n v="302"/>
    <x v="14"/>
    <s v="A"/>
    <x v="40"/>
    <n v="524111"/>
    <x v="2"/>
    <x v="95"/>
    <n v="5420000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5">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0"/>
    <field x="3"/>
    <field x="5"/>
    <field x="31"/>
    <field x="32"/>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4"/>
    </i>
    <i r="6">
      <x v="15"/>
    </i>
    <i r="7">
      <x v="34"/>
    </i>
    <i r="8">
      <x/>
    </i>
    <i r="8">
      <x v="6"/>
    </i>
    <i r="7">
      <x v="35"/>
    </i>
    <i r="8">
      <x v="1"/>
    </i>
    <i r="8">
      <x v="7"/>
    </i>
    <i r="7">
      <x v="36"/>
    </i>
    <i r="8">
      <x v="11"/>
    </i>
    <i r="8">
      <x v="12"/>
    </i>
    <i r="7">
      <x v="37"/>
    </i>
    <i r="8">
      <x/>
    </i>
    <i r="8">
      <x v="2"/>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5" baseField="0" baseItem="0" numFmtId="41"/>
    <dataField name="Real % " fld="44" baseField="0" baseItem="0" numFmtId="2"/>
    <dataField name="Sisa " fld="37" baseField="0" baseItem="0" numFmtId="41"/>
    <dataField name="Sisa % " fld="43" baseField="0" baseItem="0" numFmtId="2"/>
  </dataFields>
  <formats count="488">
    <format dxfId="731">
      <pivotArea outline="0" collapsedLevelsAreSubtotals="1" fieldPosition="0">
        <references count="1">
          <reference field="4294967294" count="1" selected="0">
            <x v="2"/>
          </reference>
        </references>
      </pivotArea>
    </format>
    <format dxfId="730">
      <pivotArea outline="0" collapsedLevelsAreSubtotals="1" fieldPosition="0">
        <references count="1">
          <reference field="4294967294" count="1" selected="0">
            <x v="4"/>
          </reference>
        </references>
      </pivotArea>
    </format>
    <format dxfId="729">
      <pivotArea outline="0" collapsedLevelsAreSubtotals="1" fieldPosition="0">
        <references count="1">
          <reference field="4294967294" count="1" selected="0">
            <x v="3"/>
          </reference>
        </references>
      </pivotArea>
    </format>
    <format dxfId="728">
      <pivotArea outline="0" collapsedLevelsAreSubtotals="1" fieldPosition="0">
        <references count="1">
          <reference field="4294967294" count="1" selected="0">
            <x v="1"/>
          </reference>
        </references>
      </pivotArea>
    </format>
    <format dxfId="727">
      <pivotArea outline="0" collapsedLevelsAreSubtotals="1" fieldPosition="0">
        <references count="1">
          <reference field="4294967294" count="1" selected="0">
            <x v="0"/>
          </reference>
        </references>
      </pivotArea>
    </format>
    <format dxfId="726">
      <pivotArea dataOnly="0" labelOnly="1" fieldPosition="0">
        <references count="1">
          <reference field="3" count="0"/>
        </references>
      </pivotArea>
    </format>
    <format dxfId="725">
      <pivotArea dataOnly="0" labelOnly="1" fieldPosition="0">
        <references count="1">
          <reference field="5" count="0"/>
        </references>
      </pivotArea>
    </format>
    <format dxfId="724">
      <pivotArea dataOnly="0" labelOnly="1" fieldPosition="0">
        <references count="1">
          <reference field="9" count="0"/>
        </references>
      </pivotArea>
    </format>
    <format dxfId="723">
      <pivotArea dataOnly="0" labelOnly="1" fieldPosition="0">
        <references count="1">
          <reference field="11" count="0"/>
        </references>
      </pivotArea>
    </format>
    <format dxfId="722">
      <pivotArea dataOnly="0" labelOnly="1" fieldPosition="0">
        <references count="1">
          <reference field="13" count="0"/>
        </references>
      </pivotArea>
    </format>
    <format dxfId="721">
      <pivotArea dataOnly="0" labelOnly="1" outline="0" fieldPosition="0">
        <references count="1">
          <reference field="4294967294" count="5">
            <x v="0"/>
            <x v="1"/>
            <x v="2"/>
            <x v="3"/>
            <x v="4"/>
          </reference>
        </references>
      </pivotArea>
    </format>
    <format dxfId="720">
      <pivotArea type="all" dataOnly="0" outline="0" fieldPosition="0"/>
    </format>
    <format dxfId="719">
      <pivotArea outline="0" collapsedLevelsAreSubtotals="1" fieldPosition="0"/>
    </format>
    <format dxfId="718">
      <pivotArea field="3" type="button" dataOnly="0" labelOnly="1" outline="0" axis="axisRow" fieldPosition="1"/>
    </format>
    <format dxfId="717">
      <pivotArea dataOnly="0" labelOnly="1" fieldPosition="0">
        <references count="1">
          <reference field="3" count="0"/>
        </references>
      </pivotArea>
    </format>
    <format dxfId="716">
      <pivotArea dataOnly="0" labelOnly="1" grandRow="1" outline="0" fieldPosition="0"/>
    </format>
    <format dxfId="715">
      <pivotArea dataOnly="0" labelOnly="1" fieldPosition="0">
        <references count="2">
          <reference field="3" count="1" selected="0">
            <x v="0"/>
          </reference>
          <reference field="5" count="1">
            <x v="0"/>
          </reference>
        </references>
      </pivotArea>
    </format>
    <format dxfId="714">
      <pivotArea dataOnly="0" labelOnly="1" fieldPosition="0">
        <references count="2">
          <reference field="3" count="1" selected="0">
            <x v="1"/>
          </reference>
          <reference field="5" count="2">
            <x v="1"/>
            <x v="2"/>
          </reference>
        </references>
      </pivotArea>
    </format>
    <format dxfId="713">
      <pivotArea dataOnly="0" labelOnly="1" fieldPosition="0">
        <references count="3">
          <reference field="3" count="1" selected="0">
            <x v="0"/>
          </reference>
          <reference field="5" count="1" selected="0">
            <x v="0"/>
          </reference>
          <reference field="9" count="1">
            <x v="0"/>
          </reference>
        </references>
      </pivotArea>
    </format>
    <format dxfId="712">
      <pivotArea dataOnly="0" labelOnly="1" fieldPosition="0">
        <references count="3">
          <reference field="3" count="1" selected="0">
            <x v="1"/>
          </reference>
          <reference field="5" count="1" selected="0">
            <x v="1"/>
          </reference>
          <reference field="9" count="8">
            <x v="1"/>
            <x v="2"/>
            <x v="3"/>
            <x v="4"/>
            <x v="5"/>
            <x v="6"/>
            <x v="7"/>
            <x v="8"/>
          </reference>
        </references>
      </pivotArea>
    </format>
    <format dxfId="711">
      <pivotArea dataOnly="0" labelOnly="1" fieldPosition="0">
        <references count="3">
          <reference field="3" count="1" selected="0">
            <x v="1"/>
          </reference>
          <reference field="5" count="1" selected="0">
            <x v="2"/>
          </reference>
          <reference field="9" count="1">
            <x v="9"/>
          </reference>
        </references>
      </pivotArea>
    </format>
    <format dxfId="71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0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0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0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0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0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0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0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0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0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0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9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9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9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9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9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9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9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9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9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9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8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8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8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8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field="3" type="button" dataOnly="0" labelOnly="1" outline="0" axis="axisRow" fieldPosition="1"/>
    </format>
    <format dxfId="681">
      <pivotArea dataOnly="0" labelOnly="1" fieldPosition="0">
        <references count="1">
          <reference field="3" count="0"/>
        </references>
      </pivotArea>
    </format>
    <format dxfId="680">
      <pivotArea dataOnly="0" labelOnly="1" grandRow="1" outline="0" fieldPosition="0"/>
    </format>
    <format dxfId="679">
      <pivotArea dataOnly="0" labelOnly="1" fieldPosition="0">
        <references count="2">
          <reference field="3" count="1" selected="0">
            <x v="0"/>
          </reference>
          <reference field="5" count="1">
            <x v="0"/>
          </reference>
        </references>
      </pivotArea>
    </format>
    <format dxfId="678">
      <pivotArea dataOnly="0" labelOnly="1" fieldPosition="0">
        <references count="2">
          <reference field="3" count="1" selected="0">
            <x v="1"/>
          </reference>
          <reference field="5" count="2">
            <x v="1"/>
            <x v="2"/>
          </reference>
        </references>
      </pivotArea>
    </format>
    <format dxfId="677">
      <pivotArea dataOnly="0" labelOnly="1" fieldPosition="0">
        <references count="3">
          <reference field="3" count="1" selected="0">
            <x v="0"/>
          </reference>
          <reference field="5" count="1" selected="0">
            <x v="0"/>
          </reference>
          <reference field="9" count="1">
            <x v="0"/>
          </reference>
        </references>
      </pivotArea>
    </format>
    <format dxfId="676">
      <pivotArea dataOnly="0" labelOnly="1" fieldPosition="0">
        <references count="3">
          <reference field="3" count="1" selected="0">
            <x v="1"/>
          </reference>
          <reference field="5" count="1" selected="0">
            <x v="1"/>
          </reference>
          <reference field="9" count="8">
            <x v="1"/>
            <x v="2"/>
            <x v="3"/>
            <x v="4"/>
            <x v="5"/>
            <x v="6"/>
            <x v="7"/>
            <x v="8"/>
          </reference>
        </references>
      </pivotArea>
    </format>
    <format dxfId="675">
      <pivotArea dataOnly="0" labelOnly="1" fieldPosition="0">
        <references count="3">
          <reference field="3" count="1" selected="0">
            <x v="1"/>
          </reference>
          <reference field="5" count="1" selected="0">
            <x v="2"/>
          </reference>
          <reference field="9" count="1">
            <x v="9"/>
          </reference>
        </references>
      </pivotArea>
    </format>
    <format dxfId="67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7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7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7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7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6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6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6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6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6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6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6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6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6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6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5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5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5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5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5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5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5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5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5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5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49">
      <pivotArea dataOnly="0" labelOnly="1" outline="0" fieldPosition="0">
        <references count="1">
          <reference field="4294967294" count="5">
            <x v="0"/>
            <x v="1"/>
            <x v="2"/>
            <x v="3"/>
            <x v="4"/>
          </reference>
        </references>
      </pivotArea>
    </format>
    <format dxfId="648">
      <pivotArea collapsedLevelsAreSubtotals="1" fieldPosition="0">
        <references count="1">
          <reference field="3" count="1">
            <x v="0"/>
          </reference>
        </references>
      </pivotArea>
    </format>
    <format dxfId="647">
      <pivotArea collapsedLevelsAreSubtotals="1" fieldPosition="0">
        <references count="1">
          <reference field="3" count="1">
            <x v="1"/>
          </reference>
        </references>
      </pivotArea>
    </format>
    <format dxfId="646">
      <pivotArea collapsedLevelsAreSubtotals="1" fieldPosition="0">
        <references count="3">
          <reference field="3" count="1" selected="0">
            <x v="0"/>
          </reference>
          <reference field="5" count="1" selected="0">
            <x v="0"/>
          </reference>
          <reference field="9" count="1">
            <x v="0"/>
          </reference>
        </references>
      </pivotArea>
    </format>
    <format dxfId="645">
      <pivotArea collapsedLevelsAreSubtotals="1" fieldPosition="0">
        <references count="3">
          <reference field="3" count="1" selected="0">
            <x v="1"/>
          </reference>
          <reference field="5" count="1" selected="0">
            <x v="1"/>
          </reference>
          <reference field="9" count="1">
            <x v="1"/>
          </reference>
        </references>
      </pivotArea>
    </format>
    <format dxfId="644">
      <pivotArea collapsedLevelsAreSubtotals="1" fieldPosition="0">
        <references count="3">
          <reference field="3" count="1" selected="0">
            <x v="1"/>
          </reference>
          <reference field="5" count="1" selected="0">
            <x v="1"/>
          </reference>
          <reference field="9" count="1">
            <x v="2"/>
          </reference>
        </references>
      </pivotArea>
    </format>
    <format dxfId="643">
      <pivotArea collapsedLevelsAreSubtotals="1" fieldPosition="0">
        <references count="3">
          <reference field="3" count="1" selected="0">
            <x v="1"/>
          </reference>
          <reference field="5" count="1" selected="0">
            <x v="1"/>
          </reference>
          <reference field="9" count="1">
            <x v="3"/>
          </reference>
        </references>
      </pivotArea>
    </format>
    <format dxfId="642">
      <pivotArea collapsedLevelsAreSubtotals="1" fieldPosition="0">
        <references count="3">
          <reference field="3" count="1" selected="0">
            <x v="1"/>
          </reference>
          <reference field="5" count="1" selected="0">
            <x v="1"/>
          </reference>
          <reference field="9" count="1">
            <x v="4"/>
          </reference>
        </references>
      </pivotArea>
    </format>
    <format dxfId="641">
      <pivotArea collapsedLevelsAreSubtotals="1" fieldPosition="0">
        <references count="3">
          <reference field="3" count="1" selected="0">
            <x v="1"/>
          </reference>
          <reference field="5" count="1" selected="0">
            <x v="1"/>
          </reference>
          <reference field="9" count="1">
            <x v="5"/>
          </reference>
        </references>
      </pivotArea>
    </format>
    <format dxfId="640">
      <pivotArea collapsedLevelsAreSubtotals="1" fieldPosition="0">
        <references count="3">
          <reference field="3" count="1" selected="0">
            <x v="1"/>
          </reference>
          <reference field="5" count="1" selected="0">
            <x v="1"/>
          </reference>
          <reference field="9" count="1">
            <x v="6"/>
          </reference>
        </references>
      </pivotArea>
    </format>
    <format dxfId="639">
      <pivotArea collapsedLevelsAreSubtotals="1" fieldPosition="0">
        <references count="3">
          <reference field="3" count="1" selected="0">
            <x v="1"/>
          </reference>
          <reference field="5" count="1" selected="0">
            <x v="1"/>
          </reference>
          <reference field="9" count="1">
            <x v="7"/>
          </reference>
        </references>
      </pivotArea>
    </format>
    <format dxfId="638">
      <pivotArea collapsedLevelsAreSubtotals="1" fieldPosition="0">
        <references count="3">
          <reference field="3" count="1" selected="0">
            <x v="1"/>
          </reference>
          <reference field="5" count="1" selected="0">
            <x v="1"/>
          </reference>
          <reference field="9" count="1">
            <x v="8"/>
          </reference>
        </references>
      </pivotArea>
    </format>
    <format dxfId="637">
      <pivotArea collapsedLevelsAreSubtotals="1" fieldPosition="0">
        <references count="3">
          <reference field="3" count="1" selected="0">
            <x v="1"/>
          </reference>
          <reference field="5" count="1" selected="0">
            <x v="2"/>
          </reference>
          <reference field="9" count="1">
            <x v="9"/>
          </reference>
        </references>
      </pivotArea>
    </format>
    <format dxfId="636">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635">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634">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63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632">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631">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630">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629">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62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627">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626">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625">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624">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62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622">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62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62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619">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61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61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615">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4">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1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1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61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61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60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60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60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60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6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6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60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60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60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60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9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9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9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9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9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9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9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92">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9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9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8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8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8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8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8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8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8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8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81">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80">
      <pivotArea collapsedLevelsAreSubtotals="1" fieldPosition="0">
        <references count="2">
          <reference field="3" count="1" selected="0">
            <x v="1"/>
          </reference>
          <reference field="5" count="1">
            <x v="1"/>
          </reference>
        </references>
      </pivotArea>
    </format>
    <format dxfId="579">
      <pivotArea field="3" type="button" dataOnly="0" labelOnly="1" outline="0" axis="axisRow" fieldPosition="1"/>
    </format>
    <format dxfId="578">
      <pivotArea collapsedLevelsAreSubtotals="1" fieldPosition="0">
        <references count="2">
          <reference field="3" count="1" selected="0">
            <x v="1"/>
          </reference>
          <reference field="5" count="1">
            <x v="2"/>
          </reference>
        </references>
      </pivotArea>
    </format>
    <format dxfId="577">
      <pivotArea collapsedLevelsAreSubtotals="1" fieldPosition="0">
        <references count="2">
          <reference field="3" count="1" selected="0">
            <x v="0"/>
          </reference>
          <reference field="5" count="1">
            <x v="0"/>
          </reference>
        </references>
      </pivotArea>
    </format>
    <format dxfId="576">
      <pivotArea field="3" type="button" dataOnly="0" labelOnly="1" outline="0" axis="axisRow" fieldPosition="1"/>
    </format>
    <format dxfId="575">
      <pivotArea dataOnly="0" labelOnly="1" outline="0" fieldPosition="0">
        <references count="1">
          <reference field="4294967294" count="5">
            <x v="0"/>
            <x v="1"/>
            <x v="2"/>
            <x v="3"/>
            <x v="4"/>
          </reference>
        </references>
      </pivotArea>
    </format>
    <format dxfId="574">
      <pivotArea field="3" type="button" dataOnly="0" labelOnly="1" outline="0" axis="axisRow" fieldPosition="1"/>
    </format>
    <format dxfId="573">
      <pivotArea dataOnly="0" labelOnly="1" outline="0" fieldPosition="0">
        <references count="1">
          <reference field="4294967294" count="5">
            <x v="0"/>
            <x v="1"/>
            <x v="2"/>
            <x v="3"/>
            <x v="4"/>
          </reference>
        </references>
      </pivotArea>
    </format>
    <format dxfId="572">
      <pivotArea field="3" type="button" dataOnly="0" labelOnly="1" outline="0" axis="axisRow" fieldPosition="1"/>
    </format>
    <format dxfId="571">
      <pivotArea dataOnly="0" labelOnly="1" fieldPosition="0">
        <references count="1">
          <reference field="3" count="0"/>
        </references>
      </pivotArea>
    </format>
    <format dxfId="570">
      <pivotArea dataOnly="0" labelOnly="1" grandRow="1" outline="0" fieldPosition="0"/>
    </format>
    <format dxfId="569">
      <pivotArea dataOnly="0" labelOnly="1" fieldPosition="0">
        <references count="2">
          <reference field="3" count="1" selected="0">
            <x v="0"/>
          </reference>
          <reference field="5" count="1">
            <x v="0"/>
          </reference>
        </references>
      </pivotArea>
    </format>
    <format dxfId="568">
      <pivotArea dataOnly="0" labelOnly="1" fieldPosition="0">
        <references count="2">
          <reference field="3" count="1" selected="0">
            <x v="1"/>
          </reference>
          <reference field="5" count="2">
            <x v="1"/>
            <x v="2"/>
          </reference>
        </references>
      </pivotArea>
    </format>
    <format dxfId="567">
      <pivotArea dataOnly="0" labelOnly="1" fieldPosition="0">
        <references count="3">
          <reference field="3" count="1" selected="0">
            <x v="0"/>
          </reference>
          <reference field="5" count="1" selected="0">
            <x v="0"/>
          </reference>
          <reference field="9" count="1">
            <x v="0"/>
          </reference>
        </references>
      </pivotArea>
    </format>
    <format dxfId="566">
      <pivotArea dataOnly="0" labelOnly="1" fieldPosition="0">
        <references count="3">
          <reference field="3" count="1" selected="0">
            <x v="1"/>
          </reference>
          <reference field="5" count="1" selected="0">
            <x v="1"/>
          </reference>
          <reference field="9" count="8">
            <x v="1"/>
            <x v="2"/>
            <x v="3"/>
            <x v="4"/>
            <x v="5"/>
            <x v="6"/>
            <x v="7"/>
            <x v="8"/>
          </reference>
        </references>
      </pivotArea>
    </format>
    <format dxfId="565">
      <pivotArea dataOnly="0" labelOnly="1" fieldPosition="0">
        <references count="3">
          <reference field="3" count="1" selected="0">
            <x v="1"/>
          </reference>
          <reference field="5" count="1" selected="0">
            <x v="2"/>
          </reference>
          <reference field="9" count="1">
            <x v="9"/>
          </reference>
        </references>
      </pivotArea>
    </format>
    <format dxfId="56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6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6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6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6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5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5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5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5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5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5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5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5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5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5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4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4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4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4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4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54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54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54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54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9">
      <pivotArea dataOnly="0" labelOnly="1" fieldPosition="0">
        <references count="1">
          <reference field="13" count="0"/>
        </references>
      </pivotArea>
    </format>
    <format dxfId="538">
      <pivotArea dataOnly="0" labelOnly="1" fieldPosition="0">
        <references count="1">
          <reference field="13" count="0"/>
        </references>
      </pivotArea>
    </format>
    <format dxfId="537">
      <pivotArea type="all" dataOnly="0" outline="0" fieldPosition="0"/>
    </format>
    <format dxfId="536">
      <pivotArea outline="0" collapsedLevelsAreSubtotals="1" fieldPosition="0"/>
    </format>
    <format dxfId="535">
      <pivotArea field="30" type="button" dataOnly="0" labelOnly="1" outline="0" axis="axisRow" fieldPosition="0"/>
    </format>
    <format dxfId="534">
      <pivotArea dataOnly="0" labelOnly="1" grandRow="1" outline="0" fieldPosition="0"/>
    </format>
    <format dxfId="533">
      <pivotArea dataOnly="0" labelOnly="1" fieldPosition="0">
        <references count="2">
          <reference field="3" count="0"/>
          <reference field="30" count="0" selected="0"/>
        </references>
      </pivotArea>
    </format>
    <format dxfId="532">
      <pivotArea dataOnly="0" labelOnly="1" fieldPosition="0">
        <references count="3">
          <reference field="3" count="1" selected="0">
            <x v="0"/>
          </reference>
          <reference field="5" count="1">
            <x v="0"/>
          </reference>
          <reference field="30" count="0" selected="0"/>
        </references>
      </pivotArea>
    </format>
    <format dxfId="531">
      <pivotArea dataOnly="0" labelOnly="1" fieldPosition="0">
        <references count="3">
          <reference field="3" count="1" selected="0">
            <x v="1"/>
          </reference>
          <reference field="5" count="2">
            <x v="1"/>
            <x v="2"/>
          </reference>
          <reference field="30" count="0" selected="0"/>
        </references>
      </pivotArea>
    </format>
    <format dxfId="530">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1"/>
          </reference>
        </references>
      </pivotArea>
    </format>
    <format dxfId="529">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2"/>
          </reference>
        </references>
      </pivotArea>
    </format>
    <format dxfId="528">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4"/>
          </reference>
        </references>
      </pivotArea>
    </format>
    <format dxfId="527">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6"/>
          </reference>
        </references>
      </pivotArea>
    </format>
    <format dxfId="526">
      <pivotArea dataOnly="0" labelOnly="1" fieldPosition="0">
        <references count="6">
          <reference field="3" count="1" selected="0">
            <x v="1"/>
          </reference>
          <reference field="5" count="1" selected="0">
            <x v="1"/>
          </reference>
          <reference field="9" count="1">
            <x v="3"/>
          </reference>
          <reference field="30" count="0" selected="0"/>
          <reference field="31" count="1" selected="0">
            <x v="0"/>
          </reference>
          <reference field="32" count="1" selected="0">
            <x v="2"/>
          </reference>
        </references>
      </pivotArea>
    </format>
    <format dxfId="525">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4"/>
          </reference>
        </references>
      </pivotArea>
    </format>
    <format dxfId="524">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6"/>
          </reference>
        </references>
      </pivotArea>
    </format>
    <format dxfId="523">
      <pivotArea dataOnly="0" labelOnly="1" fieldPosition="0">
        <references count="6">
          <reference field="3" count="1" selected="0">
            <x v="1"/>
          </reference>
          <reference field="5" count="1" selected="0">
            <x v="1"/>
          </reference>
          <reference field="9" count="1">
            <x v="7"/>
          </reference>
          <reference field="30" count="0" selected="0"/>
          <reference field="31" count="1" selected="0">
            <x v="2"/>
          </reference>
          <reference field="32" count="1" selected="0">
            <x v="0"/>
          </reference>
        </references>
      </pivotArea>
    </format>
    <format dxfId="522">
      <pivotArea dataOnly="0" labelOnly="1" fieldPosition="0">
        <references count="6">
          <reference field="3" count="1" selected="0">
            <x v="1"/>
          </reference>
          <reference field="5" count="1" selected="0">
            <x v="1"/>
          </reference>
          <reference field="9" count="2">
            <x v="2"/>
            <x v="6"/>
          </reference>
          <reference field="30" count="0" selected="0"/>
          <reference field="31" count="1" selected="0">
            <x v="2"/>
          </reference>
          <reference field="32" count="1" selected="0">
            <x v="5"/>
          </reference>
        </references>
      </pivotArea>
    </format>
    <format dxfId="521">
      <pivotArea dataOnly="0" labelOnly="1" fieldPosition="0">
        <references count="6">
          <reference field="3" count="1" selected="0">
            <x v="1"/>
          </reference>
          <reference field="5" count="1" selected="0">
            <x v="1"/>
          </reference>
          <reference field="9" count="1">
            <x v="8"/>
          </reference>
          <reference field="30" count="0" selected="0"/>
          <reference field="31" count="1" selected="0">
            <x v="3"/>
          </reference>
          <reference field="32" count="1" selected="0">
            <x v="3"/>
          </reference>
        </references>
      </pivotArea>
    </format>
    <format dxfId="520">
      <pivotArea dataOnly="0" labelOnly="1" fieldPosition="0">
        <references count="6">
          <reference field="3" count="1" selected="0">
            <x v="1"/>
          </reference>
          <reference field="5" count="1" selected="0">
            <x v="1"/>
          </reference>
          <reference field="9" count="4">
            <x v="1"/>
            <x v="3"/>
            <x v="4"/>
            <x v="5"/>
          </reference>
          <reference field="30" count="0" selected="0"/>
          <reference field="31" count="1" selected="0">
            <x v="3"/>
          </reference>
          <reference field="32" count="1" selected="0">
            <x v="7"/>
          </reference>
        </references>
      </pivotArea>
    </format>
    <format dxfId="519">
      <pivotArea dataOnly="0" labelOnly="1" fieldPosition="0">
        <references count="6">
          <reference field="3" count="1" selected="0">
            <x v="1"/>
          </reference>
          <reference field="5" count="1" selected="0">
            <x v="2"/>
          </reference>
          <reference field="9" count="1">
            <x v="9"/>
          </reference>
          <reference field="30" count="0" selected="0"/>
          <reference field="31" count="1" selected="0">
            <x v="2"/>
          </reference>
          <reference field="32" count="1" selected="0">
            <x v="5"/>
          </reference>
        </references>
      </pivotArea>
    </format>
    <format dxfId="518">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517">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516">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515">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51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51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512">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511">
      <pivotArea dataOnly="0" labelOnly="1" fieldPosition="0">
        <references count="7">
          <reference field="3" count="1" selected="0">
            <x v="1"/>
          </reference>
          <reference field="5" count="1" selected="0">
            <x v="1"/>
          </reference>
          <reference field="9" count="1" selected="0">
            <x v="7"/>
          </reference>
          <reference field="11" count="2">
            <x v="8"/>
            <x v="13"/>
          </reference>
          <reference field="30" count="0" selected="0"/>
          <reference field="31" count="1" selected="0">
            <x v="2"/>
          </reference>
          <reference field="32" count="1" selected="0">
            <x v="0"/>
          </reference>
        </references>
      </pivotArea>
    </format>
    <format dxfId="510">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509">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508">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507">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506">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505">
      <pivotArea dataOnly="0" labelOnly="1" fieldPosition="0">
        <references count="7">
          <reference field="3" count="1" selected="0">
            <x v="1"/>
          </reference>
          <reference field="5" count="1" selected="0">
            <x v="1"/>
          </reference>
          <reference field="9" count="1" selected="0">
            <x v="4"/>
          </reference>
          <reference field="11" count="1">
            <x v="0"/>
          </reference>
          <reference field="30" count="0" selected="0"/>
          <reference field="31" count="1" selected="0">
            <x v="3"/>
          </reference>
          <reference field="32" count="1" selected="0">
            <x v="7"/>
          </reference>
        </references>
      </pivotArea>
    </format>
    <format dxfId="504">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503">
      <pivotArea dataOnly="0" labelOnly="1" fieldPosition="0">
        <references count="7">
          <reference field="3" count="1" selected="0">
            <x v="1"/>
          </reference>
          <reference field="5" count="1" selected="0">
            <x v="2"/>
          </reference>
          <reference field="9" count="1" selected="0">
            <x v="9"/>
          </reference>
          <reference field="11" count="2">
            <x v="5"/>
            <x v="12"/>
          </reference>
          <reference field="30" count="0" selected="0"/>
          <reference field="31" count="1" selected="0">
            <x v="2"/>
          </reference>
          <reference field="32" count="1" selected="0">
            <x v="5"/>
          </reference>
        </references>
      </pivotArea>
    </format>
    <format dxfId="502">
      <pivotArea dataOnly="0" labelOnly="1" outline="0" fieldPosition="0">
        <references count="1">
          <reference field="4294967294" count="5">
            <x v="0"/>
            <x v="1"/>
            <x v="2"/>
            <x v="3"/>
            <x v="4"/>
          </reference>
        </references>
      </pivotArea>
    </format>
    <format dxfId="501">
      <pivotArea dataOnly="0" labelOnly="1" fieldPosition="0">
        <references count="1">
          <reference field="31" count="0"/>
        </references>
      </pivotArea>
    </format>
    <format dxfId="500">
      <pivotArea dataOnly="0" labelOnly="1" fieldPosition="0">
        <references count="1">
          <reference field="32" count="0"/>
        </references>
      </pivotArea>
    </format>
    <format dxfId="499">
      <pivotArea dataOnly="0" labelOnly="1" fieldPosition="0">
        <references count="1">
          <reference field="32" count="0"/>
        </references>
      </pivotArea>
    </format>
    <format dxfId="498">
      <pivotArea dataOnly="0" labelOnly="1" fieldPosition="0">
        <references count="1">
          <reference field="32" count="0"/>
        </references>
      </pivotArea>
    </format>
    <format dxfId="497">
      <pivotArea dataOnly="0" labelOnly="1" fieldPosition="0">
        <references count="1">
          <reference field="32" count="0"/>
        </references>
      </pivotArea>
    </format>
    <format dxfId="496">
      <pivotArea dataOnly="0" labelOnly="1" fieldPosition="0">
        <references count="1">
          <reference field="31" count="0"/>
        </references>
      </pivotArea>
    </format>
    <format dxfId="495">
      <pivotArea dataOnly="0" labelOnly="1" fieldPosition="0">
        <references count="1">
          <reference field="31" count="0"/>
        </references>
      </pivotArea>
    </format>
    <format dxfId="494">
      <pivotArea dataOnly="0" labelOnly="1" fieldPosition="0">
        <references count="1">
          <reference field="31" count="0"/>
        </references>
      </pivotArea>
    </format>
    <format dxfId="493">
      <pivotArea collapsedLevelsAreSubtotals="1" fieldPosition="0">
        <references count="4">
          <reference field="3" count="1" selected="0">
            <x v="0"/>
          </reference>
          <reference field="5" count="1" selected="0">
            <x v="0"/>
          </reference>
          <reference field="30" count="0" selected="0"/>
          <reference field="31" count="1">
            <x v="0"/>
          </reference>
        </references>
      </pivotArea>
    </format>
    <format dxfId="492">
      <pivotArea dataOnly="0" labelOnly="1" fieldPosition="0">
        <references count="4">
          <reference field="3" count="1" selected="0">
            <x v="0"/>
          </reference>
          <reference field="5" count="1" selected="0">
            <x v="0"/>
          </reference>
          <reference field="30" count="0" selected="0"/>
          <reference field="31" count="1">
            <x v="0"/>
          </reference>
        </references>
      </pivotArea>
    </format>
    <format dxfId="491">
      <pivotArea collapsedLevelsAreSubtotals="1" fieldPosition="0">
        <references count="4">
          <reference field="3" count="1" selected="0">
            <x v="0"/>
          </reference>
          <reference field="5" count="1" selected="0">
            <x v="0"/>
          </reference>
          <reference field="30" count="0" selected="0"/>
          <reference field="31" count="1">
            <x v="1"/>
          </reference>
        </references>
      </pivotArea>
    </format>
    <format dxfId="490">
      <pivotArea dataOnly="0" labelOnly="1" fieldPosition="0">
        <references count="4">
          <reference field="3" count="1" selected="0">
            <x v="0"/>
          </reference>
          <reference field="5" count="1" selected="0">
            <x v="0"/>
          </reference>
          <reference field="30" count="0" selected="0"/>
          <reference field="31" count="1">
            <x v="1"/>
          </reference>
        </references>
      </pivotArea>
    </format>
    <format dxfId="489">
      <pivotArea collapsedLevelsAreSubtotals="1" fieldPosition="0">
        <references count="4">
          <reference field="3" count="1" selected="0">
            <x v="1"/>
          </reference>
          <reference field="5" count="1" selected="0">
            <x v="1"/>
          </reference>
          <reference field="30" count="0" selected="0"/>
          <reference field="31" count="1">
            <x v="0"/>
          </reference>
        </references>
      </pivotArea>
    </format>
    <format dxfId="488">
      <pivotArea dataOnly="0" labelOnly="1" fieldPosition="0">
        <references count="4">
          <reference field="3" count="1" selected="0">
            <x v="1"/>
          </reference>
          <reference field="5" count="1" selected="0">
            <x v="1"/>
          </reference>
          <reference field="30" count="0" selected="0"/>
          <reference field="31" count="1">
            <x v="0"/>
          </reference>
        </references>
      </pivotArea>
    </format>
    <format dxfId="487">
      <pivotArea collapsedLevelsAreSubtotals="1" fieldPosition="0">
        <references count="4">
          <reference field="3" count="1" selected="0">
            <x v="1"/>
          </reference>
          <reference field="5" count="1" selected="0">
            <x v="1"/>
          </reference>
          <reference field="30" count="0" selected="0"/>
          <reference field="31" count="1">
            <x v="1"/>
          </reference>
        </references>
      </pivotArea>
    </format>
    <format dxfId="486">
      <pivotArea dataOnly="0" labelOnly="1" fieldPosition="0">
        <references count="4">
          <reference field="3" count="1" selected="0">
            <x v="1"/>
          </reference>
          <reference field="5" count="1" selected="0">
            <x v="1"/>
          </reference>
          <reference field="30" count="0" selected="0"/>
          <reference field="31" count="1">
            <x v="1"/>
          </reference>
        </references>
      </pivotArea>
    </format>
    <format dxfId="485">
      <pivotArea collapsedLevelsAreSubtotals="1" fieldPosition="0">
        <references count="4">
          <reference field="3" count="1" selected="0">
            <x v="1"/>
          </reference>
          <reference field="5" count="1" selected="0">
            <x v="1"/>
          </reference>
          <reference field="30" count="0" selected="0"/>
          <reference field="31" count="1">
            <x v="2"/>
          </reference>
        </references>
      </pivotArea>
    </format>
    <format dxfId="484">
      <pivotArea dataOnly="0" labelOnly="1" fieldPosition="0">
        <references count="4">
          <reference field="3" count="1" selected="0">
            <x v="1"/>
          </reference>
          <reference field="5" count="1" selected="0">
            <x v="1"/>
          </reference>
          <reference field="30" count="0" selected="0"/>
          <reference field="31" count="1">
            <x v="2"/>
          </reference>
        </references>
      </pivotArea>
    </format>
    <format dxfId="483">
      <pivotArea collapsedLevelsAreSubtotals="1" fieldPosition="0">
        <references count="4">
          <reference field="3" count="1" selected="0">
            <x v="1"/>
          </reference>
          <reference field="5" count="1" selected="0">
            <x v="1"/>
          </reference>
          <reference field="30" count="0" selected="0"/>
          <reference field="31" count="1">
            <x v="3"/>
          </reference>
        </references>
      </pivotArea>
    </format>
    <format dxfId="482">
      <pivotArea dataOnly="0" labelOnly="1" fieldPosition="0">
        <references count="4">
          <reference field="3" count="1" selected="0">
            <x v="1"/>
          </reference>
          <reference field="5" count="1" selected="0">
            <x v="1"/>
          </reference>
          <reference field="30" count="0" selected="0"/>
          <reference field="31" count="1">
            <x v="3"/>
          </reference>
        </references>
      </pivotArea>
    </format>
    <format dxfId="481">
      <pivotArea collapsedLevelsAreSubtotals="1" fieldPosition="0">
        <references count="4">
          <reference field="3" count="1" selected="0">
            <x v="1"/>
          </reference>
          <reference field="5" count="1" selected="0">
            <x v="2"/>
          </reference>
          <reference field="30" count="0" selected="0"/>
          <reference field="31" count="1">
            <x v="2"/>
          </reference>
        </references>
      </pivotArea>
    </format>
    <format dxfId="480">
      <pivotArea dataOnly="0" labelOnly="1" fieldPosition="0">
        <references count="4">
          <reference field="3" count="1" selected="0">
            <x v="1"/>
          </reference>
          <reference field="5" count="1" selected="0">
            <x v="2"/>
          </reference>
          <reference field="30" count="0" selected="0"/>
          <reference field="31" count="1">
            <x v="2"/>
          </reference>
        </references>
      </pivotArea>
    </format>
    <format dxfId="479">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478">
      <pivotArea dataOnly="0" labelOnly="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477">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476">
      <pivotArea dataOnly="0" labelOnly="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475">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474">
      <pivotArea dataOnly="0" labelOnly="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473">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472">
      <pivotArea dataOnly="0" labelOnly="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471">
      <pivotArea collapsedLevelsAreSubtotals="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470">
      <pivotArea dataOnly="0" labelOnly="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469">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468">
      <pivotArea dataOnly="0" labelOnly="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467">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466">
      <pivotArea dataOnly="0" labelOnly="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465">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464">
      <pivotArea dataOnly="0" labelOnly="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463">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462">
      <pivotArea dataOnly="0" labelOnly="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461">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460">
      <pivotArea dataOnly="0" labelOnly="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459">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458">
      <pivotArea dataOnly="0" labelOnly="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457">
      <pivotArea collapsedLevelsAreSubtotals="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456">
      <pivotArea dataOnly="0" labelOnly="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455">
      <pivotArea dataOnly="0" labelOnly="1" fieldPosition="0">
        <references count="1">
          <reference field="30" count="0"/>
        </references>
      </pivotArea>
    </format>
    <format dxfId="454">
      <pivotArea collapsedLevelsAreSubtotals="1" fieldPosition="0">
        <references count="1">
          <reference field="30" count="0"/>
        </references>
      </pivotArea>
    </format>
    <format dxfId="453">
      <pivotArea dataOnly="0" labelOnly="1" fieldPosition="0">
        <references count="1">
          <reference field="30" count="0"/>
        </references>
      </pivotArea>
    </format>
    <format dxfId="452">
      <pivotArea dataOnly="0" labelOnly="1" fieldPosition="0">
        <references count="1">
          <reference field="13" count="0"/>
        </references>
      </pivotArea>
    </format>
    <format dxfId="45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45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44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44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44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44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445">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44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44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44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44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44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439">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43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4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4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4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4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4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4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4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4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42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42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42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42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425">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4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42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42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42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42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41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41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41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41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41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41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41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41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41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4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40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4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40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40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40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40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40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40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40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4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39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3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3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3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3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3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39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3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39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39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38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38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38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38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38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38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38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38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381">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38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37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37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37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37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37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37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37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37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371">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37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369">
      <pivotArea dataOnly="0" labelOnly="1" fieldPosition="0">
        <references count="1">
          <reference field="11" count="0"/>
        </references>
      </pivotArea>
    </format>
    <format dxfId="368">
      <pivotArea dataOnly="0" labelOnly="1" fieldPosition="0">
        <references count="1">
          <reference field="11" count="0"/>
        </references>
      </pivotArea>
    </format>
    <format dxfId="367">
      <pivotArea dataOnly="0" labelOnly="1" fieldPosition="0">
        <references count="1">
          <reference field="13" count="0"/>
        </references>
      </pivotArea>
    </format>
    <format dxfId="366">
      <pivotArea dataOnly="0" labelOnly="1" fieldPosition="0">
        <references count="1">
          <reference field="13" count="0"/>
        </references>
      </pivotArea>
    </format>
    <format dxfId="365">
      <pivotArea dataOnly="0" labelOnly="1" fieldPosition="0">
        <references count="1">
          <reference field="32" count="0"/>
        </references>
      </pivotArea>
    </format>
    <format dxfId="364">
      <pivotArea dataOnly="0" labelOnly="1" fieldPosition="0">
        <references count="1">
          <reference field="32" count="0"/>
        </references>
      </pivotArea>
    </format>
    <format dxfId="3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28">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6">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5">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4">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3">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1" selected="0">
            <x v="7"/>
          </reference>
        </references>
      </pivotArea>
    </format>
    <format dxfId="32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1" selected="0">
            <x v="7"/>
          </reference>
        </references>
      </pivotArea>
    </format>
    <format dxfId="32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1" selected="0">
            <x v="7"/>
          </reference>
        </references>
      </pivotArea>
    </format>
    <format dxfId="31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1" selected="0">
            <x v="7"/>
          </reference>
        </references>
      </pivotArea>
    </format>
    <format dxfId="31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1" selected="0">
            <x v="7"/>
          </reference>
        </references>
      </pivotArea>
    </format>
    <format dxfId="317">
      <pivotArea dataOnly="0" labelOnly="1" fieldPosition="0">
        <references count="1">
          <reference field="11" count="0"/>
        </references>
      </pivotArea>
    </format>
    <format dxfId="316">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315">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314">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313">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312">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311">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310">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309">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308">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30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306">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305">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304">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30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302">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301">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300">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99">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98">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97">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96">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95">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94">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93">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92">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91">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90">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89">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88">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8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86">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85">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84">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83">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82">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81">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80">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279">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278">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277">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276">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275">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274">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273">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272">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271">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270">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269">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268">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26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266">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265">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264">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63">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62">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61">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60">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59">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58">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57">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56">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55">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54">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5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52">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51">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50">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49">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48">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47">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46">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45">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243">
      <pivotArea outline="0" collapsedLevelsAreSubtotals="1" fieldPosition="0"/>
    </format>
    <format dxfId="242">
      <pivotArea type="all" dataOnly="0" outline="0" fieldPosition="0"/>
    </format>
    <format dxfId="241">
      <pivotArea outline="0" collapsedLevelsAreSubtotals="1" fieldPosition="0"/>
    </format>
    <format dxfId="240">
      <pivotArea field="30" type="button" dataOnly="0" labelOnly="1" outline="0" axis="axisRow" fieldPosition="0"/>
    </format>
    <format dxfId="239">
      <pivotArea dataOnly="0" labelOnly="1" grandRow="1" outline="0" fieldPosition="0"/>
    </format>
    <format dxfId="238">
      <pivotArea dataOnly="0" labelOnly="1" outline="0" fieldPosition="0">
        <references count="1">
          <reference field="4294967294" count="4">
            <x v="0"/>
            <x v="1"/>
            <x v="2"/>
            <x v="3"/>
          </reference>
        </references>
      </pivotArea>
    </format>
    <format dxfId="237">
      <pivotArea dataOnly="0" labelOnly="1" fieldPosition="0">
        <references count="1">
          <reference field="30" count="0"/>
        </references>
      </pivotArea>
    </format>
    <format dxfId="236">
      <pivotArea collapsedLevelsAreSubtotals="1" fieldPosition="0">
        <references count="1">
          <reference field="30" count="1">
            <x v="0"/>
          </reference>
        </references>
      </pivotArea>
    </format>
    <format dxfId="235">
      <pivotArea dataOnly="0" labelOnly="1" fieldPosition="0">
        <references count="1">
          <reference field="30" count="1">
            <x v="0"/>
          </reference>
        </references>
      </pivotArea>
    </format>
    <format dxfId="234">
      <pivotArea collapsedLevelsAreSubtotals="1" fieldPosition="0">
        <references count="1">
          <reference field="30" count="1">
            <x v="1"/>
          </reference>
        </references>
      </pivotArea>
    </format>
    <format dxfId="233">
      <pivotArea dataOnly="0" labelOnly="1" fieldPosition="0">
        <references count="1">
          <reference field="30" count="1">
            <x v="1"/>
          </reference>
        </references>
      </pivotArea>
    </format>
    <format dxfId="232">
      <pivotArea collapsedLevelsAreSubtotals="1" fieldPosition="0">
        <references count="1">
          <reference field="30" count="1">
            <x v="2"/>
          </reference>
        </references>
      </pivotArea>
    </format>
    <format dxfId="231">
      <pivotArea dataOnly="0" labelOnly="1" fieldPosition="0">
        <references count="1">
          <reference field="30" count="1">
            <x v="2"/>
          </reference>
        </references>
      </pivotArea>
    </format>
    <format dxfId="230">
      <pivotArea collapsedLevelsAreSubtotals="1" fieldPosition="0">
        <references count="1">
          <reference field="30" count="1">
            <x v="3"/>
          </reference>
        </references>
      </pivotArea>
    </format>
    <format dxfId="229">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65">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64">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63">
      <calculatedColumnFormula>_xlfn.TEXTJOIN(" - ",TRUE,Subkoord[[#This Row],[id]],Subkoord[[#This Row],[skrdklpk]])</calculatedColumnFormula>
    </tableColumn>
    <tableColumn id="7" xr3:uid="{BB0E08D1-7433-45E1-9A8E-F09478BEE345}" name="Koordinator" dataDxfId="762">
      <calculatedColumnFormula array="1">INDEX(Koord[Koordinator],MATCH(1,(Subkoord[[#This Row],[id2]]=Koord[id2])*(Subkoord[[#This Row],[id3]]=Koord[id]),0))</calculatedColumnFormula>
    </tableColumn>
    <tableColumn id="8" xr3:uid="{CE9A8D26-5115-4AB0-A0D6-173532BAC073}" name="Eselon2" dataDxfId="761">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760" dataDxfId="759" tableBorderDxfId="758">
  <autoFilter ref="B10:O170" xr:uid="{5439E600-4AE6-4A9C-BF96-1F8B4649EF5E}"/>
  <sortState xmlns:xlrd2="http://schemas.microsoft.com/office/spreadsheetml/2017/richdata2" ref="B11:O155">
    <sortCondition ref="C10:C155"/>
  </sortState>
  <tableColumns count="14">
    <tableColumn id="1" xr3:uid="{EA3EA993-E9B8-4175-AE78-56C2DE826084}" name="No" dataDxfId="757" totalsRowDxfId="756" dataCellStyle="Normal 4" totalsRowCellStyle="Normal 4"/>
    <tableColumn id="14" xr3:uid="{39BE1E11-4C0D-43C9-A7CF-CFD7B6D88EC1}" name="Urut" dataDxfId="755" totalsRowDxfId="754" dataCellStyle="Normal 4" totalsRowCellStyle="Normal 4"/>
    <tableColumn id="2" xr3:uid="{55765DF9-9B2D-49B2-8C10-51C6F4795A2B}" name="Nomor SP2D" dataDxfId="753" totalsRowDxfId="752" totalsRowCellStyle="Normal 4"/>
    <tableColumn id="3" xr3:uid="{95F2A4A6-178D-4D09-BEC2-A35DA9DD284C}" name="Tanggal SP2D" dataDxfId="751" totalsRowDxfId="750" totalsRowCellStyle="Normal 4"/>
    <tableColumn id="4" xr3:uid="{1BFC6E15-B107-44FC-880F-0FA398A70437}" name="Nilai SP2D" dataDxfId="749" totalsRowDxfId="748" dataCellStyle="Comma [0]" totalsRowCellStyle="Comma [0]"/>
    <tableColumn id="5" xr3:uid="{BA79B4B6-6D4D-4C40-A794-FBA956D546A8}" name="Jenis SPM" dataDxfId="747" totalsRowDxfId="746" totalsRowCellStyle="Normal 4"/>
    <tableColumn id="6" xr3:uid="{0728F6B3-877B-4801-849D-78A7FD394756}" name="Nomor Invoice" dataDxfId="745" totalsRowDxfId="744" totalsRowCellStyle="Normal 4"/>
    <tableColumn id="7" xr3:uid="{BC8C9A9E-906E-4F73-AA7C-36C21228DCD0}" name="Tanggal Invoice" dataDxfId="743" totalsRowDxfId="742" totalsRowCellStyle="Normal 4"/>
    <tableColumn id="8" xr3:uid="{4F370E97-CC92-41D4-B70A-C2C397F13E5F}" name="Jenis SP2D" dataDxfId="741" totalsRowDxfId="740" totalsRowCellStyle="Normal 4"/>
    <tableColumn id="9" xr3:uid="{5AB0F2BB-729E-4A36-99C2-531506F2E0D4}" name="Deskripsi" dataDxfId="739" totalsRowDxfId="738" totalsRowCellStyle="Normal 4"/>
    <tableColumn id="10" xr3:uid="{E9855FB4-726E-4E0F-A40E-89C5AF4CAAE7}" name="Bagian / Bidang" dataDxfId="737" totalsRowDxfId="736" dataCellStyle="Normal 4" totalsRowCellStyle="Normal 4"/>
    <tableColumn id="11" xr3:uid="{07CEE088-AC9A-406D-AECA-D9F23626D4D5}" name="Subbagian / Subbidang" dataDxfId="735" totalsRowDxfId="734" dataCellStyle="Normal 4" totalsRowCellStyle="Normal 4"/>
    <tableColumn id="13" xr3:uid="{7D701C80-B1AD-4D78-B3C3-525A71261916}" name="Status Realisasi" dataDxfId="733" dataCellStyle="Normal 4"/>
    <tableColumn id="12" xr3:uid="{BE916C21-2F59-4DE9-9BDF-707A1C1956B2}" name="all" dataDxfId="73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AY143" totalsRowShown="0" headerRowDxfId="228" dataDxfId="227">
  <autoFilter ref="A3:AY143" xr:uid="{0C46C9EE-53F2-428C-9BE4-AA19FA2987DF}"/>
  <tableColumns count="51">
    <tableColumn id="1" xr3:uid="{A2BC3788-B1CE-4A3F-B6F3-D1D27F201210}" name="kddept" dataDxfId="226"/>
    <tableColumn id="2" xr3:uid="{2DB0BCF7-353A-4057-BFD0-5A9AFD7AD377}" name="kdunit" dataDxfId="225"/>
    <tableColumn id="3" xr3:uid="{6BCC3689-465C-41AB-AA41-B61148952378}" name="kdprogram" dataDxfId="224"/>
    <tableColumn id="4" xr3:uid="{2A5A7B58-839E-4216-A115-BA31451747CC}" name="Program" dataDxfId="223"/>
    <tableColumn id="5" xr3:uid="{B90B5CFD-D8F4-48C4-81DF-60CCA43D8B33}" name="kdgiat" dataDxfId="222"/>
    <tableColumn id="6" xr3:uid="{665306DE-5004-4796-BA54-AF3E581B23DE}" name="Kegiatan" dataDxfId="221"/>
    <tableColumn id="7" xr3:uid="{896282BA-49FB-4172-920C-20AE0DBD436D}" name="kdoutput" dataDxfId="220"/>
    <tableColumn id="8" xr3:uid="{81ACE6BC-C81E-44B5-AC16-FA7339E6C95D}" name="Output" dataDxfId="219"/>
    <tableColumn id="9" xr3:uid="{B9A79FBA-908D-418C-864B-733536EBB6AD}" name="kdsoutput" dataDxfId="218"/>
    <tableColumn id="10" xr3:uid="{8730A0E5-24CD-4DD0-97C9-7EB5897F6937}" name="SubOutput" dataDxfId="217"/>
    <tableColumn id="11" xr3:uid="{A1213678-0772-43DE-9A68-4CCAC2CAB97F}" name="kdkmpnen" dataDxfId="216"/>
    <tableColumn id="12" xr3:uid="{13F01672-806F-47CD-8E7B-DBEF02211C49}" name="Komponen" dataDxfId="215"/>
    <tableColumn id="13" xr3:uid="{EE24777D-4C50-49CF-9D51-B1D10E6B59C5}" name="kdskmpnen" dataDxfId="214"/>
    <tableColumn id="14" xr3:uid="{6B16732C-65AB-40BC-9BE7-38F27B545CA4}" name="SubKomponen" dataDxfId="213"/>
    <tableColumn id="15" xr3:uid="{9DE11426-CAD6-4307-AF79-5BA31FE425C4}" name="kdakun" dataDxfId="212"/>
    <tableColumn id="16" xr3:uid="{95D2AD80-8C0A-4582-9C73-FCD7148568BD}" name="Akun" dataDxfId="211"/>
    <tableColumn id="17" xr3:uid="{1099A73B-6EFE-4758-9112-C98BE9AF6233}" name="Pagu" dataDxfId="210" dataCellStyle="Comma [0]">
      <calculatedColumnFormula array="1">SUM(_xlfn._xlws.FILTER(DIPA2[PaguRevisi],DIPA2[Akun]=SP2D[[#This Row],[Kode Akun]],0))</calculatedColumnFormula>
    </tableColumn>
    <tableColumn id="18" xr3:uid="{F5761B11-9E81-4F7C-BD95-CB52A5BA049C}" name="Pagu Semula" dataDxfId="209" dataCellStyle="Comma [0]"/>
    <tableColumn id="19" xr3:uid="{D85464D1-34A4-4D62-B202-AA5B44380AE8}" name="Jan" dataDxfId="208">
      <calculatedColumnFormula>SUM('PER BULAN'!J92:L92)</calculatedColumnFormula>
    </tableColumn>
    <tableColumn id="20" xr3:uid="{59AFB7C3-9561-4F72-BA75-233CA8574E0E}" name="Feb" dataDxfId="207"/>
    <tableColumn id="21" xr3:uid="{339941D9-EB6A-4D9E-AAFD-8BC87914D9CD}" name="Mar" dataDxfId="206"/>
    <tableColumn id="22" xr3:uid="{4DB8271D-A562-4BDB-AF86-6803F5A0D6B6}" name="Apr" dataDxfId="205"/>
    <tableColumn id="23" xr3:uid="{A6296B83-2C3A-4B7B-B349-C7B81EF82E20}" name="Mei" dataDxfId="204"/>
    <tableColumn id="24" xr3:uid="{E35B9BB8-2C59-4938-BD17-AB6DA6D49836}" name="Jun" dataDxfId="203"/>
    <tableColumn id="25" xr3:uid="{0B56CE2F-22F5-4935-B179-82B908FFA45C}" name="Jul" dataDxfId="202"/>
    <tableColumn id="26" xr3:uid="{C5C2C340-1544-4521-9059-33AEBE3423A8}" name="Ags" dataDxfId="201"/>
    <tableColumn id="27" xr3:uid="{86511B91-6FBB-44C6-BFE0-FC75035E6D40}" name="Sep" dataDxfId="200"/>
    <tableColumn id="28" xr3:uid="{2C0763CA-B0D1-4434-BD74-3778A7A332E6}" name="Okt" dataDxfId="199"/>
    <tableColumn id="29" xr3:uid="{1D2AE206-2433-4713-B023-179D69FA3E25}" name="Nov" dataDxfId="198"/>
    <tableColumn id="30" xr3:uid="{C1E5584B-01F1-4175-8FA8-D285D3701F44}" name="Des" dataDxfId="197"/>
    <tableColumn id="31" xr3:uid="{3BEE2055-AE9D-40FE-AE62-8E331B1816BF}" name="eselon2" dataDxfId="196"/>
    <tableColumn id="32" xr3:uid="{A002471B-4101-4577-BC3A-704405B733FB}" name="koordinator" dataDxfId="195"/>
    <tableColumn id="33" xr3:uid="{D023DF90-D6C9-428C-971B-7DDF8C7D5F03}" name="Subkoordinator" dataDxfId="194"/>
    <tableColumn id="34" xr3:uid="{FE48F7A1-0956-4644-89C0-EA36C183F595}" name="Jns_Belanja" dataDxfId="193"/>
    <tableColumn id="35" xr3:uid="{BE3FC102-4A2C-4D3D-B515-5052A70FFDEB}" name="satker" dataDxfId="192"/>
    <tableColumn id="36" xr3:uid="{C44DBFA7-2D15-465C-8D00-F06B638B5ED4}" name="Realisasi" dataDxfId="191" dataCellStyle="Comma [0]">
      <calculatedColumnFormula>SUM(S4:AD4)</calculatedColumnFormula>
    </tableColumn>
    <tableColumn id="37" xr3:uid="{DE361282-2992-4D2B-992E-4096AF6D8E40}" name="Real %" dataDxfId="190">
      <calculatedColumnFormula>IFERROR(AJ4/Q4*100,0)</calculatedColumnFormula>
    </tableColumn>
    <tableColumn id="38" xr3:uid="{EEF961EF-FF6A-40D5-A0B6-ED634EBADFBC}" name="Sisa" dataDxfId="189" dataCellStyle="Comma [0]">
      <calculatedColumnFormula>Q4-AJ4</calculatedColumnFormula>
    </tableColumn>
    <tableColumn id="39" xr3:uid="{85643851-7A65-42C2-A08E-B6A7A8DA03F0}" name="Real %2" dataDxfId="188">
      <calculatedColumnFormula>IFERROR(AL4/Q4*100,0)</calculatedColumnFormula>
    </tableColumn>
    <tableColumn id="40" xr3:uid="{9E4F31F6-8A80-4410-976A-8EEA7368EA20}" name="Kode Akun" dataDxfId="187">
      <calculatedColumnFormula>_xlfn.TEXTJOIN(".",TRUE,C4,E4,G4,I4,K4,M4,O4)</calculatedColumnFormula>
    </tableColumn>
    <tableColumn id="41" xr3:uid="{0FDDBC90-1CC8-4C07-8122-50D2362EF739}" name="Status Covid" dataDxfId="186">
      <calculatedColumnFormula>IF(ISNUMBER(SEARCH("COVID",SP2D[[#This Row],[Akun]])),"COVID","Non COVID")</calculatedColumnFormula>
    </tableColumn>
    <tableColumn id="42" xr3:uid="{3D9BDB80-A0C7-4422-BA12-733AF91AF0E5}" name="Status Realisasi" dataDxfId="185">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84">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83"/>
    <tableColumn id="45" xr3:uid="{4B827D21-BED7-493A-98C2-BF92D20ACB6E}" name="TUP 1" dataDxfId="182"/>
    <tableColumn id="46" xr3:uid="{1A108E85-F9A8-4C5A-B9B2-E8E733C3D3EB}" name="GUP 2" dataDxfId="181"/>
    <tableColumn id="47" xr3:uid="{197D7FA7-EA56-478F-AC63-0B5D47D9765B}" name="GUP 3" dataDxfId="180"/>
    <tableColumn id="48" xr3:uid="{4614C9FA-2AB0-4D2D-AA55-13680C8EE8C5}" name="GUP 4" dataDxfId="179"/>
    <tableColumn id="49" xr3:uid="{9B9C7D3C-BD3B-413C-9633-5B1476894793}" name="GUP 5" dataDxfId="178"/>
    <tableColumn id="50" xr3:uid="{7F81D278-F155-4728-BD7E-4DD553D05EAC}" name="TUP 2 (1)" dataDxfId="177"/>
    <tableColumn id="51" xr3:uid="{40F6E74E-B62F-4684-A934-E1FBCD0EDECE}" name="TUP 2 (2)" dataDxfId="17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18787B-FAFB-4E31-BAF7-C07090CCABB5}" name="Gaji" displayName="Gaji" ref="A146:AY157" totalsRowShown="0" headerRowDxfId="143" dataDxfId="144">
  <autoFilter ref="A146:AY157" xr:uid="{0218787B-FAFB-4E31-BAF7-C07090CCABB5}"/>
  <tableColumns count="51">
    <tableColumn id="1" xr3:uid="{56675261-DF55-475A-8EF2-90E961C2E066}" name="kddept" dataDxfId="173"/>
    <tableColumn id="2" xr3:uid="{915D7022-7CF4-4CD3-AD4C-BF27EDCBE50E}" name="kdunit" dataDxfId="172"/>
    <tableColumn id="3" xr3:uid="{667DF829-2F0A-4DF3-9F42-FA2E38FF46B2}" name="kdprogram" dataDxfId="171"/>
    <tableColumn id="4" xr3:uid="{1A35375C-28DF-44C3-8B19-A6D30BB55624}" name="Program" dataDxfId="170"/>
    <tableColumn id="5" xr3:uid="{C6638C4F-3189-4215-9407-F3B8B382A237}" name="kdgiat" dataDxfId="169"/>
    <tableColumn id="6" xr3:uid="{EE5E0048-AE96-42EF-9871-FED5F0AE8C97}" name="Kegiatan" dataDxfId="168"/>
    <tableColumn id="7" xr3:uid="{84AFACAE-5BEB-4196-A185-7FBB8BFA1E79}" name="kdoutput" dataDxfId="167"/>
    <tableColumn id="8" xr3:uid="{8A785DC6-273E-442D-B4D9-F74D52C4AE26}" name="Output" dataDxfId="166"/>
    <tableColumn id="9" xr3:uid="{66D930DE-4F8B-49BB-8EA0-ADC5CC5574AA}" name="kdsoutput" dataDxfId="165"/>
    <tableColumn id="10" xr3:uid="{618E1149-3C66-483A-9F1F-E0D93BF3D56D}" name="SubOutput" dataDxfId="164"/>
    <tableColumn id="11" xr3:uid="{5452C2E0-4CC2-41BF-A04A-24EC363063F3}" name="kdkmpnen" dataDxfId="163"/>
    <tableColumn id="12" xr3:uid="{00D8A428-D871-470B-B83A-92ABFB4213CF}" name="Komponen" dataDxfId="162"/>
    <tableColumn id="13" xr3:uid="{04B359EC-433B-4ACA-AB36-D878CBDEA85B}" name="kdskmpnen" dataDxfId="161"/>
    <tableColumn id="14" xr3:uid="{D8B606E0-21D3-4874-AB04-4D5CAE1EE278}" name="SubKomponen" dataDxfId="160"/>
    <tableColumn id="15" xr3:uid="{0A4C46AD-0DAC-41F1-8B96-0002722E1862}" name="kdakun" dataDxfId="159"/>
    <tableColumn id="16" xr3:uid="{7BDF73FB-1089-4917-B917-2862322DCCA7}" name="Akun" dataDxfId="158"/>
    <tableColumn id="17" xr3:uid="{686185C1-EC50-456E-B6F9-C55C3D36AB18}" name="Pagu" dataDxfId="138" dataCellStyle="Comma [0]">
      <calculatedColumnFormula array="1">SUM(_xlfn._xlws.FILTER(DIPA2[PaguRevisi],DIPA2[Akun]=Gaji[[#This Row],[Kode Akun]],0))</calculatedColumnFormula>
    </tableColumn>
    <tableColumn id="18" xr3:uid="{6978D716-6729-4442-9241-6F4682D1E992}" name="Pagu Semula" dataDxfId="157" dataCellStyle="Comma [0]"/>
    <tableColumn id="19" xr3:uid="{CC659AD9-4590-4979-9D8A-A7F90EFBE181}" name="Jan" dataDxfId="137">
      <calculatedColumnFormula>SUM('PER BULAN'!J238:L238)</calculatedColumnFormula>
    </tableColumn>
    <tableColumn id="20" xr3:uid="{65C3A5B8-4EBE-4380-9922-838F2B727447}" name="Feb" dataDxfId="136">
      <calculatedColumnFormula>SUM('PER BULAN'!M238:O238)</calculatedColumnFormula>
    </tableColumn>
    <tableColumn id="21" xr3:uid="{5B74CC7A-5F1E-473A-809E-4A9712B24F09}" name="Mar" dataDxfId="135">
      <calculatedColumnFormula>SUM('PER BULAN'!P238:R238)</calculatedColumnFormula>
    </tableColumn>
    <tableColumn id="22" xr3:uid="{3589C0F1-95D7-4CAB-B1EE-209619A98A39}" name="Apr" dataDxfId="134">
      <calculatedColumnFormula>SUM('PER BULAN'!S238:U238)</calculatedColumnFormula>
    </tableColumn>
    <tableColumn id="23" xr3:uid="{B9F87016-B34D-4C4D-9FC9-65553F4E3A37}" name="Mei" dataDxfId="133">
      <calculatedColumnFormula>SUM('PER BULAN'!V238:X238)</calculatedColumnFormula>
    </tableColumn>
    <tableColumn id="24" xr3:uid="{CE23EE5A-D4D0-498E-A9C7-074521FFB7B1}" name="Jun" dataDxfId="132">
      <calculatedColumnFormula>SUM('PER BULAN'!Y238:AA238)</calculatedColumnFormula>
    </tableColumn>
    <tableColumn id="25" xr3:uid="{71E8B2A2-BF7C-45E9-9C5F-6DE33EA24B5A}" name="Jul" dataDxfId="131">
      <calculatedColumnFormula>SUM('PER BULAN'!AB238:AD238)</calculatedColumnFormula>
    </tableColumn>
    <tableColumn id="26" xr3:uid="{4E042F2D-D7B7-427D-B967-94A09B0D6505}" name="Ags" dataDxfId="130">
      <calculatedColumnFormula>SUM('PER BULAN'!AE238:AG238)</calculatedColumnFormula>
    </tableColumn>
    <tableColumn id="27" xr3:uid="{5C5EEAF1-9F0C-4569-9B50-E8157A4DE5FC}" name="Sep" dataDxfId="129">
      <calculatedColumnFormula>SUM('PER BULAN'!AH238:AJ238)</calculatedColumnFormula>
    </tableColumn>
    <tableColumn id="28" xr3:uid="{187EDDB3-8658-418E-AF32-109CEBE39FF5}" name="Okt" dataDxfId="128">
      <calculatedColumnFormula>SUM('PER BULAN'!AK238:AM238)</calculatedColumnFormula>
    </tableColumn>
    <tableColumn id="29" xr3:uid="{51F7EDF3-5B8C-4629-B737-8AEBE0132896}" name="Nov" dataDxfId="127">
      <calculatedColumnFormula>SUM('PER BULAN'!AN238:AP238)</calculatedColumnFormula>
    </tableColumn>
    <tableColumn id="30" xr3:uid="{0AC19D56-5817-454A-B674-CB92D3CF7ADC}" name="Des" dataDxfId="126">
      <calculatedColumnFormula>SUM('PER BULAN'!AQ238:AS238)</calculatedColumnFormula>
    </tableColumn>
    <tableColumn id="31" xr3:uid="{A1E999FA-661F-460B-AEB2-126613B67A7B}" name="eselon2" dataDxfId="156"/>
    <tableColumn id="32" xr3:uid="{97FCAE10-3354-43B9-983F-DFBD8E53AB19}" name="koordinator" dataDxfId="155"/>
    <tableColumn id="33" xr3:uid="{AE87419D-A764-4239-A316-503DEADADD5A}" name="Subkoordinator" dataDxfId="154"/>
    <tableColumn id="34" xr3:uid="{B80A424F-2D3E-4EEA-8676-B9E7E337FB14}" name="Jns_Belanja" dataDxfId="153"/>
    <tableColumn id="35" xr3:uid="{47CA0B36-34D5-4D27-95BE-060F919025BD}" name="satker" dataDxfId="152"/>
    <tableColumn id="36" xr3:uid="{25D3F594-A3D1-4E48-A51D-3A781E79AE12}" name="Realisasi" dataDxfId="125" dataCellStyle="Comma [0]">
      <calculatedColumnFormula>SUM(S147:AD147)</calculatedColumnFormula>
    </tableColumn>
    <tableColumn id="37" xr3:uid="{B34AF02C-7E60-4111-ACF7-7BA4CAA71826}" name="Real %" dataDxfId="124">
      <calculatedColumnFormula>IFERROR(AJ147/Q147*100,0)</calculatedColumnFormula>
    </tableColumn>
    <tableColumn id="38" xr3:uid="{C1F8EC18-E060-4EFA-AFDC-510372856E3B}" name="Sisa" dataDxfId="151" dataCellStyle="Comma [0]">
      <calculatedColumnFormula>Q147-AJ147</calculatedColumnFormula>
    </tableColumn>
    <tableColumn id="39" xr3:uid="{D7E20C84-6342-4879-B89D-4091279E3199}" name="Real %2" dataDxfId="123">
      <calculatedColumnFormula>IFERROR(AL147/Q147*100,0)</calculatedColumnFormula>
    </tableColumn>
    <tableColumn id="40" xr3:uid="{CE388703-3CEF-4435-BD52-C832EECA33C5}" name="Kode Akun" dataDxfId="142">
      <calculatedColumnFormula>_xlfn.TEXTJOIN(".",TRUE,C147,E147,G147,I147,K147,M147,O147)</calculatedColumnFormula>
    </tableColumn>
    <tableColumn id="41" xr3:uid="{0C8C2C0F-3C48-4BAB-B54B-F906426208C9}" name="Status Covid" dataDxfId="141">
      <calculatedColumnFormula>IF(ISNUMBER(SEARCH("COVID",Gaji[[#This Row],[Akun]])),"COVID","Non COVID")</calculatedColumnFormula>
    </tableColumn>
    <tableColumn id="42" xr3:uid="{148843F8-B6C7-4FCA-ACC0-36FBE9EF2BD8}" name="Status Realisasi" dataDxfId="140">
      <calculatedColumnFormula>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calculatedColumnFormula>
    </tableColumn>
    <tableColumn id="43" xr3:uid="{7C16827D-6C70-4178-92C9-20F91F6EEF7E}" name="Jenis Belanja" dataDxfId="139">
      <calculatedColumnFormula>IF(AND(ISNUMBER(SEARCH("OPERASIONAL",Gaji[[#This Row],[Komponen]])),ISNUMBER(SEARCH("LAYANAN PERKANTORAN",Gaji[[#This Row],[SubOutput]]))),"Belanja Barang Operasional",IF(LEFT(Gaji[[#This Row],[kdakun]],2)="53","Belanja Modal",IF(LEFT(Gaji[[#This Row],[kdakun]],2)="51","Belanja Pegawai","Belanja Barang Non Operasional")))</calculatedColumnFormula>
    </tableColumn>
    <tableColumn id="44" xr3:uid="{EC763E9A-18DA-431A-BCCA-509C53E1AD32}" name="GUP 1" dataDxfId="150"/>
    <tableColumn id="45" xr3:uid="{8E22D8BA-6370-4973-8DC2-86BAA5EAB87D}" name="TUP 1" dataDxfId="149"/>
    <tableColumn id="46" xr3:uid="{E147085E-9AA2-468C-8C4F-22EA6B6652FF}" name="GUP 2" dataDxfId="148"/>
    <tableColumn id="47" xr3:uid="{8FF196D4-64B7-4B84-A184-9DA352B0B305}" name="GUP 3" dataDxfId="147"/>
    <tableColumn id="48" xr3:uid="{4DE16668-FCB3-4ED9-BDC4-3FF3F049C227}" name="GUP 4" dataDxfId="146"/>
    <tableColumn id="49" xr3:uid="{97285CE4-6FC9-43D1-B56C-F02FB17C03FF}" name="GUP 5" dataDxfId="145"/>
    <tableColumn id="50" xr3:uid="{46D55FBA-C9A7-4228-895C-EAB47655A43B}" name="TUP 2 (1)"/>
    <tableColumn id="51" xr3:uid="{4D67025E-7411-4B89-825C-9084CD00F7A9}"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69" headerRowBorderDxfId="121" tableBorderDxfId="122">
  <autoFilter ref="B234:BH250" xr:uid="{A3F03F6D-6A59-461B-A929-C35C787407F3}"/>
  <tableColumns count="59">
    <tableColumn id="1" xr3:uid="{006731C9-F32D-4A40-8CDB-A1548E10C0D4}" name="KODE" dataDxfId="120"/>
    <tableColumn id="2" xr3:uid="{A9307D7A-2701-4752-B274-B25BEF4C5078}" name="URAIAN" dataDxfId="119"/>
    <tableColumn id="3" xr3:uid="{FCCF3154-C285-471C-AC86-6DCF2BB5907D}" name="VOL" dataDxfId="118"/>
    <tableColumn id="4" xr3:uid="{C6A127B2-6CDD-4E0C-AF9D-730F6DDD09BC}" name="SATUAN" dataDxfId="117"/>
    <tableColumn id="5" xr3:uid="{3F90CE26-DF36-4D37-9C47-12A1CEB8D773}" name="Pagu Revisi" dataDxfId="116" dataCellStyle="Comma [0]"/>
    <tableColumn id="6" xr3:uid="{A2F11568-8A8E-4AFC-9F99-BFB17EAEEC9C}" name="Pagu Semula" dataDxfId="115" dataCellStyle="Comma [0]"/>
    <tableColumn id="7" xr3:uid="{B7EE8BCB-D0ED-4450-8EBB-6FD673560D7C}" name="Blokir AA ke 1" dataDxfId="114" dataCellStyle="Comma [0]"/>
    <tableColumn id="8" xr3:uid="{9EDAF3A8-6D97-400A-848D-D47BF571F43E}" name="Blokir AA ke 2" dataDxfId="113" dataCellStyle="Comma [0]"/>
    <tableColumn id="9" xr3:uid="{63315451-3A2B-4613-A63E-C9450FC73D6C}" name="JANUARI" dataDxfId="112" dataCellStyle="Comma [0]"/>
    <tableColumn id="10" xr3:uid="{16EC35FF-13CF-4870-920C-AAB913E770C7}" name="Column4" dataDxfId="111" dataCellStyle="Comma [0]"/>
    <tableColumn id="11" xr3:uid="{729D99E3-0A52-4B2E-A9C0-DE02E05ED840}" name="Column5" dataDxfId="110" dataCellStyle="Comma [0]"/>
    <tableColumn id="12" xr3:uid="{AB374DB6-7598-4C30-A85F-F63F132B7BA1}" name="FEBRUARI" dataDxfId="109" dataCellStyle="Normal 5"/>
    <tableColumn id="13" xr3:uid="{2D1151EC-AD11-4F11-9D1D-698FBA569F26}" name="Column6" dataDxfId="108" dataCellStyle="Comma [0]"/>
    <tableColumn id="14" xr3:uid="{C25F446B-37CA-4C46-8DE3-5CBDF83F99DF}" name="Column7" dataDxfId="107" dataCellStyle="Comma [0]"/>
    <tableColumn id="15" xr3:uid="{2B771376-C41A-4F53-BC5F-03146D6453D2}" name="MARET" dataDxfId="106" dataCellStyle="Normal 5"/>
    <tableColumn id="16" xr3:uid="{26AE15C1-AF2B-46A7-ADBC-F20B8677DE0D}" name="Column8" dataDxfId="105" dataCellStyle="Comma [0]"/>
    <tableColumn id="17" xr3:uid="{DFBDA772-EF7F-41E6-9DFB-E477C75E4388}" name="Column9" dataDxfId="104" dataCellStyle="Comma [0]"/>
    <tableColumn id="18" xr3:uid="{041FDBBB-13D6-40FC-B497-A1E84A4034E8}" name="APRIL" dataDxfId="103" dataCellStyle="Normal 5"/>
    <tableColumn id="19" xr3:uid="{6168E056-C134-418C-BAA8-73541257F097}" name="Column10" dataDxfId="102" dataCellStyle="Comma [0]"/>
    <tableColumn id="20" xr3:uid="{ECE7E801-4FE3-4CB0-B83E-AEDB75DF320F}" name="Column11" dataDxfId="101" dataCellStyle="Comma [0]"/>
    <tableColumn id="21" xr3:uid="{44FEDD28-091B-4680-A5C6-30F0F745EBBE}" name="MEI" dataDxfId="100"/>
    <tableColumn id="22" xr3:uid="{34244EC1-125A-49F5-8D4B-77C41595EB78}" name="Column12" dataDxfId="99" dataCellStyle="Comma [0]"/>
    <tableColumn id="23" xr3:uid="{695AAE0C-3DE2-4C12-A556-529DF387A4B7}" name="Column13" dataDxfId="98" dataCellStyle="Comma [0]"/>
    <tableColumn id="24" xr3:uid="{EE45409D-1AE3-4403-87A9-813634308CF5}" name="JUNI" dataDxfId="97" dataCellStyle="Comma [0]"/>
    <tableColumn id="25" xr3:uid="{5F933D02-7432-46D2-889E-A346FBEB81C1}" name="Column14" dataDxfId="96" dataCellStyle="Comma [0]"/>
    <tableColumn id="26" xr3:uid="{E340073A-FA27-4696-9028-62785F671D51}" name="Column15" dataDxfId="95" dataCellStyle="Comma [0]"/>
    <tableColumn id="27" xr3:uid="{3C80F9B3-4335-4BCB-A2DB-8F873DB578A1}" name="JULI" dataDxfId="94" dataCellStyle="Comma [0]"/>
    <tableColumn id="28" xr3:uid="{0B52D128-430F-4AE8-AF42-C77BCC1DE967}" name="Column16" dataDxfId="93" dataCellStyle="Comma [0]"/>
    <tableColumn id="29" xr3:uid="{9AA400AA-D217-47D3-8A29-9AD35366E1E5}" name="Column17" dataDxfId="92" dataCellStyle="Comma [0]"/>
    <tableColumn id="30" xr3:uid="{7A16243F-CC4F-4632-957C-54DF727D1493}" name="AGUSTUS" dataDxfId="91" dataCellStyle="Comma [0]"/>
    <tableColumn id="31" xr3:uid="{F53FA9C1-6878-4D23-96E5-3E23407112F3}" name="Column18" dataDxfId="90" dataCellStyle="Comma [0]"/>
    <tableColumn id="32" xr3:uid="{56226304-FD99-45E9-B47F-4A0989BC4182}" name="Column19" dataDxfId="89" dataCellStyle="Comma [0]"/>
    <tableColumn id="33" xr3:uid="{918328DE-54FE-4538-8A7A-0C76AA1E939A}" name="SEPTEMBER" dataDxfId="88" dataCellStyle="Comma [0]"/>
    <tableColumn id="34" xr3:uid="{D961E510-3ED4-4CF9-A7AF-9649B976EA3E}" name="Column20" dataDxfId="87" dataCellStyle="Comma [0]"/>
    <tableColumn id="35" xr3:uid="{91DB1DE3-8092-461D-A09A-AE460872B6BA}" name="Column21" dataDxfId="86" dataCellStyle="Comma [0]"/>
    <tableColumn id="36" xr3:uid="{CE58699D-2136-4257-BAD1-7398B982526B}" name="OKTOBER" dataDxfId="85" dataCellStyle="Comma [0]"/>
    <tableColumn id="37" xr3:uid="{1F4E6F0B-F4F1-4921-A7D5-72862BF6A622}" name="Column22" dataDxfId="84" dataCellStyle="Comma [0]"/>
    <tableColumn id="38" xr3:uid="{B76BAD65-739D-4E3A-852D-D26916987757}" name="Column23" dataDxfId="83" dataCellStyle="Comma [0]"/>
    <tableColumn id="39" xr3:uid="{12105BE2-33F4-4402-9A97-62E8F6987E7A}" name="NOVEMBER" dataDxfId="82" dataCellStyle="Comma [0]"/>
    <tableColumn id="40" xr3:uid="{C58384D0-120F-4BEC-B941-E06587266945}" name="Column24" dataDxfId="81" dataCellStyle="Comma [0]"/>
    <tableColumn id="41" xr3:uid="{A058820D-F058-4589-9874-D1A00D172D60}" name="Column25" dataDxfId="80" dataCellStyle="Comma [0]"/>
    <tableColumn id="42" xr3:uid="{CE32C95C-C534-407E-B4B0-C5BE507ACC7B}" name="DESEMBER" dataDxfId="79" dataCellStyle="Comma [0]"/>
    <tableColumn id="43" xr3:uid="{4AA20C6C-166D-40D3-B153-84B32F3DA47E}" name="Column26" dataDxfId="78" dataCellStyle="Comma [0]"/>
    <tableColumn id="44" xr3:uid="{B6199075-DD1D-4379-9C80-D5E0E5D4086B}" name="Column27" dataDxfId="77" dataCellStyle="Comma [0]"/>
    <tableColumn id="45" xr3:uid="{025D8148-41D1-493D-8F91-43A4491832E5}" name="REALISASI" dataDxfId="76" dataCellStyle="Comma [0]">
      <calculatedColumnFormula>SUM(J235:AS235)</calculatedColumnFormula>
    </tableColumn>
    <tableColumn id="46" xr3:uid="{EB91123A-1AE6-419C-99DE-3A8BFD669434}" name="%" dataDxfId="75">
      <calculatedColumnFormula>IFERROR(AT235/F235*100,0)</calculatedColumnFormula>
    </tableColumn>
    <tableColumn id="47" xr3:uid="{B367B8B8-4A10-4559-8042-C79AD776D92F}" name="SISA PAGU" dataDxfId="74">
      <calculatedColumnFormula>F235-AT235</calculatedColumnFormula>
    </tableColumn>
    <tableColumn id="48" xr3:uid="{4447787F-4DC2-4E59-B3FB-02DC54A3FEB4}" name="%28" dataDxfId="73">
      <calculatedColumnFormula>AV235/F235*100</calculatedColumnFormula>
    </tableColumn>
    <tableColumn id="49" xr3:uid="{C7CC6506-6ABE-4181-9F4B-FEC5B702B017}" name="KOORDINATOR" dataDxfId="72"/>
    <tableColumn id="50" xr3:uid="{048FA016-E7FA-4ECE-BABA-429AD0AEF890}" name="Subkoordinator"/>
    <tableColumn id="51" xr3:uid="{B38F358A-82BF-496A-A23D-71F2B98B29E5}" name="Jenis Belanja Barang"/>
    <tableColumn id="52" xr3:uid="{DB80BE10-1DFD-4F7D-BB32-35C9FE353EFD}" name="SPBy" dataDxfId="71" dataCellStyle="Comma [0]"/>
    <tableColumn id="53" xr3:uid="{078C675B-A0F3-404E-848C-5D5DFFD077BC}" name="Column29"/>
    <tableColumn id="54" xr3:uid="{434FFD64-27FE-4383-9669-FEE5F6BE4180}" name="Column30" dataDxfId="7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75" totalsRowDxfId="174"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43" t="s">
        <v>598</v>
      </c>
      <c r="C1" s="443"/>
      <c r="D1" s="443"/>
      <c r="E1" s="443"/>
      <c r="F1" s="443"/>
      <c r="G1" s="443"/>
      <c r="I1" s="9"/>
    </row>
    <row r="2" spans="1:10" x14ac:dyDescent="0.25">
      <c r="B2" s="444" t="s">
        <v>614</v>
      </c>
      <c r="C2" s="444"/>
      <c r="D2" s="444"/>
      <c r="E2" s="444"/>
      <c r="F2" s="444"/>
      <c r="G2" s="444"/>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45" t="s">
        <v>606</v>
      </c>
      <c r="C9" s="447" t="s">
        <v>607</v>
      </c>
      <c r="D9" s="448" t="s">
        <v>608</v>
      </c>
      <c r="E9" s="445" t="s">
        <v>609</v>
      </c>
      <c r="F9" s="448" t="s">
        <v>610</v>
      </c>
      <c r="G9" s="448" t="s">
        <v>611</v>
      </c>
      <c r="I9" s="14"/>
    </row>
    <row r="10" spans="1:10" s="16" customFormat="1" x14ac:dyDescent="0.25">
      <c r="A10" s="15" t="s">
        <v>499</v>
      </c>
      <c r="B10" s="446"/>
      <c r="C10" s="446"/>
      <c r="D10" s="446"/>
      <c r="E10" s="449"/>
      <c r="F10" s="446"/>
      <c r="G10" s="446"/>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40" t="s">
        <v>596</v>
      </c>
      <c r="J13" s="441" t="s">
        <v>597</v>
      </c>
    </row>
    <row r="14" spans="1:10" x14ac:dyDescent="0.25">
      <c r="A14" s="7" t="s">
        <v>199</v>
      </c>
      <c r="B14" s="25" t="s">
        <v>194</v>
      </c>
      <c r="C14" s="26" t="s">
        <v>2</v>
      </c>
      <c r="D14" s="25"/>
      <c r="E14" s="55"/>
      <c r="F14" s="27"/>
      <c r="G14" s="27">
        <v>1500000000</v>
      </c>
      <c r="I14" s="440"/>
      <c r="J14" s="441"/>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42"/>
      <c r="J22" s="442"/>
    </row>
    <row r="23" spans="1:10" x14ac:dyDescent="0.25">
      <c r="A23" s="7" t="s">
        <v>208</v>
      </c>
      <c r="B23" s="43" t="s">
        <v>195</v>
      </c>
      <c r="C23" s="44" t="s">
        <v>620</v>
      </c>
      <c r="D23" s="47">
        <v>1</v>
      </c>
      <c r="E23" s="61" t="s">
        <v>9</v>
      </c>
      <c r="F23" s="45">
        <v>1000000</v>
      </c>
      <c r="G23" s="45">
        <v>1000000</v>
      </c>
      <c r="I23" s="442"/>
      <c r="J23" s="442"/>
    </row>
    <row r="24" spans="1:10" x14ac:dyDescent="0.25">
      <c r="A24" s="7" t="s">
        <v>209</v>
      </c>
      <c r="B24" s="40" t="s">
        <v>516</v>
      </c>
      <c r="C24" s="41" t="s">
        <v>11</v>
      </c>
      <c r="D24" s="40"/>
      <c r="E24" s="60"/>
      <c r="F24" s="42"/>
      <c r="G24" s="42">
        <v>9000000</v>
      </c>
      <c r="I24" s="442"/>
      <c r="J24" s="442"/>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G56" sqref="G56"/>
    </sheetView>
  </sheetViews>
  <sheetFormatPr defaultColWidth="9.109375" defaultRowHeight="13.2" x14ac:dyDescent="0.25"/>
  <cols>
    <col min="1" max="1" width="37.6640625" style="178" hidden="1" customWidth="1"/>
    <col min="2" max="2" width="20.33203125" style="173"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1" width="16.88671875" style="182" customWidth="1"/>
    <col min="12" max="12" width="19.33203125" style="117" customWidth="1"/>
    <col min="13" max="13" width="14" style="117" bestFit="1" customWidth="1"/>
    <col min="14" max="14" width="14.5546875" style="117" customWidth="1"/>
    <col min="15" max="16384" width="9.109375" style="117"/>
  </cols>
  <sheetData>
    <row r="1" spans="1:13" ht="15.6" x14ac:dyDescent="0.25">
      <c r="B1" s="443" t="s">
        <v>598</v>
      </c>
      <c r="C1" s="443"/>
      <c r="D1" s="443"/>
      <c r="E1" s="443"/>
      <c r="F1" s="443"/>
      <c r="G1" s="451"/>
      <c r="H1" s="329"/>
      <c r="I1" s="329"/>
      <c r="J1" s="329"/>
      <c r="K1" s="329"/>
    </row>
    <row r="2" spans="1:13" ht="15.6" x14ac:dyDescent="0.3">
      <c r="B2" s="452" t="s">
        <v>4999</v>
      </c>
      <c r="C2" s="452"/>
      <c r="D2" s="452"/>
      <c r="E2" s="452"/>
      <c r="F2" s="452"/>
      <c r="G2" s="453"/>
      <c r="H2" s="331"/>
      <c r="I2" s="331"/>
      <c r="J2" s="331"/>
      <c r="K2" s="331"/>
    </row>
    <row r="3" spans="1:13" ht="15.6" x14ac:dyDescent="0.3">
      <c r="B3" s="330"/>
      <c r="C3" s="330"/>
      <c r="D3" s="330"/>
      <c r="E3" s="330"/>
      <c r="F3" s="330"/>
      <c r="G3" s="331"/>
      <c r="H3" s="331"/>
      <c r="I3" s="331"/>
      <c r="J3" s="331"/>
      <c r="K3" s="331"/>
    </row>
    <row r="4" spans="1:13" ht="15" x14ac:dyDescent="0.25">
      <c r="B4" s="185" t="s">
        <v>599</v>
      </c>
      <c r="C4" s="185" t="s">
        <v>600</v>
      </c>
      <c r="D4" s="186"/>
      <c r="E4" s="186"/>
      <c r="F4" s="185"/>
      <c r="G4" s="187"/>
      <c r="H4" s="187"/>
      <c r="I4" s="187"/>
      <c r="J4" s="187"/>
      <c r="K4" s="187"/>
    </row>
    <row r="5" spans="1:13" ht="15" x14ac:dyDescent="0.25">
      <c r="B5" s="185" t="s">
        <v>601</v>
      </c>
      <c r="C5" s="185" t="s">
        <v>602</v>
      </c>
      <c r="D5" s="53"/>
      <c r="E5" s="53"/>
      <c r="F5" s="50"/>
      <c r="G5" s="143"/>
      <c r="H5" s="143"/>
      <c r="I5" s="143"/>
      <c r="J5" s="143"/>
      <c r="K5" s="143"/>
    </row>
    <row r="6" spans="1:13" ht="15" x14ac:dyDescent="0.25">
      <c r="B6" s="185" t="s">
        <v>603</v>
      </c>
      <c r="C6" s="185" t="s">
        <v>604</v>
      </c>
      <c r="D6" s="53"/>
      <c r="E6" s="53"/>
      <c r="F6" s="50"/>
      <c r="G6" s="143"/>
      <c r="H6" s="143"/>
      <c r="I6" s="143"/>
      <c r="J6" s="143"/>
      <c r="K6" s="143"/>
    </row>
    <row r="7" spans="1:13" ht="15.6" x14ac:dyDescent="0.3">
      <c r="B7" s="185" t="s">
        <v>605</v>
      </c>
      <c r="C7" s="188" t="str">
        <f>":  Rp. " &amp; TEXT(G12,"#.##")</f>
        <v>:  Rp. 6.478.996.000</v>
      </c>
      <c r="D7" s="53"/>
      <c r="E7" s="53"/>
      <c r="F7" s="50"/>
      <c r="G7" s="143"/>
      <c r="H7" s="143"/>
      <c r="I7" s="143"/>
      <c r="J7" s="143"/>
      <c r="K7" s="143"/>
    </row>
    <row r="8" spans="1:13" ht="15" x14ac:dyDescent="0.25">
      <c r="B8" s="189"/>
      <c r="C8" s="189"/>
      <c r="D8" s="189"/>
      <c r="E8" s="189"/>
      <c r="F8" s="189"/>
      <c r="G8" s="190"/>
      <c r="H8" s="190"/>
      <c r="I8" s="190"/>
      <c r="J8" s="190"/>
      <c r="K8" s="190"/>
    </row>
    <row r="9" spans="1:13" ht="15" customHeight="1" x14ac:dyDescent="0.25">
      <c r="B9" s="454" t="s">
        <v>606</v>
      </c>
      <c r="C9" s="455" t="s">
        <v>607</v>
      </c>
      <c r="D9" s="456" t="s">
        <v>608</v>
      </c>
      <c r="E9" s="454" t="s">
        <v>609</v>
      </c>
      <c r="F9" s="456" t="s">
        <v>610</v>
      </c>
      <c r="G9" s="450" t="s">
        <v>4650</v>
      </c>
      <c r="H9" s="450" t="s">
        <v>4651</v>
      </c>
      <c r="I9" s="450" t="s">
        <v>4648</v>
      </c>
      <c r="J9" s="450" t="s">
        <v>4652</v>
      </c>
      <c r="K9" s="450" t="s">
        <v>4648</v>
      </c>
    </row>
    <row r="10" spans="1:13" s="180" customFormat="1" ht="14.25" customHeight="1" x14ac:dyDescent="0.25">
      <c r="A10" s="179" t="s">
        <v>499</v>
      </c>
      <c r="B10" s="446"/>
      <c r="C10" s="446"/>
      <c r="D10" s="449"/>
      <c r="E10" s="449"/>
      <c r="F10" s="446"/>
      <c r="G10" s="446"/>
      <c r="H10" s="450"/>
      <c r="I10" s="450"/>
      <c r="J10" s="450"/>
      <c r="K10" s="450"/>
    </row>
    <row r="11" spans="1:13" s="180" customFormat="1" x14ac:dyDescent="0.25">
      <c r="A11" s="179"/>
      <c r="B11" s="176">
        <v>1</v>
      </c>
      <c r="C11" s="176">
        <v>2</v>
      </c>
      <c r="D11" s="176">
        <v>3</v>
      </c>
      <c r="E11" s="176">
        <v>4</v>
      </c>
      <c r="F11" s="176">
        <v>5</v>
      </c>
      <c r="G11" s="177">
        <v>6</v>
      </c>
      <c r="H11" s="176">
        <v>7</v>
      </c>
      <c r="I11" s="177">
        <v>8</v>
      </c>
      <c r="J11" s="176">
        <v>9</v>
      </c>
      <c r="K11" s="177">
        <v>10</v>
      </c>
    </row>
    <row r="12" spans="1:13" s="180" customFormat="1" x14ac:dyDescent="0.25">
      <c r="A12" s="179"/>
      <c r="B12" s="127"/>
      <c r="C12" s="128" t="s">
        <v>613</v>
      </c>
      <c r="D12" s="129"/>
      <c r="E12" s="130"/>
      <c r="F12" s="129"/>
      <c r="G12" s="175">
        <f t="shared" ref="G12:H14" si="0">G13</f>
        <v>6478996000</v>
      </c>
      <c r="H12" s="210">
        <f t="shared" si="0"/>
        <v>2186906895</v>
      </c>
      <c r="I12" s="334">
        <f t="shared" ref="I12:I17" si="1">H12/G12*100</f>
        <v>33.753792948784039</v>
      </c>
      <c r="J12" s="175">
        <f t="shared" ref="J12:J17" si="2">G12-H12</f>
        <v>4292089105</v>
      </c>
      <c r="K12" s="334">
        <f t="shared" ref="K12:K17" si="3">J12/G12*100</f>
        <v>66.246207051215961</v>
      </c>
    </row>
    <row r="13" spans="1:13" ht="13.8" x14ac:dyDescent="0.25">
      <c r="A13" s="7" t="s">
        <v>0</v>
      </c>
      <c r="B13" s="192" t="s">
        <v>0</v>
      </c>
      <c r="C13" s="191" t="s">
        <v>1</v>
      </c>
      <c r="D13" s="192"/>
      <c r="E13" s="192"/>
      <c r="F13" s="193"/>
      <c r="G13" s="193">
        <f t="shared" si="0"/>
        <v>6478996000</v>
      </c>
      <c r="H13" s="335">
        <f t="shared" si="0"/>
        <v>2186906895</v>
      </c>
      <c r="I13" s="334">
        <f t="shared" si="1"/>
        <v>33.753792948784039</v>
      </c>
      <c r="J13" s="175">
        <f t="shared" si="2"/>
        <v>4292089105</v>
      </c>
      <c r="K13" s="334">
        <f t="shared" si="3"/>
        <v>66.246207051215961</v>
      </c>
    </row>
    <row r="14" spans="1:13" ht="13.8" x14ac:dyDescent="0.25">
      <c r="A14" s="7" t="s">
        <v>1699</v>
      </c>
      <c r="B14" s="192" t="s">
        <v>3986</v>
      </c>
      <c r="C14" s="191" t="s">
        <v>1701</v>
      </c>
      <c r="D14" s="192">
        <v>1</v>
      </c>
      <c r="E14" s="192" t="s">
        <v>3740</v>
      </c>
      <c r="F14" s="193"/>
      <c r="G14" s="193">
        <f t="shared" si="0"/>
        <v>6478996000</v>
      </c>
      <c r="H14" s="336">
        <f t="shared" si="0"/>
        <v>2186906895</v>
      </c>
      <c r="I14" s="334">
        <f t="shared" si="1"/>
        <v>33.753792948784039</v>
      </c>
      <c r="J14" s="175">
        <f t="shared" si="2"/>
        <v>4292089105</v>
      </c>
      <c r="K14" s="334">
        <f t="shared" si="3"/>
        <v>66.246207051215961</v>
      </c>
    </row>
    <row r="15" spans="1:13" ht="13.8" x14ac:dyDescent="0.25">
      <c r="A15" s="7" t="s">
        <v>1702</v>
      </c>
      <c r="B15" s="195" t="s">
        <v>501</v>
      </c>
      <c r="C15" s="194" t="s">
        <v>76</v>
      </c>
      <c r="D15" s="195"/>
      <c r="E15" s="195"/>
      <c r="F15" s="196"/>
      <c r="G15" s="196">
        <f>SUM(G16,G55)</f>
        <v>6478996000</v>
      </c>
      <c r="H15" s="337">
        <f>SUM(H16,H55)</f>
        <v>2186906895</v>
      </c>
      <c r="I15" s="334">
        <f t="shared" si="1"/>
        <v>33.753792948784039</v>
      </c>
      <c r="J15" s="175">
        <f t="shared" si="2"/>
        <v>4292089105</v>
      </c>
      <c r="K15" s="334">
        <f t="shared" si="3"/>
        <v>66.246207051215961</v>
      </c>
    </row>
    <row r="16" spans="1:13" ht="13.8" x14ac:dyDescent="0.25">
      <c r="A16" s="7" t="s">
        <v>1806</v>
      </c>
      <c r="B16" s="192" t="s">
        <v>1807</v>
      </c>
      <c r="C16" s="191" t="s">
        <v>1808</v>
      </c>
      <c r="D16" s="192"/>
      <c r="E16" s="192"/>
      <c r="F16" s="193"/>
      <c r="G16" s="193">
        <f>SUM(G17,G21,G25,G29,G33,G37,G41,G45,G47,G49,G53)</f>
        <v>6155047000</v>
      </c>
      <c r="H16" s="336">
        <f>H17+H21+H25+H29+H33+H37+H41+H45+H47+H49+H53</f>
        <v>2186906895</v>
      </c>
      <c r="I16" s="334">
        <f t="shared" si="1"/>
        <v>35.53030374910216</v>
      </c>
      <c r="J16" s="175">
        <f t="shared" si="2"/>
        <v>3968140105</v>
      </c>
      <c r="K16" s="334">
        <f t="shared" si="3"/>
        <v>64.46969625089784</v>
      </c>
      <c r="L16" s="340">
        <v>210863345</v>
      </c>
      <c r="M16" s="341">
        <f>H16-L16</f>
        <v>1976043550</v>
      </c>
    </row>
    <row r="17" spans="1:13" ht="13.8" x14ac:dyDescent="0.25">
      <c r="A17" s="7" t="s">
        <v>1809</v>
      </c>
      <c r="B17" s="192">
        <v>511111</v>
      </c>
      <c r="C17" s="191" t="s">
        <v>77</v>
      </c>
      <c r="D17" s="192"/>
      <c r="E17" s="192"/>
      <c r="F17" s="193"/>
      <c r="G17" s="193">
        <f>SUM(G18:G20)</f>
        <v>2483477000</v>
      </c>
      <c r="H17" s="336">
        <v>1010194000</v>
      </c>
      <c r="I17" s="334">
        <f t="shared" si="1"/>
        <v>40.676599783287706</v>
      </c>
      <c r="J17" s="175">
        <f t="shared" si="2"/>
        <v>1473283000</v>
      </c>
      <c r="K17" s="334">
        <f t="shared" si="3"/>
        <v>59.323400216712294</v>
      </c>
      <c r="L17" s="341">
        <v>165522900</v>
      </c>
      <c r="M17" s="341"/>
    </row>
    <row r="18" spans="1:13" ht="13.8" hidden="1" x14ac:dyDescent="0.25">
      <c r="A18" s="7" t="s">
        <v>1810</v>
      </c>
      <c r="B18" s="152"/>
      <c r="C18" s="151" t="s">
        <v>3987</v>
      </c>
      <c r="D18" s="152">
        <v>1</v>
      </c>
      <c r="E18" s="152" t="s">
        <v>97</v>
      </c>
      <c r="F18" s="153">
        <v>180000000</v>
      </c>
      <c r="G18" s="153">
        <f>ROUNDDOWN(D18*F18,-3)</f>
        <v>180000000</v>
      </c>
      <c r="H18" s="333"/>
      <c r="I18" s="153"/>
      <c r="J18" s="153"/>
      <c r="K18" s="153"/>
    </row>
    <row r="19" spans="1:13" ht="13.8" hidden="1" x14ac:dyDescent="0.25">
      <c r="A19" s="7" t="s">
        <v>1811</v>
      </c>
      <c r="B19" s="152"/>
      <c r="C19" s="151" t="s">
        <v>3988</v>
      </c>
      <c r="D19" s="152">
        <v>1</v>
      </c>
      <c r="E19" s="152" t="s">
        <v>60</v>
      </c>
      <c r="F19" s="153">
        <v>2123477000</v>
      </c>
      <c r="G19" s="153">
        <f>ROUNDDOWN(D19*F19,-3)</f>
        <v>2123477000</v>
      </c>
      <c r="H19" s="333"/>
      <c r="I19" s="153"/>
      <c r="J19" s="153"/>
      <c r="K19" s="153"/>
    </row>
    <row r="20" spans="1:13" ht="13.8" hidden="1" x14ac:dyDescent="0.25">
      <c r="A20" s="7" t="s">
        <v>1812</v>
      </c>
      <c r="B20" s="152"/>
      <c r="C20" s="151" t="s">
        <v>3989</v>
      </c>
      <c r="D20" s="152">
        <v>1</v>
      </c>
      <c r="E20" s="152" t="s">
        <v>97</v>
      </c>
      <c r="F20" s="153">
        <v>180000000</v>
      </c>
      <c r="G20" s="153">
        <f>ROUNDDOWN(D20*F20,-3)</f>
        <v>180000000</v>
      </c>
      <c r="H20" s="333"/>
      <c r="I20" s="153"/>
      <c r="J20" s="153"/>
      <c r="K20" s="153"/>
    </row>
    <row r="21" spans="1:13" ht="13.8" x14ac:dyDescent="0.25">
      <c r="A21" s="7" t="s">
        <v>1813</v>
      </c>
      <c r="B21" s="192">
        <v>511119</v>
      </c>
      <c r="C21" s="191" t="s">
        <v>79</v>
      </c>
      <c r="D21" s="192"/>
      <c r="E21" s="192"/>
      <c r="F21" s="193"/>
      <c r="G21" s="193">
        <f>SUM(G22:G24)</f>
        <v>38000</v>
      </c>
      <c r="H21" s="336">
        <v>15786</v>
      </c>
      <c r="I21" s="334">
        <f>H21/G21*100</f>
        <v>41.5421052631579</v>
      </c>
      <c r="J21" s="175">
        <f>G21-H21</f>
        <v>22214</v>
      </c>
      <c r="K21" s="334">
        <f>J21/G21*100</f>
        <v>58.457894736842107</v>
      </c>
      <c r="L21" s="341">
        <v>2454</v>
      </c>
    </row>
    <row r="22" spans="1:13" ht="13.8" hidden="1" x14ac:dyDescent="0.25">
      <c r="A22" s="7" t="s">
        <v>1814</v>
      </c>
      <c r="B22" s="152"/>
      <c r="C22" s="151" t="s">
        <v>3990</v>
      </c>
      <c r="D22" s="152">
        <v>1</v>
      </c>
      <c r="E22" s="152" t="s">
        <v>97</v>
      </c>
      <c r="F22" s="153">
        <v>3000</v>
      </c>
      <c r="G22" s="153">
        <f>ROUNDDOWN(D22*F22,-3)</f>
        <v>3000</v>
      </c>
      <c r="H22" s="333"/>
      <c r="I22" s="153"/>
      <c r="J22" s="153"/>
      <c r="K22" s="153"/>
    </row>
    <row r="23" spans="1:13" ht="13.8" hidden="1" x14ac:dyDescent="0.25">
      <c r="A23" s="7" t="s">
        <v>1815</v>
      </c>
      <c r="B23" s="152"/>
      <c r="C23" s="151" t="s">
        <v>3991</v>
      </c>
      <c r="D23" s="152">
        <v>1</v>
      </c>
      <c r="E23" s="152" t="s">
        <v>153</v>
      </c>
      <c r="F23" s="153">
        <v>32000</v>
      </c>
      <c r="G23" s="153">
        <f>ROUNDDOWN(D23*F23,-3)</f>
        <v>32000</v>
      </c>
      <c r="H23" s="333"/>
      <c r="I23" s="153"/>
      <c r="J23" s="153"/>
      <c r="K23" s="153"/>
    </row>
    <row r="24" spans="1:13" ht="13.8" hidden="1" x14ac:dyDescent="0.25">
      <c r="A24" s="7" t="s">
        <v>1816</v>
      </c>
      <c r="B24" s="152"/>
      <c r="C24" s="151" t="s">
        <v>3992</v>
      </c>
      <c r="D24" s="152">
        <v>1</v>
      </c>
      <c r="E24" s="152" t="s">
        <v>97</v>
      </c>
      <c r="F24" s="153">
        <v>3000</v>
      </c>
      <c r="G24" s="153">
        <f>ROUNDDOWN(D24*F24,-3)</f>
        <v>3000</v>
      </c>
      <c r="H24" s="333"/>
      <c r="I24" s="153"/>
      <c r="J24" s="153"/>
      <c r="K24" s="153"/>
    </row>
    <row r="25" spans="1:13" ht="13.8" x14ac:dyDescent="0.25">
      <c r="A25" s="7" t="s">
        <v>1817</v>
      </c>
      <c r="B25" s="192">
        <v>511121</v>
      </c>
      <c r="C25" s="191" t="s">
        <v>80</v>
      </c>
      <c r="D25" s="192"/>
      <c r="E25" s="192"/>
      <c r="F25" s="193"/>
      <c r="G25" s="193">
        <f>SUM(G26:G28)</f>
        <v>171959000</v>
      </c>
      <c r="H25" s="336">
        <v>65751610</v>
      </c>
      <c r="I25" s="334">
        <f>H25/G25*100</f>
        <v>38.236794817369258</v>
      </c>
      <c r="J25" s="175">
        <f>G25-H25</f>
        <v>106207390</v>
      </c>
      <c r="K25" s="334">
        <f>J25/G25*100</f>
        <v>61.763205182630742</v>
      </c>
      <c r="L25" s="341">
        <v>10849200</v>
      </c>
    </row>
    <row r="26" spans="1:13" ht="13.8" hidden="1" x14ac:dyDescent="0.25">
      <c r="A26" s="7" t="s">
        <v>1818</v>
      </c>
      <c r="B26" s="152"/>
      <c r="C26" s="151" t="s">
        <v>3993</v>
      </c>
      <c r="D26" s="152">
        <v>1</v>
      </c>
      <c r="E26" s="152" t="s">
        <v>153</v>
      </c>
      <c r="F26" s="153">
        <v>147267000</v>
      </c>
      <c r="G26" s="153">
        <f>ROUNDDOWN(D26*F26,-3)</f>
        <v>147267000</v>
      </c>
      <c r="H26" s="333"/>
      <c r="I26" s="153"/>
      <c r="J26" s="153"/>
      <c r="K26" s="153"/>
    </row>
    <row r="27" spans="1:13" ht="13.8" hidden="1" x14ac:dyDescent="0.25">
      <c r="A27" s="7" t="s">
        <v>1819</v>
      </c>
      <c r="B27" s="152"/>
      <c r="C27" s="151" t="s">
        <v>3994</v>
      </c>
      <c r="D27" s="152">
        <v>1</v>
      </c>
      <c r="E27" s="152" t="s">
        <v>97</v>
      </c>
      <c r="F27" s="153">
        <v>12494000</v>
      </c>
      <c r="G27" s="153">
        <f>ROUNDDOWN(D27*F27,-3)</f>
        <v>12494000</v>
      </c>
      <c r="H27" s="333"/>
      <c r="I27" s="153"/>
      <c r="J27" s="153"/>
      <c r="K27" s="153"/>
    </row>
    <row r="28" spans="1:13" ht="13.8" hidden="1" x14ac:dyDescent="0.25">
      <c r="A28" s="7" t="s">
        <v>1820</v>
      </c>
      <c r="B28" s="152"/>
      <c r="C28" s="151" t="s">
        <v>3995</v>
      </c>
      <c r="D28" s="152">
        <v>1</v>
      </c>
      <c r="E28" s="152" t="s">
        <v>97</v>
      </c>
      <c r="F28" s="153">
        <v>12198000</v>
      </c>
      <c r="G28" s="153">
        <f>ROUNDDOWN(D28*F28,-3)</f>
        <v>12198000</v>
      </c>
      <c r="H28" s="333"/>
      <c r="I28" s="153"/>
      <c r="J28" s="153"/>
      <c r="K28" s="153"/>
    </row>
    <row r="29" spans="1:13" ht="13.8" x14ac:dyDescent="0.25">
      <c r="A29" s="7" t="s">
        <v>1821</v>
      </c>
      <c r="B29" s="192">
        <v>511122</v>
      </c>
      <c r="C29" s="191" t="s">
        <v>81</v>
      </c>
      <c r="D29" s="192"/>
      <c r="E29" s="192"/>
      <c r="F29" s="193"/>
      <c r="G29" s="193">
        <f>SUM(G30:G32)</f>
        <v>46700000</v>
      </c>
      <c r="H29" s="336">
        <v>19499258</v>
      </c>
      <c r="I29" s="334">
        <f>H29/G29*100</f>
        <v>41.754299785867239</v>
      </c>
      <c r="J29" s="175">
        <f>G29-H29</f>
        <v>27200742</v>
      </c>
      <c r="K29" s="334">
        <f>J29/G29*100</f>
        <v>58.245700214132768</v>
      </c>
      <c r="L29" s="341">
        <v>3260746</v>
      </c>
    </row>
    <row r="30" spans="1:13" ht="13.8" hidden="1" x14ac:dyDescent="0.25">
      <c r="A30" s="7" t="s">
        <v>1822</v>
      </c>
      <c r="B30" s="152"/>
      <c r="C30" s="151" t="s">
        <v>3996</v>
      </c>
      <c r="D30" s="152">
        <v>1</v>
      </c>
      <c r="E30" s="152" t="s">
        <v>97</v>
      </c>
      <c r="F30" s="153">
        <v>3282000</v>
      </c>
      <c r="G30" s="153">
        <f>ROUNDDOWN(D30*F30,-3)</f>
        <v>3282000</v>
      </c>
      <c r="H30" s="333"/>
      <c r="I30" s="153"/>
      <c r="J30" s="153"/>
      <c r="K30" s="153"/>
    </row>
    <row r="31" spans="1:13" ht="13.8" hidden="1" x14ac:dyDescent="0.25">
      <c r="A31" s="7" t="s">
        <v>1823</v>
      </c>
      <c r="B31" s="152"/>
      <c r="C31" s="151" t="s">
        <v>3997</v>
      </c>
      <c r="D31" s="152">
        <v>1</v>
      </c>
      <c r="E31" s="152" t="s">
        <v>153</v>
      </c>
      <c r="F31" s="153">
        <v>40080000</v>
      </c>
      <c r="G31" s="153">
        <f>ROUNDDOWN(D31*F31,-3)</f>
        <v>40080000</v>
      </c>
      <c r="H31" s="333"/>
      <c r="I31" s="153"/>
      <c r="J31" s="153"/>
      <c r="K31" s="153"/>
    </row>
    <row r="32" spans="1:13" ht="13.8" hidden="1" x14ac:dyDescent="0.25">
      <c r="A32" s="7" t="s">
        <v>1824</v>
      </c>
      <c r="B32" s="152"/>
      <c r="C32" s="151" t="s">
        <v>3998</v>
      </c>
      <c r="D32" s="152">
        <v>1</v>
      </c>
      <c r="E32" s="152" t="s">
        <v>97</v>
      </c>
      <c r="F32" s="153">
        <v>3338000</v>
      </c>
      <c r="G32" s="153">
        <f>ROUNDDOWN(D32*F32,-3)</f>
        <v>3338000</v>
      </c>
      <c r="H32" s="333"/>
      <c r="I32" s="153"/>
      <c r="J32" s="153"/>
      <c r="K32" s="153"/>
    </row>
    <row r="33" spans="1:12" ht="13.8" x14ac:dyDescent="0.25">
      <c r="A33" s="7" t="s">
        <v>1825</v>
      </c>
      <c r="B33" s="192">
        <v>511123</v>
      </c>
      <c r="C33" s="191" t="s">
        <v>82</v>
      </c>
      <c r="D33" s="192"/>
      <c r="E33" s="192"/>
      <c r="F33" s="193"/>
      <c r="G33" s="193">
        <f>SUM(G34:G36)</f>
        <v>158000000</v>
      </c>
      <c r="H33" s="336">
        <v>58380000</v>
      </c>
      <c r="I33" s="334">
        <f>H33/G33*100</f>
        <v>36.949367088607595</v>
      </c>
      <c r="J33" s="175">
        <f>G33-H33</f>
        <v>99620000</v>
      </c>
      <c r="K33" s="334">
        <f>J33/G33*100</f>
        <v>63.050632911392398</v>
      </c>
      <c r="L33" s="341">
        <v>9718696</v>
      </c>
    </row>
    <row r="34" spans="1:12" ht="13.8" hidden="1" x14ac:dyDescent="0.25">
      <c r="A34" s="7" t="s">
        <v>1826</v>
      </c>
      <c r="B34" s="152"/>
      <c r="C34" s="151" t="s">
        <v>3999</v>
      </c>
      <c r="D34" s="152">
        <v>1</v>
      </c>
      <c r="E34" s="152" t="s">
        <v>97</v>
      </c>
      <c r="F34" s="153">
        <v>12070000</v>
      </c>
      <c r="G34" s="153">
        <f>ROUNDDOWN(D34*F34,-3)</f>
        <v>12070000</v>
      </c>
      <c r="H34" s="333"/>
      <c r="I34" s="153"/>
      <c r="J34" s="153"/>
      <c r="K34" s="153"/>
    </row>
    <row r="35" spans="1:12" ht="13.8" hidden="1" x14ac:dyDescent="0.25">
      <c r="A35" s="7" t="s">
        <v>1827</v>
      </c>
      <c r="B35" s="152"/>
      <c r="C35" s="151" t="s">
        <v>4000</v>
      </c>
      <c r="D35" s="152">
        <v>1</v>
      </c>
      <c r="E35" s="152" t="s">
        <v>60</v>
      </c>
      <c r="F35" s="153">
        <v>133860000</v>
      </c>
      <c r="G35" s="153">
        <f>ROUNDDOWN(D35*F35,-3)</f>
        <v>133860000</v>
      </c>
      <c r="H35" s="333"/>
      <c r="I35" s="153"/>
      <c r="J35" s="153"/>
      <c r="K35" s="153"/>
    </row>
    <row r="36" spans="1:12" ht="13.8" hidden="1" x14ac:dyDescent="0.25">
      <c r="A36" s="7" t="s">
        <v>1828</v>
      </c>
      <c r="B36" s="152"/>
      <c r="C36" s="151" t="s">
        <v>4001</v>
      </c>
      <c r="D36" s="152">
        <v>1</v>
      </c>
      <c r="E36" s="152" t="s">
        <v>97</v>
      </c>
      <c r="F36" s="153">
        <v>12070000</v>
      </c>
      <c r="G36" s="153">
        <f>ROUNDDOWN(D36*F36,-3)</f>
        <v>12070000</v>
      </c>
      <c r="H36" s="333"/>
      <c r="I36" s="153"/>
      <c r="J36" s="153"/>
      <c r="K36" s="153"/>
    </row>
    <row r="37" spans="1:12" ht="13.8" x14ac:dyDescent="0.25">
      <c r="A37" s="7" t="s">
        <v>1829</v>
      </c>
      <c r="B37" s="192">
        <v>511124</v>
      </c>
      <c r="C37" s="191" t="s">
        <v>83</v>
      </c>
      <c r="D37" s="192"/>
      <c r="E37" s="192"/>
      <c r="F37" s="193"/>
      <c r="G37" s="193">
        <f>SUM(G38:G40)</f>
        <v>48180000</v>
      </c>
      <c r="H37" s="336">
        <v>28515000</v>
      </c>
      <c r="I37" s="334">
        <f>H37/G37*100</f>
        <v>59.184308841843091</v>
      </c>
      <c r="J37" s="175">
        <f>G37-H37</f>
        <v>19665000</v>
      </c>
      <c r="K37" s="334">
        <f>J37/G37*100</f>
        <v>40.815691158156916</v>
      </c>
      <c r="L37" s="341">
        <v>4807000</v>
      </c>
    </row>
    <row r="38" spans="1:12" ht="13.8" hidden="1" x14ac:dyDescent="0.25">
      <c r="A38" s="7" t="s">
        <v>1830</v>
      </c>
      <c r="B38" s="152"/>
      <c r="C38" s="151" t="s">
        <v>4002</v>
      </c>
      <c r="D38" s="152">
        <v>1</v>
      </c>
      <c r="E38" s="152" t="s">
        <v>97</v>
      </c>
      <c r="F38" s="153">
        <v>2000000</v>
      </c>
      <c r="G38" s="153">
        <f>ROUNDDOWN(D38*F38,-3)</f>
        <v>2000000</v>
      </c>
      <c r="H38" s="333"/>
      <c r="I38" s="153"/>
      <c r="J38" s="153"/>
      <c r="K38" s="153"/>
    </row>
    <row r="39" spans="1:12" ht="13.8" hidden="1" x14ac:dyDescent="0.25">
      <c r="A39" s="7" t="s">
        <v>1831</v>
      </c>
      <c r="B39" s="152"/>
      <c r="C39" s="151" t="s">
        <v>4003</v>
      </c>
      <c r="D39" s="152">
        <v>1</v>
      </c>
      <c r="E39" s="152" t="s">
        <v>60</v>
      </c>
      <c r="F39" s="153">
        <v>44180000</v>
      </c>
      <c r="G39" s="153">
        <f>ROUNDDOWN(D39*F39,-3)</f>
        <v>44180000</v>
      </c>
      <c r="H39" s="333"/>
      <c r="I39" s="153"/>
      <c r="J39" s="153"/>
      <c r="K39" s="153"/>
    </row>
    <row r="40" spans="1:12" ht="13.8" hidden="1" x14ac:dyDescent="0.25">
      <c r="A40" s="7" t="s">
        <v>1832</v>
      </c>
      <c r="B40" s="152"/>
      <c r="C40" s="151" t="s">
        <v>4004</v>
      </c>
      <c r="D40" s="152">
        <v>1</v>
      </c>
      <c r="E40" s="152" t="s">
        <v>97</v>
      </c>
      <c r="F40" s="153">
        <v>2000000</v>
      </c>
      <c r="G40" s="153">
        <f>ROUNDDOWN(D40*F40,-3)</f>
        <v>2000000</v>
      </c>
      <c r="H40" s="333"/>
      <c r="I40" s="153"/>
      <c r="J40" s="153"/>
      <c r="K40" s="153"/>
    </row>
    <row r="41" spans="1:12" ht="13.8" x14ac:dyDescent="0.25">
      <c r="A41" s="7" t="s">
        <v>1833</v>
      </c>
      <c r="B41" s="192">
        <v>511125</v>
      </c>
      <c r="C41" s="191" t="s">
        <v>84</v>
      </c>
      <c r="D41" s="192"/>
      <c r="E41" s="192"/>
      <c r="F41" s="193"/>
      <c r="G41" s="193">
        <f>SUM(G42:G44)</f>
        <v>13133000</v>
      </c>
      <c r="H41" s="336">
        <v>4084719</v>
      </c>
      <c r="I41" s="334">
        <f>H41/G41*100</f>
        <v>31.102710728698696</v>
      </c>
      <c r="J41" s="175">
        <f>G41-H41</f>
        <v>9048281</v>
      </c>
      <c r="K41" s="334">
        <f>J41/G41*100</f>
        <v>68.897289271301304</v>
      </c>
      <c r="L41" s="341">
        <v>273209</v>
      </c>
    </row>
    <row r="42" spans="1:12" ht="13.8" hidden="1" x14ac:dyDescent="0.25">
      <c r="A42" s="7" t="s">
        <v>1834</v>
      </c>
      <c r="B42" s="152"/>
      <c r="C42" s="151" t="s">
        <v>4005</v>
      </c>
      <c r="D42" s="152">
        <v>1</v>
      </c>
      <c r="E42" s="152" t="s">
        <v>97</v>
      </c>
      <c r="F42" s="153">
        <v>3360000</v>
      </c>
      <c r="G42" s="153">
        <f>ROUNDDOWN(D42*F42,-3)</f>
        <v>3360000</v>
      </c>
      <c r="H42" s="333"/>
      <c r="I42" s="153"/>
      <c r="J42" s="153"/>
      <c r="K42" s="153"/>
    </row>
    <row r="43" spans="1:12" ht="13.8" hidden="1" x14ac:dyDescent="0.25">
      <c r="A43" s="7" t="s">
        <v>1835</v>
      </c>
      <c r="B43" s="152"/>
      <c r="C43" s="151" t="s">
        <v>4006</v>
      </c>
      <c r="D43" s="152">
        <v>1</v>
      </c>
      <c r="E43" s="152" t="s">
        <v>153</v>
      </c>
      <c r="F43" s="153">
        <v>6407000</v>
      </c>
      <c r="G43" s="153">
        <f>ROUNDDOWN(D43*F43,-3)</f>
        <v>6407000</v>
      </c>
      <c r="H43" s="333"/>
      <c r="I43" s="153"/>
      <c r="J43" s="153"/>
      <c r="K43" s="153"/>
    </row>
    <row r="44" spans="1:12" ht="13.8" hidden="1" x14ac:dyDescent="0.25">
      <c r="A44" s="7" t="s">
        <v>1836</v>
      </c>
      <c r="B44" s="152"/>
      <c r="C44" s="151" t="s">
        <v>4007</v>
      </c>
      <c r="D44" s="152">
        <v>1</v>
      </c>
      <c r="E44" s="152" t="s">
        <v>97</v>
      </c>
      <c r="F44" s="153">
        <v>3366000</v>
      </c>
      <c r="G44" s="153">
        <f>ROUNDDOWN(D44*F44,-3)</f>
        <v>3366000</v>
      </c>
      <c r="H44" s="333"/>
      <c r="I44" s="153"/>
      <c r="J44" s="153"/>
      <c r="K44" s="153"/>
    </row>
    <row r="45" spans="1:12" ht="13.8" x14ac:dyDescent="0.25">
      <c r="A45" s="7" t="s">
        <v>1837</v>
      </c>
      <c r="B45" s="192">
        <v>511126</v>
      </c>
      <c r="C45" s="191" t="s">
        <v>85</v>
      </c>
      <c r="D45" s="192"/>
      <c r="E45" s="192"/>
      <c r="F45" s="193"/>
      <c r="G45" s="193">
        <f>G46</f>
        <v>130333000</v>
      </c>
      <c r="H45" s="336">
        <v>44248620</v>
      </c>
      <c r="I45" s="334">
        <f>H45/G45*100</f>
        <v>33.950434655843111</v>
      </c>
      <c r="J45" s="175">
        <f>G45-H45</f>
        <v>86084380</v>
      </c>
      <c r="K45" s="334">
        <f>J45/G45*100</f>
        <v>66.049565344156889</v>
      </c>
      <c r="L45" s="341">
        <v>8835240</v>
      </c>
    </row>
    <row r="46" spans="1:12" ht="13.8" hidden="1" x14ac:dyDescent="0.25">
      <c r="A46" s="7" t="s">
        <v>1838</v>
      </c>
      <c r="B46" s="152"/>
      <c r="C46" s="151" t="s">
        <v>4008</v>
      </c>
      <c r="D46" s="152">
        <v>1</v>
      </c>
      <c r="E46" s="152" t="s">
        <v>60</v>
      </c>
      <c r="F46" s="153">
        <v>130333000</v>
      </c>
      <c r="G46" s="153">
        <f>ROUNDDOWN(D46*F46,-3)</f>
        <v>130333000</v>
      </c>
      <c r="H46" s="333"/>
      <c r="I46" s="153"/>
      <c r="J46" s="153"/>
      <c r="K46" s="153"/>
    </row>
    <row r="47" spans="1:12" ht="13.8" x14ac:dyDescent="0.25">
      <c r="A47" s="7" t="s">
        <v>1839</v>
      </c>
      <c r="B47" s="192">
        <v>511129</v>
      </c>
      <c r="C47" s="191" t="s">
        <v>86</v>
      </c>
      <c r="D47" s="192"/>
      <c r="E47" s="192"/>
      <c r="F47" s="193"/>
      <c r="G47" s="193">
        <f>G48</f>
        <v>379379000</v>
      </c>
      <c r="H47" s="336">
        <v>83417000</v>
      </c>
      <c r="I47" s="334">
        <f>H47/G47*100</f>
        <v>21.987774758223306</v>
      </c>
      <c r="J47" s="175">
        <f>G47-H47</f>
        <v>295962000</v>
      </c>
      <c r="K47" s="334">
        <f>J47/G47*100</f>
        <v>78.01222524177669</v>
      </c>
      <c r="L47" s="341">
        <v>-185000</v>
      </c>
    </row>
    <row r="48" spans="1:12" ht="13.8" hidden="1" x14ac:dyDescent="0.25">
      <c r="A48" s="7" t="s">
        <v>1840</v>
      </c>
      <c r="B48" s="152"/>
      <c r="C48" s="151" t="s">
        <v>4009</v>
      </c>
      <c r="D48" s="152">
        <v>1</v>
      </c>
      <c r="E48" s="152" t="s">
        <v>153</v>
      </c>
      <c r="F48" s="153">
        <v>379379000</v>
      </c>
      <c r="G48" s="153">
        <f>ROUNDDOWN(D48*F48,-3)</f>
        <v>379379000</v>
      </c>
      <c r="H48" s="333"/>
      <c r="I48" s="153"/>
      <c r="J48" s="153"/>
      <c r="K48" s="153"/>
    </row>
    <row r="49" spans="1:12" ht="13.8" x14ac:dyDescent="0.25">
      <c r="A49" s="7" t="s">
        <v>1841</v>
      </c>
      <c r="B49" s="192">
        <v>511151</v>
      </c>
      <c r="C49" s="191" t="s">
        <v>87</v>
      </c>
      <c r="D49" s="192"/>
      <c r="E49" s="192"/>
      <c r="F49" s="193"/>
      <c r="G49" s="193">
        <f>SUM(G50:G52)</f>
        <v>88360000</v>
      </c>
      <c r="H49" s="336">
        <v>33430000</v>
      </c>
      <c r="I49" s="334">
        <f>H49/G49*100</f>
        <v>37.833861475780893</v>
      </c>
      <c r="J49" s="175">
        <f>G49-H49</f>
        <v>54930000</v>
      </c>
      <c r="K49" s="334">
        <f>J49/G49*100</f>
        <v>62.166138524219107</v>
      </c>
      <c r="L49" s="341">
        <v>5720000</v>
      </c>
    </row>
    <row r="50" spans="1:12" ht="13.8" hidden="1" x14ac:dyDescent="0.25">
      <c r="A50" s="7" t="s">
        <v>1842</v>
      </c>
      <c r="B50" s="152"/>
      <c r="C50" s="151" t="s">
        <v>4010</v>
      </c>
      <c r="D50" s="152">
        <v>1</v>
      </c>
      <c r="E50" s="152" t="s">
        <v>97</v>
      </c>
      <c r="F50" s="153">
        <v>6655000</v>
      </c>
      <c r="G50" s="153">
        <f>ROUNDDOWN(D50*F50,-3)</f>
        <v>6655000</v>
      </c>
      <c r="H50" s="333"/>
      <c r="I50" s="153"/>
      <c r="J50" s="153"/>
      <c r="K50" s="153"/>
    </row>
    <row r="51" spans="1:12" ht="13.8" hidden="1" x14ac:dyDescent="0.25">
      <c r="A51" s="7" t="s">
        <v>1843</v>
      </c>
      <c r="B51" s="152"/>
      <c r="C51" s="151" t="s">
        <v>4011</v>
      </c>
      <c r="D51" s="152">
        <v>1</v>
      </c>
      <c r="E51" s="152" t="s">
        <v>60</v>
      </c>
      <c r="F51" s="153">
        <v>75605000</v>
      </c>
      <c r="G51" s="153">
        <f>ROUNDDOWN(D51*F51,-3)</f>
        <v>75605000</v>
      </c>
      <c r="H51" s="333"/>
      <c r="I51" s="153"/>
      <c r="J51" s="153"/>
      <c r="K51" s="153"/>
    </row>
    <row r="52" spans="1:12" ht="13.8" hidden="1" x14ac:dyDescent="0.25">
      <c r="A52" s="7" t="s">
        <v>1844</v>
      </c>
      <c r="B52" s="152"/>
      <c r="C52" s="151" t="s">
        <v>4012</v>
      </c>
      <c r="D52" s="152">
        <v>1</v>
      </c>
      <c r="E52" s="152" t="s">
        <v>97</v>
      </c>
      <c r="F52" s="153">
        <v>6100000</v>
      </c>
      <c r="G52" s="153">
        <f>ROUNDDOWN(D52*F52,-3)</f>
        <v>6100000</v>
      </c>
      <c r="H52" s="333"/>
      <c r="I52" s="153"/>
      <c r="J52" s="153"/>
      <c r="K52" s="153"/>
    </row>
    <row r="53" spans="1:12" ht="13.8" x14ac:dyDescent="0.25">
      <c r="A53" s="7" t="s">
        <v>1845</v>
      </c>
      <c r="B53" s="192">
        <v>512411</v>
      </c>
      <c r="C53" s="191" t="s">
        <v>88</v>
      </c>
      <c r="D53" s="192"/>
      <c r="E53" s="192"/>
      <c r="F53" s="193"/>
      <c r="G53" s="193">
        <f>G54</f>
        <v>2635488000</v>
      </c>
      <c r="H53" s="336">
        <v>839370902</v>
      </c>
      <c r="I53" s="334">
        <f>H53/G53*100</f>
        <v>31.848784817081317</v>
      </c>
      <c r="J53" s="175">
        <f>G53-H53</f>
        <v>1796117098</v>
      </c>
      <c r="K53" s="334">
        <f>J53/G53*100</f>
        <v>68.151215182918691</v>
      </c>
      <c r="L53" s="341">
        <v>3000</v>
      </c>
    </row>
    <row r="54" spans="1:12" ht="13.8" hidden="1" x14ac:dyDescent="0.25">
      <c r="A54" s="7" t="s">
        <v>1846</v>
      </c>
      <c r="B54" s="152"/>
      <c r="C54" s="151" t="s">
        <v>4013</v>
      </c>
      <c r="D54" s="152">
        <v>1</v>
      </c>
      <c r="E54" s="152" t="s">
        <v>153</v>
      </c>
      <c r="F54" s="153">
        <v>2635488000</v>
      </c>
      <c r="G54" s="153">
        <f>ROUNDDOWN(D54*F54,-3)</f>
        <v>2635488000</v>
      </c>
      <c r="H54" s="333"/>
      <c r="I54" s="153"/>
      <c r="J54" s="153"/>
      <c r="K54" s="153"/>
    </row>
    <row r="55" spans="1:12" ht="13.8" x14ac:dyDescent="0.25">
      <c r="A55" s="7" t="s">
        <v>4041</v>
      </c>
      <c r="B55" s="192" t="s">
        <v>2208</v>
      </c>
      <c r="C55" s="191" t="s">
        <v>4042</v>
      </c>
      <c r="D55" s="192"/>
      <c r="E55" s="192"/>
      <c r="F55" s="193"/>
      <c r="G55" s="193">
        <f>G56</f>
        <v>323949000</v>
      </c>
      <c r="H55" s="336">
        <f>H56</f>
        <v>0</v>
      </c>
      <c r="I55" s="334">
        <f>H55/G55*100</f>
        <v>0</v>
      </c>
      <c r="J55" s="175">
        <f>G55-H55</f>
        <v>323949000</v>
      </c>
      <c r="K55" s="334">
        <f>J55/G55*100</f>
        <v>100</v>
      </c>
    </row>
    <row r="56" spans="1:12" ht="13.8" x14ac:dyDescent="0.25">
      <c r="A56" s="7" t="s">
        <v>4043</v>
      </c>
      <c r="B56" s="192">
        <v>512411</v>
      </c>
      <c r="C56" s="191" t="s">
        <v>88</v>
      </c>
      <c r="D56" s="192"/>
      <c r="E56" s="192"/>
      <c r="F56" s="193"/>
      <c r="G56" s="193">
        <f>G57</f>
        <v>323949000</v>
      </c>
      <c r="H56" s="336">
        <v>0</v>
      </c>
      <c r="I56" s="334">
        <f>H56/G56*100</f>
        <v>0</v>
      </c>
      <c r="J56" s="175">
        <f>G56-H56</f>
        <v>323949000</v>
      </c>
      <c r="K56" s="334">
        <f>J56/G56*100</f>
        <v>100</v>
      </c>
    </row>
    <row r="57" spans="1:12" ht="13.8" hidden="1" x14ac:dyDescent="0.25">
      <c r="A57" s="7" t="s">
        <v>4044</v>
      </c>
      <c r="B57" s="152"/>
      <c r="C57" s="151" t="s">
        <v>4045</v>
      </c>
      <c r="D57" s="152">
        <v>1</v>
      </c>
      <c r="E57" s="152" t="s">
        <v>4046</v>
      </c>
      <c r="F57" s="153">
        <v>323949000</v>
      </c>
      <c r="G57" s="153">
        <f>ROUNDDOWN(D57*F57,-3)</f>
        <v>323949000</v>
      </c>
      <c r="H57" s="153"/>
      <c r="I57" s="332"/>
      <c r="J57" s="332"/>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8" priority="18">
      <formula>NOT(_xlfn.ISFORMULA(G12))</formula>
    </cfRule>
  </conditionalFormatting>
  <conditionalFormatting sqref="B11:K12 K56:K57">
    <cfRule type="expression" dxfId="67" priority="19">
      <formula>AND(#REF!="Ya",#REF!=ROW())</formula>
    </cfRule>
  </conditionalFormatting>
  <conditionalFormatting sqref="B13:J57">
    <cfRule type="expression" dxfId="66" priority="22">
      <formula>AND(#REF!="Ya",#REF!=ROW())</formula>
    </cfRule>
  </conditionalFormatting>
  <conditionalFormatting sqref="K13:K56">
    <cfRule type="expression" dxfId="65" priority="4">
      <formula>AND(#REF!="Ya",#REF!=ROW())</formula>
    </cfRule>
  </conditionalFormatting>
  <conditionalFormatting sqref="I55:I56 I53 I49 I47 I45 I41 I37 I33 I29 I25 I21 I13:I17">
    <cfRule type="expression" dxfId="64" priority="3">
      <formula>AND(#REF!="Ya",#REF!=ROW())</formula>
    </cfRule>
  </conditionalFormatting>
  <conditionalFormatting sqref="J55:J56 J53 J49 J47 J45 J41 J37 J33 J29 J25 J21 J13:J17">
    <cfRule type="expression" dxfId="63" priority="2">
      <formula>AND(#REF!="Ya",#REF!=ROW())</formula>
    </cfRule>
  </conditionalFormatting>
  <conditionalFormatting sqref="K55 K53 K49 K47 K45 K41 K37 K33 K29 K25 K21 K13:K17">
    <cfRule type="expression" dxfId="62"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09375" defaultRowHeight="13.2" x14ac:dyDescent="0.25"/>
  <cols>
    <col min="1" max="1" width="35.88671875" style="178"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0" width="16.88671875" style="182" customWidth="1"/>
    <col min="11" max="13" width="20" style="117" customWidth="1"/>
    <col min="14" max="14" width="9.109375" style="117"/>
    <col min="15" max="15" width="15" style="117" customWidth="1"/>
    <col min="16" max="16384" width="9.109375" style="117"/>
  </cols>
  <sheetData>
    <row r="1" spans="1:24" ht="15.6" x14ac:dyDescent="0.25">
      <c r="B1" s="443" t="s">
        <v>598</v>
      </c>
      <c r="C1" s="443"/>
      <c r="D1" s="443"/>
      <c r="E1" s="443"/>
      <c r="F1" s="443"/>
      <c r="G1" s="451"/>
      <c r="H1" s="294"/>
      <c r="I1" s="294"/>
      <c r="J1" s="294"/>
    </row>
    <row r="2" spans="1:24" ht="15.6" x14ac:dyDescent="0.3">
      <c r="B2" s="452" t="s">
        <v>4825</v>
      </c>
      <c r="C2" s="452"/>
      <c r="D2" s="452"/>
      <c r="E2" s="452"/>
      <c r="F2" s="452"/>
      <c r="G2" s="453"/>
      <c r="H2" s="296"/>
      <c r="I2" s="296"/>
      <c r="J2" s="296"/>
    </row>
    <row r="3" spans="1:24" ht="15.6" x14ac:dyDescent="0.3">
      <c r="B3" s="295"/>
      <c r="C3" s="295"/>
      <c r="D3" s="295"/>
      <c r="E3" s="295"/>
      <c r="F3" s="295"/>
      <c r="G3" s="296"/>
      <c r="H3" s="296"/>
      <c r="I3" s="296"/>
      <c r="J3" s="296"/>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16.863.164.000</v>
      </c>
      <c r="D7" s="53"/>
      <c r="E7" s="53"/>
      <c r="F7" s="50"/>
      <c r="G7" s="143"/>
      <c r="H7" s="143"/>
      <c r="I7" s="143"/>
      <c r="J7" s="143"/>
    </row>
    <row r="8" spans="1:24" ht="15" x14ac:dyDescent="0.25">
      <c r="B8" s="189"/>
      <c r="C8" s="189"/>
      <c r="D8" s="189"/>
      <c r="E8" s="189"/>
      <c r="F8" s="189"/>
      <c r="G8" s="190"/>
      <c r="H8" s="190"/>
      <c r="I8" s="190"/>
      <c r="J8" s="190"/>
    </row>
    <row r="9" spans="1:24" ht="13.8" x14ac:dyDescent="0.25">
      <c r="B9" s="454" t="s">
        <v>606</v>
      </c>
      <c r="C9" s="455" t="s">
        <v>607</v>
      </c>
      <c r="D9" s="456" t="s">
        <v>608</v>
      </c>
      <c r="E9" s="454" t="s">
        <v>609</v>
      </c>
      <c r="F9" s="456" t="s">
        <v>610</v>
      </c>
      <c r="G9" s="450" t="s">
        <v>611</v>
      </c>
      <c r="H9" s="208"/>
      <c r="I9" s="208"/>
      <c r="J9" s="208"/>
      <c r="K9" s="457" t="s">
        <v>4629</v>
      </c>
      <c r="L9" s="457"/>
      <c r="M9" s="457"/>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46"/>
      <c r="C10" s="446"/>
      <c r="D10" s="449"/>
      <c r="E10" s="449"/>
      <c r="F10" s="446"/>
      <c r="G10" s="446"/>
      <c r="H10" s="217"/>
      <c r="I10" s="217"/>
      <c r="J10" s="217"/>
      <c r="K10" s="293" t="s">
        <v>4641</v>
      </c>
      <c r="L10" s="293" t="s">
        <v>4642</v>
      </c>
      <c r="M10" s="293"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16863164000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26.4"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26.4"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26.4"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26.4"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26.4"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26.4"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26.4"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26.4"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SUM(G115,G486)</f>
        <v>15863164000</v>
      </c>
      <c r="H114" s="210" t="b">
        <f t="shared" si="2"/>
        <v>1</v>
      </c>
      <c r="I114" s="210"/>
      <c r="J114" s="210"/>
    </row>
    <row r="115" spans="1:10" ht="26.4" x14ac:dyDescent="0.25">
      <c r="A115" s="21" t="s">
        <v>494</v>
      </c>
      <c r="B115" s="55">
        <v>2378</v>
      </c>
      <c r="C115" s="26" t="s">
        <v>71</v>
      </c>
      <c r="D115" s="68"/>
      <c r="E115" s="55"/>
      <c r="F115" s="27"/>
      <c r="G115" s="27">
        <f>SUM(G116,G122,G337,G343)</f>
        <v>7280664000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26.4"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5085940000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26.4"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26.4"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26.4"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26.4"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26.4"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26.4"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26.4"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26.4"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26.4"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26.4"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26.4"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26.4"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26.4"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26.4"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f>
        <v>2195658000</v>
      </c>
      <c r="H263" s="210" t="b">
        <f t="shared" si="4"/>
        <v>1</v>
      </c>
      <c r="I263" s="210"/>
      <c r="J263" s="210"/>
    </row>
    <row r="264" spans="1:10" ht="13.8" x14ac:dyDescent="0.25">
      <c r="A264" s="7" t="s">
        <v>1847</v>
      </c>
      <c r="B264" s="58" t="s">
        <v>557</v>
      </c>
      <c r="C264" s="35" t="s">
        <v>89</v>
      </c>
      <c r="D264" s="58"/>
      <c r="E264" s="58"/>
      <c r="F264" s="36"/>
      <c r="G264" s="36">
        <f>SUM(G265,G286,G292,G305,G320)</f>
        <v>2195658000</v>
      </c>
      <c r="H264" s="210" t="b">
        <f t="shared" ref="H264:H290" si="7">_xlfn.ISFORMULA(G264)</f>
        <v>1</v>
      </c>
      <c r="I264" s="210"/>
      <c r="J264" s="210"/>
    </row>
    <row r="265" spans="1:10" ht="26.4" x14ac:dyDescent="0.25">
      <c r="A265" s="7" t="s">
        <v>2170</v>
      </c>
      <c r="B265" s="59" t="s">
        <v>1807</v>
      </c>
      <c r="C265" s="38" t="s">
        <v>2171</v>
      </c>
      <c r="D265" s="59"/>
      <c r="E265" s="59"/>
      <c r="F265" s="39"/>
      <c r="G265" s="39">
        <f>SUM(G266,G276)</f>
        <v>1254380000</v>
      </c>
      <c r="H265" s="210" t="b">
        <f t="shared" si="7"/>
        <v>1</v>
      </c>
      <c r="I265" s="210"/>
      <c r="J265" s="210"/>
    </row>
    <row r="266" spans="1:10" ht="13.8" x14ac:dyDescent="0.25">
      <c r="A266" s="7" t="s">
        <v>2172</v>
      </c>
      <c r="B266" s="60">
        <v>521111</v>
      </c>
      <c r="C266" s="41" t="s">
        <v>90</v>
      </c>
      <c r="D266" s="60"/>
      <c r="E266" s="60"/>
      <c r="F266" s="42"/>
      <c r="G266" s="42">
        <f>SUM(G267:G275)</f>
        <v>1076220000</v>
      </c>
      <c r="H266" s="210" t="b">
        <f t="shared" si="7"/>
        <v>1</v>
      </c>
      <c r="I266" s="210"/>
      <c r="J266" s="210"/>
    </row>
    <row r="267" spans="1:10" ht="13.8" x14ac:dyDescent="0.25">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3.8" x14ac:dyDescent="0.25">
      <c r="A268" s="7" t="s">
        <v>2174</v>
      </c>
      <c r="B268" s="152"/>
      <c r="C268" s="151" t="s">
        <v>4182</v>
      </c>
      <c r="D268" s="152">
        <v>1</v>
      </c>
      <c r="E268" s="152" t="s">
        <v>60</v>
      </c>
      <c r="F268" s="153">
        <v>60000000</v>
      </c>
      <c r="G268" s="153">
        <f t="shared" si="8"/>
        <v>60000000</v>
      </c>
      <c r="H268" s="210" t="b">
        <f t="shared" si="7"/>
        <v>1</v>
      </c>
      <c r="I268" s="210"/>
      <c r="J268" s="210"/>
    </row>
    <row r="269" spans="1:10" ht="13.8" x14ac:dyDescent="0.25">
      <c r="A269" s="7" t="s">
        <v>2176</v>
      </c>
      <c r="B269" s="152"/>
      <c r="C269" s="151" t="s">
        <v>4183</v>
      </c>
      <c r="D269" s="152">
        <v>156</v>
      </c>
      <c r="E269" s="152" t="s">
        <v>21</v>
      </c>
      <c r="F269" s="153">
        <v>4858000</v>
      </c>
      <c r="G269" s="153">
        <f t="shared" si="8"/>
        <v>757848000</v>
      </c>
      <c r="H269" s="210" t="b">
        <f t="shared" si="7"/>
        <v>1</v>
      </c>
      <c r="I269" s="210"/>
      <c r="J269" s="210"/>
    </row>
    <row r="270" spans="1:10" ht="13.8" x14ac:dyDescent="0.25">
      <c r="A270" s="7" t="s">
        <v>2178</v>
      </c>
      <c r="B270" s="152"/>
      <c r="C270" s="151" t="s">
        <v>4184</v>
      </c>
      <c r="D270" s="152">
        <v>13</v>
      </c>
      <c r="E270" s="152" t="s">
        <v>32</v>
      </c>
      <c r="F270" s="153">
        <v>5344000</v>
      </c>
      <c r="G270" s="153">
        <f t="shared" si="8"/>
        <v>69472000</v>
      </c>
      <c r="H270" s="210" t="b">
        <f t="shared" si="7"/>
        <v>1</v>
      </c>
      <c r="I270" s="210"/>
      <c r="J270" s="210"/>
    </row>
    <row r="271" spans="1:10" ht="13.8" x14ac:dyDescent="0.25">
      <c r="A271" s="7" t="s">
        <v>2179</v>
      </c>
      <c r="B271" s="152"/>
      <c r="C271" s="151" t="s">
        <v>4185</v>
      </c>
      <c r="D271" s="152">
        <v>12</v>
      </c>
      <c r="E271" s="152" t="s">
        <v>78</v>
      </c>
      <c r="F271" s="153">
        <v>500000</v>
      </c>
      <c r="G271" s="153">
        <f t="shared" si="8"/>
        <v>6000000</v>
      </c>
      <c r="H271" s="210" t="b">
        <f t="shared" si="7"/>
        <v>1</v>
      </c>
      <c r="I271" s="210"/>
      <c r="J271" s="210"/>
    </row>
    <row r="272" spans="1:10" ht="13.8" x14ac:dyDescent="0.25">
      <c r="A272" s="7" t="s">
        <v>2181</v>
      </c>
      <c r="B272" s="152"/>
      <c r="C272" s="151" t="s">
        <v>4186</v>
      </c>
      <c r="D272" s="152">
        <v>100</v>
      </c>
      <c r="E272" s="152" t="s">
        <v>58</v>
      </c>
      <c r="F272" s="153">
        <v>500000</v>
      </c>
      <c r="G272" s="153">
        <f t="shared" si="8"/>
        <v>50000000</v>
      </c>
      <c r="H272" s="210" t="b">
        <f t="shared" si="7"/>
        <v>1</v>
      </c>
      <c r="I272" s="210"/>
      <c r="J272" s="210"/>
    </row>
    <row r="273" spans="1:10" ht="13.8" x14ac:dyDescent="0.25">
      <c r="A273" s="7" t="s">
        <v>2183</v>
      </c>
      <c r="B273" s="152"/>
      <c r="C273" s="151" t="s">
        <v>4187</v>
      </c>
      <c r="D273" s="152">
        <v>12</v>
      </c>
      <c r="E273" s="152" t="s">
        <v>115</v>
      </c>
      <c r="F273" s="153">
        <v>750000</v>
      </c>
      <c r="G273" s="153">
        <f t="shared" si="8"/>
        <v>9000000</v>
      </c>
      <c r="H273" s="210" t="b">
        <f t="shared" si="7"/>
        <v>1</v>
      </c>
      <c r="I273" s="210"/>
      <c r="J273" s="210"/>
    </row>
    <row r="274" spans="1:10" ht="13.8" x14ac:dyDescent="0.25">
      <c r="A274" s="7" t="s">
        <v>2185</v>
      </c>
      <c r="B274" s="152"/>
      <c r="C274" s="151" t="s">
        <v>4188</v>
      </c>
      <c r="D274" s="152">
        <v>12</v>
      </c>
      <c r="E274" s="152" t="s">
        <v>115</v>
      </c>
      <c r="F274" s="153">
        <v>1325000</v>
      </c>
      <c r="G274" s="153">
        <f t="shared" si="8"/>
        <v>15900000</v>
      </c>
      <c r="H274" s="210" t="b">
        <f t="shared" si="7"/>
        <v>1</v>
      </c>
      <c r="I274" s="210"/>
      <c r="J274" s="210"/>
    </row>
    <row r="275" spans="1:10" ht="13.8" x14ac:dyDescent="0.25">
      <c r="A275" s="7" t="s">
        <v>2187</v>
      </c>
      <c r="B275" s="152"/>
      <c r="C275" s="151" t="s">
        <v>4189</v>
      </c>
      <c r="D275" s="152">
        <v>12</v>
      </c>
      <c r="E275" s="152" t="s">
        <v>78</v>
      </c>
      <c r="F275" s="153">
        <v>2500000</v>
      </c>
      <c r="G275" s="153">
        <f t="shared" si="8"/>
        <v>30000000</v>
      </c>
      <c r="H275" s="210" t="b">
        <f t="shared" si="7"/>
        <v>1</v>
      </c>
      <c r="I275" s="210"/>
      <c r="J275" s="210"/>
    </row>
    <row r="276" spans="1:10" ht="13.8" x14ac:dyDescent="0.25">
      <c r="A276" s="7" t="s">
        <v>2189</v>
      </c>
      <c r="B276" s="60">
        <v>521811</v>
      </c>
      <c r="C276" s="41" t="s">
        <v>64</v>
      </c>
      <c r="D276" s="60"/>
      <c r="E276" s="60"/>
      <c r="F276" s="42"/>
      <c r="G276" s="42">
        <f>SUM(G277:G285)</f>
        <v>178160000</v>
      </c>
      <c r="H276" s="210" t="b">
        <f t="shared" si="7"/>
        <v>1</v>
      </c>
      <c r="I276" s="210"/>
      <c r="J276" s="210"/>
    </row>
    <row r="277" spans="1:10" ht="13.8" x14ac:dyDescent="0.25">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3.8" x14ac:dyDescent="0.25">
      <c r="A278" s="7" t="s">
        <v>2191</v>
      </c>
      <c r="B278" s="152"/>
      <c r="C278" s="151" t="s">
        <v>3626</v>
      </c>
      <c r="D278" s="152">
        <v>40</v>
      </c>
      <c r="E278" s="152" t="s">
        <v>9</v>
      </c>
      <c r="F278" s="153">
        <v>1500000</v>
      </c>
      <c r="G278" s="153">
        <f t="shared" si="9"/>
        <v>60000000</v>
      </c>
      <c r="H278" s="210" t="b">
        <f t="shared" si="7"/>
        <v>1</v>
      </c>
      <c r="I278" s="210"/>
      <c r="J278" s="210"/>
    </row>
    <row r="279" spans="1:10" ht="13.8" x14ac:dyDescent="0.25">
      <c r="A279" s="7" t="s">
        <v>2192</v>
      </c>
      <c r="B279" s="152"/>
      <c r="C279" s="151" t="s">
        <v>4190</v>
      </c>
      <c r="D279" s="152">
        <v>192</v>
      </c>
      <c r="E279" s="152" t="s">
        <v>9</v>
      </c>
      <c r="F279" s="153">
        <v>50000</v>
      </c>
      <c r="G279" s="153">
        <f t="shared" si="9"/>
        <v>9600000</v>
      </c>
      <c r="H279" s="210" t="b">
        <f t="shared" si="7"/>
        <v>1</v>
      </c>
      <c r="I279" s="210"/>
      <c r="J279" s="210"/>
    </row>
    <row r="280" spans="1:10" ht="13.8" x14ac:dyDescent="0.25">
      <c r="A280" s="7" t="s">
        <v>2194</v>
      </c>
      <c r="B280" s="152"/>
      <c r="C280" s="151" t="s">
        <v>4191</v>
      </c>
      <c r="D280" s="152">
        <v>192</v>
      </c>
      <c r="E280" s="152" t="s">
        <v>9</v>
      </c>
      <c r="F280" s="153">
        <v>55000</v>
      </c>
      <c r="G280" s="153">
        <f t="shared" si="9"/>
        <v>10560000</v>
      </c>
      <c r="H280" s="210" t="b">
        <f t="shared" si="7"/>
        <v>1</v>
      </c>
      <c r="I280" s="210"/>
      <c r="J280" s="210"/>
    </row>
    <row r="281" spans="1:10" ht="13.8" x14ac:dyDescent="0.25">
      <c r="A281" s="7" t="s">
        <v>2196</v>
      </c>
      <c r="B281" s="152"/>
      <c r="C281" s="151" t="s">
        <v>4192</v>
      </c>
      <c r="D281" s="152">
        <v>50</v>
      </c>
      <c r="E281" s="152" t="s">
        <v>2198</v>
      </c>
      <c r="F281" s="153">
        <v>220000</v>
      </c>
      <c r="G281" s="153">
        <f t="shared" si="9"/>
        <v>11000000</v>
      </c>
      <c r="H281" s="210" t="b">
        <f t="shared" si="7"/>
        <v>1</v>
      </c>
      <c r="I281" s="210"/>
      <c r="J281" s="210"/>
    </row>
    <row r="282" spans="1:10" ht="13.8" x14ac:dyDescent="0.25">
      <c r="A282" s="7" t="s">
        <v>2199</v>
      </c>
      <c r="B282" s="152"/>
      <c r="C282" s="151" t="s">
        <v>4193</v>
      </c>
      <c r="D282" s="152">
        <v>50</v>
      </c>
      <c r="E282" s="152" t="s">
        <v>2198</v>
      </c>
      <c r="F282" s="153">
        <v>240000</v>
      </c>
      <c r="G282" s="153">
        <f t="shared" si="9"/>
        <v>12000000</v>
      </c>
      <c r="H282" s="210" t="b">
        <f t="shared" si="7"/>
        <v>1</v>
      </c>
      <c r="I282" s="210"/>
      <c r="J282" s="210"/>
    </row>
    <row r="283" spans="1:10" ht="13.8" x14ac:dyDescent="0.25">
      <c r="A283" s="7" t="s">
        <v>2201</v>
      </c>
      <c r="B283" s="152"/>
      <c r="C283" s="151" t="s">
        <v>4194</v>
      </c>
      <c r="D283" s="152">
        <v>800</v>
      </c>
      <c r="E283" s="152" t="s">
        <v>120</v>
      </c>
      <c r="F283" s="153">
        <v>5000</v>
      </c>
      <c r="G283" s="153">
        <f t="shared" si="9"/>
        <v>4000000</v>
      </c>
      <c r="H283" s="210" t="b">
        <f t="shared" si="7"/>
        <v>1</v>
      </c>
      <c r="I283" s="210"/>
      <c r="J283" s="210"/>
    </row>
    <row r="284" spans="1:10" ht="13.8" x14ac:dyDescent="0.25">
      <c r="A284" s="7" t="s">
        <v>2203</v>
      </c>
      <c r="B284" s="152"/>
      <c r="C284" s="151" t="s">
        <v>4195</v>
      </c>
      <c r="D284" s="152">
        <v>50</v>
      </c>
      <c r="E284" s="152" t="s">
        <v>1422</v>
      </c>
      <c r="F284" s="153">
        <v>220000</v>
      </c>
      <c r="G284" s="153">
        <f t="shared" si="9"/>
        <v>11000000</v>
      </c>
      <c r="H284" s="210" t="b">
        <f t="shared" si="7"/>
        <v>1</v>
      </c>
      <c r="I284" s="210"/>
      <c r="J284" s="210"/>
    </row>
    <row r="285" spans="1:10" ht="13.8" x14ac:dyDescent="0.25">
      <c r="A285" s="7" t="s">
        <v>2205</v>
      </c>
      <c r="B285" s="152"/>
      <c r="C285" s="151" t="s">
        <v>4196</v>
      </c>
      <c r="D285" s="152">
        <v>800</v>
      </c>
      <c r="E285" s="152" t="s">
        <v>120</v>
      </c>
      <c r="F285" s="153">
        <v>25000</v>
      </c>
      <c r="G285" s="153">
        <f t="shared" si="9"/>
        <v>20000000</v>
      </c>
      <c r="H285" s="210" t="b">
        <f t="shared" si="7"/>
        <v>1</v>
      </c>
      <c r="I285" s="210"/>
      <c r="J285" s="210"/>
    </row>
    <row r="286" spans="1:10" ht="13.8" x14ac:dyDescent="0.25">
      <c r="A286" s="7" t="s">
        <v>2207</v>
      </c>
      <c r="B286" s="59" t="s">
        <v>2208</v>
      </c>
      <c r="C286" s="38" t="s">
        <v>2209</v>
      </c>
      <c r="D286" s="59"/>
      <c r="E286" s="59"/>
      <c r="F286" s="39"/>
      <c r="G286" s="39">
        <f>SUM(G287,G289)</f>
        <v>148852000</v>
      </c>
      <c r="H286" s="210" t="b">
        <f t="shared" si="7"/>
        <v>1</v>
      </c>
      <c r="I286" s="210"/>
      <c r="J286" s="210"/>
    </row>
    <row r="287" spans="1:10" ht="13.8" x14ac:dyDescent="0.25">
      <c r="A287" s="7" t="s">
        <v>2210</v>
      </c>
      <c r="B287" s="60">
        <v>521114</v>
      </c>
      <c r="C287" s="41" t="s">
        <v>94</v>
      </c>
      <c r="D287" s="60"/>
      <c r="E287" s="60"/>
      <c r="F287" s="42"/>
      <c r="G287" s="42">
        <f>G288</f>
        <v>30000000</v>
      </c>
      <c r="H287" s="210" t="b">
        <f t="shared" si="7"/>
        <v>1</v>
      </c>
      <c r="I287" s="210"/>
      <c r="J287" s="210"/>
    </row>
    <row r="288" spans="1:10" ht="13.8" x14ac:dyDescent="0.25">
      <c r="A288" s="7" t="s">
        <v>2211</v>
      </c>
      <c r="B288" s="152"/>
      <c r="C288" s="151" t="s">
        <v>4197</v>
      </c>
      <c r="D288" s="152">
        <v>12</v>
      </c>
      <c r="E288" s="152" t="s">
        <v>78</v>
      </c>
      <c r="F288" s="153">
        <v>2500000</v>
      </c>
      <c r="G288" s="153">
        <f>ROUNDDOWN(D288*F288,-3)</f>
        <v>30000000</v>
      </c>
      <c r="H288" s="210" t="b">
        <f t="shared" si="7"/>
        <v>1</v>
      </c>
      <c r="I288" s="210"/>
      <c r="J288" s="210"/>
    </row>
    <row r="289" spans="1:10" ht="13.8" x14ac:dyDescent="0.25">
      <c r="A289" s="7" t="s">
        <v>2213</v>
      </c>
      <c r="B289" s="60">
        <v>522141</v>
      </c>
      <c r="C289" s="41" t="s">
        <v>95</v>
      </c>
      <c r="D289" s="60"/>
      <c r="E289" s="60"/>
      <c r="F289" s="42"/>
      <c r="G289" s="42">
        <f>SUM(G290:G291)</f>
        <v>118852000</v>
      </c>
      <c r="H289" s="210" t="b">
        <f t="shared" si="7"/>
        <v>1</v>
      </c>
      <c r="I289" s="210"/>
      <c r="J289" s="210"/>
    </row>
    <row r="290" spans="1:10" ht="13.8" x14ac:dyDescent="0.25">
      <c r="A290" s="7" t="s">
        <v>2214</v>
      </c>
      <c r="B290" s="152"/>
      <c r="C290" s="151" t="s">
        <v>4198</v>
      </c>
      <c r="D290" s="152">
        <v>12</v>
      </c>
      <c r="E290" s="152" t="s">
        <v>78</v>
      </c>
      <c r="F290" s="153">
        <v>5000000</v>
      </c>
      <c r="G290" s="153">
        <f>ROUNDDOWN(D290*F290,-3)</f>
        <v>60000000</v>
      </c>
      <c r="H290" s="210" t="b">
        <f t="shared" si="7"/>
        <v>1</v>
      </c>
      <c r="I290" s="210"/>
      <c r="J290" s="210"/>
    </row>
    <row r="291" spans="1:10" ht="13.8" x14ac:dyDescent="0.25">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3.8" x14ac:dyDescent="0.25">
      <c r="A292" s="7" t="s">
        <v>2218</v>
      </c>
      <c r="B292" s="59" t="s">
        <v>2219</v>
      </c>
      <c r="C292" s="38" t="s">
        <v>2220</v>
      </c>
      <c r="D292" s="59"/>
      <c r="E292" s="59"/>
      <c r="F292" s="39"/>
      <c r="G292" s="39">
        <f>SUM(G293,G303)</f>
        <v>533050000</v>
      </c>
      <c r="H292" s="210" t="b">
        <f t="shared" si="10"/>
        <v>1</v>
      </c>
      <c r="I292" s="210"/>
      <c r="J292" s="210"/>
    </row>
    <row r="293" spans="1:10" ht="13.8" x14ac:dyDescent="0.25">
      <c r="A293" s="7" t="s">
        <v>2221</v>
      </c>
      <c r="B293" s="60">
        <v>523121</v>
      </c>
      <c r="C293" s="41" t="s">
        <v>99</v>
      </c>
      <c r="D293" s="60"/>
      <c r="E293" s="60"/>
      <c r="F293" s="42"/>
      <c r="G293" s="42">
        <f>SUM(G294:G302)</f>
        <v>497050000</v>
      </c>
      <c r="H293" s="210" t="b">
        <f t="shared" si="10"/>
        <v>1</v>
      </c>
      <c r="I293" s="210"/>
      <c r="J293" s="210"/>
    </row>
    <row r="294" spans="1:10" ht="26.4" x14ac:dyDescent="0.25">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3.8" x14ac:dyDescent="0.25">
      <c r="A295" s="7" t="s">
        <v>2224</v>
      </c>
      <c r="B295" s="152"/>
      <c r="C295" s="151" t="s">
        <v>4201</v>
      </c>
      <c r="D295" s="152">
        <v>9</v>
      </c>
      <c r="E295" s="152" t="s">
        <v>4202</v>
      </c>
      <c r="F295" s="153">
        <v>32850000</v>
      </c>
      <c r="G295" s="153">
        <f t="shared" si="11"/>
        <v>295650000</v>
      </c>
      <c r="H295" s="210" t="b">
        <f t="shared" si="10"/>
        <v>1</v>
      </c>
      <c r="I295" s="210"/>
      <c r="J295" s="210"/>
    </row>
    <row r="296" spans="1:10" ht="13.8" x14ac:dyDescent="0.25">
      <c r="A296" s="7" t="s">
        <v>2226</v>
      </c>
      <c r="B296" s="152"/>
      <c r="C296" s="151" t="s">
        <v>4203</v>
      </c>
      <c r="D296" s="152">
        <v>5</v>
      </c>
      <c r="E296" s="152" t="s">
        <v>42</v>
      </c>
      <c r="F296" s="153">
        <v>3640000</v>
      </c>
      <c r="G296" s="153">
        <f t="shared" si="11"/>
        <v>18200000</v>
      </c>
      <c r="H296" s="210" t="b">
        <f t="shared" si="10"/>
        <v>1</v>
      </c>
      <c r="I296" s="210"/>
      <c r="J296" s="210"/>
    </row>
    <row r="297" spans="1:10" ht="13.8" x14ac:dyDescent="0.25">
      <c r="A297" s="7" t="s">
        <v>2228</v>
      </c>
      <c r="B297" s="152"/>
      <c r="C297" s="151" t="s">
        <v>4204</v>
      </c>
      <c r="D297" s="152">
        <v>40</v>
      </c>
      <c r="E297" s="152" t="s">
        <v>42</v>
      </c>
      <c r="F297" s="153">
        <v>730000</v>
      </c>
      <c r="G297" s="153">
        <f t="shared" si="11"/>
        <v>29200000</v>
      </c>
      <c r="H297" s="210" t="b">
        <f t="shared" si="10"/>
        <v>1</v>
      </c>
      <c r="I297" s="210"/>
      <c r="J297" s="210"/>
    </row>
    <row r="298" spans="1:10" ht="13.8" x14ac:dyDescent="0.25">
      <c r="A298" s="7" t="s">
        <v>2229</v>
      </c>
      <c r="B298" s="152"/>
      <c r="C298" s="151" t="s">
        <v>4205</v>
      </c>
      <c r="D298" s="152">
        <v>35</v>
      </c>
      <c r="E298" s="152" t="s">
        <v>44</v>
      </c>
      <c r="F298" s="153">
        <v>730000</v>
      </c>
      <c r="G298" s="153">
        <f t="shared" si="11"/>
        <v>25550000</v>
      </c>
      <c r="H298" s="210" t="b">
        <f t="shared" si="10"/>
        <v>1</v>
      </c>
      <c r="I298" s="210"/>
      <c r="J298" s="210"/>
    </row>
    <row r="299" spans="1:10" ht="13.8" x14ac:dyDescent="0.25">
      <c r="A299" s="7" t="s">
        <v>2230</v>
      </c>
      <c r="B299" s="152"/>
      <c r="C299" s="151" t="s">
        <v>4206</v>
      </c>
      <c r="D299" s="152">
        <v>35</v>
      </c>
      <c r="E299" s="152" t="s">
        <v>44</v>
      </c>
      <c r="F299" s="153">
        <v>690000</v>
      </c>
      <c r="G299" s="153">
        <f t="shared" si="11"/>
        <v>24150000</v>
      </c>
      <c r="H299" s="210" t="b">
        <f t="shared" si="10"/>
        <v>1</v>
      </c>
      <c r="I299" s="210"/>
      <c r="J299" s="210"/>
    </row>
    <row r="300" spans="1:10" ht="13.8" x14ac:dyDescent="0.25">
      <c r="A300" s="7" t="s">
        <v>2231</v>
      </c>
      <c r="B300" s="152"/>
      <c r="C300" s="151" t="s">
        <v>4207</v>
      </c>
      <c r="D300" s="152">
        <v>3</v>
      </c>
      <c r="E300" s="152" t="s">
        <v>44</v>
      </c>
      <c r="F300" s="153">
        <v>3500000</v>
      </c>
      <c r="G300" s="153">
        <f t="shared" si="11"/>
        <v>10500000</v>
      </c>
      <c r="H300" s="210" t="b">
        <f t="shared" si="10"/>
        <v>1</v>
      </c>
      <c r="I300" s="210"/>
      <c r="J300" s="210"/>
    </row>
    <row r="301" spans="1:10" ht="13.8" x14ac:dyDescent="0.25">
      <c r="A301" s="7" t="s">
        <v>2232</v>
      </c>
      <c r="B301" s="152"/>
      <c r="C301" s="151" t="s">
        <v>4208</v>
      </c>
      <c r="D301" s="152">
        <v>6</v>
      </c>
      <c r="E301" s="152" t="s">
        <v>44</v>
      </c>
      <c r="F301" s="153">
        <v>470000</v>
      </c>
      <c r="G301" s="153">
        <f t="shared" si="11"/>
        <v>2820000</v>
      </c>
      <c r="H301" s="210" t="b">
        <f t="shared" si="10"/>
        <v>1</v>
      </c>
      <c r="I301" s="210"/>
      <c r="J301" s="210"/>
    </row>
    <row r="302" spans="1:10" ht="13.8" x14ac:dyDescent="0.25">
      <c r="A302" s="7" t="s">
        <v>2234</v>
      </c>
      <c r="B302" s="152"/>
      <c r="C302" s="151" t="s">
        <v>4209</v>
      </c>
      <c r="D302" s="152">
        <v>1</v>
      </c>
      <c r="E302" s="152" t="s">
        <v>60</v>
      </c>
      <c r="F302" s="153">
        <v>52250000</v>
      </c>
      <c r="G302" s="153">
        <f t="shared" si="11"/>
        <v>52250000</v>
      </c>
      <c r="H302" s="210" t="b">
        <f t="shared" si="10"/>
        <v>1</v>
      </c>
      <c r="I302" s="210"/>
      <c r="J302" s="210"/>
    </row>
    <row r="303" spans="1:10" ht="13.8" x14ac:dyDescent="0.25">
      <c r="A303" s="7" t="s">
        <v>2235</v>
      </c>
      <c r="B303" s="60">
        <v>523199</v>
      </c>
      <c r="C303" s="41" t="s">
        <v>102</v>
      </c>
      <c r="D303" s="60"/>
      <c r="E303" s="60"/>
      <c r="F303" s="42"/>
      <c r="G303" s="42">
        <f>G304</f>
        <v>36000000</v>
      </c>
      <c r="H303" s="210" t="b">
        <f t="shared" si="10"/>
        <v>1</v>
      </c>
      <c r="I303" s="210"/>
      <c r="J303" s="210"/>
    </row>
    <row r="304" spans="1:10" ht="13.8" x14ac:dyDescent="0.25">
      <c r="A304" s="7" t="s">
        <v>2236</v>
      </c>
      <c r="B304" s="152"/>
      <c r="C304" s="151" t="s">
        <v>4210</v>
      </c>
      <c r="D304" s="152">
        <v>24</v>
      </c>
      <c r="E304" s="152" t="s">
        <v>96</v>
      </c>
      <c r="F304" s="153">
        <v>1500000</v>
      </c>
      <c r="G304" s="153">
        <f>ROUNDDOWN(D304*F304,-3)</f>
        <v>36000000</v>
      </c>
      <c r="H304" s="210" t="b">
        <f t="shared" si="10"/>
        <v>1</v>
      </c>
      <c r="I304" s="210"/>
      <c r="J304" s="210"/>
    </row>
    <row r="305" spans="1:10" ht="26.4" x14ac:dyDescent="0.25">
      <c r="A305" s="7" t="s">
        <v>2238</v>
      </c>
      <c r="B305" s="59" t="s">
        <v>2239</v>
      </c>
      <c r="C305" s="38" t="s">
        <v>2240</v>
      </c>
      <c r="D305" s="59"/>
      <c r="E305" s="59"/>
      <c r="F305" s="39"/>
      <c r="G305" s="39">
        <f>SUM(G306,G309)</f>
        <v>159376000</v>
      </c>
      <c r="H305" s="210" t="b">
        <f t="shared" si="10"/>
        <v>1</v>
      </c>
      <c r="I305" s="210"/>
      <c r="J305" s="210"/>
    </row>
    <row r="306" spans="1:10" ht="13.8" x14ac:dyDescent="0.25">
      <c r="A306" s="7" t="s">
        <v>2241</v>
      </c>
      <c r="B306" s="60">
        <v>521111</v>
      </c>
      <c r="C306" s="41" t="s">
        <v>90</v>
      </c>
      <c r="D306" s="60"/>
      <c r="E306" s="60"/>
      <c r="F306" s="42"/>
      <c r="G306" s="42">
        <f>SUM(G307:G308)</f>
        <v>101040000</v>
      </c>
      <c r="H306" s="210" t="b">
        <f t="shared" si="10"/>
        <v>1</v>
      </c>
      <c r="I306" s="210"/>
      <c r="J306" s="210"/>
    </row>
    <row r="307" spans="1:10" s="212" customFormat="1" ht="13.8" x14ac:dyDescent="0.25">
      <c r="A307" s="211" t="s">
        <v>2242</v>
      </c>
      <c r="B307" s="152"/>
      <c r="C307" s="151" t="s">
        <v>4211</v>
      </c>
      <c r="D307" s="152">
        <v>100</v>
      </c>
      <c r="E307" s="152" t="s">
        <v>2244</v>
      </c>
      <c r="F307" s="153">
        <v>857000</v>
      </c>
      <c r="G307" s="153">
        <f>ROUNDDOWN(D307*F307,-3)</f>
        <v>85700000</v>
      </c>
      <c r="H307" s="210" t="b">
        <f t="shared" si="10"/>
        <v>1</v>
      </c>
      <c r="I307" s="210"/>
      <c r="J307" s="210"/>
    </row>
    <row r="308" spans="1:10" ht="13.8" x14ac:dyDescent="0.25">
      <c r="A308" s="7" t="s">
        <v>2245</v>
      </c>
      <c r="B308" s="152"/>
      <c r="C308" s="151" t="s">
        <v>4212</v>
      </c>
      <c r="D308" s="152">
        <v>26</v>
      </c>
      <c r="E308" s="152" t="s">
        <v>121</v>
      </c>
      <c r="F308" s="153">
        <v>590000</v>
      </c>
      <c r="G308" s="153">
        <f>ROUNDDOWN(D308*F308,-3)</f>
        <v>15340000</v>
      </c>
      <c r="H308" s="210" t="b">
        <f t="shared" si="10"/>
        <v>1</v>
      </c>
      <c r="I308" s="210"/>
      <c r="J308" s="210"/>
    </row>
    <row r="309" spans="1:10" ht="13.8" x14ac:dyDescent="0.25">
      <c r="A309" s="7" t="s">
        <v>2247</v>
      </c>
      <c r="B309" s="60">
        <v>521115</v>
      </c>
      <c r="C309" s="41" t="s">
        <v>104</v>
      </c>
      <c r="D309" s="60"/>
      <c r="E309" s="60"/>
      <c r="F309" s="42"/>
      <c r="G309" s="42">
        <f>SUM(G310:G319)</f>
        <v>58336000</v>
      </c>
      <c r="H309" s="210" t="b">
        <f t="shared" si="10"/>
        <v>1</v>
      </c>
      <c r="I309" s="210"/>
      <c r="J309" s="210"/>
    </row>
    <row r="310" spans="1:10" ht="13.8" x14ac:dyDescent="0.25">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13.8" x14ac:dyDescent="0.25">
      <c r="A311" s="7" t="s">
        <v>2250</v>
      </c>
      <c r="B311" s="152"/>
      <c r="C311" s="151" t="s">
        <v>4214</v>
      </c>
      <c r="D311" s="152">
        <v>12</v>
      </c>
      <c r="E311" s="152" t="s">
        <v>32</v>
      </c>
      <c r="F311" s="153">
        <v>324000</v>
      </c>
      <c r="G311" s="153">
        <f t="shared" si="12"/>
        <v>3888000</v>
      </c>
      <c r="H311" s="210" t="b">
        <f t="shared" si="10"/>
        <v>1</v>
      </c>
      <c r="I311" s="210"/>
      <c r="J311" s="210"/>
    </row>
    <row r="312" spans="1:10" ht="13.8" x14ac:dyDescent="0.25">
      <c r="A312" s="7" t="s">
        <v>2252</v>
      </c>
      <c r="B312" s="152"/>
      <c r="C312" s="151" t="s">
        <v>4215</v>
      </c>
      <c r="D312" s="152">
        <v>12</v>
      </c>
      <c r="E312" s="152" t="s">
        <v>32</v>
      </c>
      <c r="F312" s="153">
        <v>324000</v>
      </c>
      <c r="G312" s="153">
        <f t="shared" si="12"/>
        <v>3888000</v>
      </c>
      <c r="H312" s="210" t="b">
        <f t="shared" si="10"/>
        <v>1</v>
      </c>
      <c r="I312" s="210"/>
      <c r="J312" s="210"/>
    </row>
    <row r="313" spans="1:10" s="212" customFormat="1" ht="26.4" x14ac:dyDescent="0.25">
      <c r="A313" s="211" t="s">
        <v>2254</v>
      </c>
      <c r="B313" s="152"/>
      <c r="C313" s="151" t="s">
        <v>4216</v>
      </c>
      <c r="D313" s="152">
        <v>12</v>
      </c>
      <c r="E313" s="152" t="s">
        <v>32</v>
      </c>
      <c r="F313" s="153">
        <v>680000</v>
      </c>
      <c r="G313" s="153">
        <f t="shared" si="12"/>
        <v>8160000</v>
      </c>
      <c r="H313" s="210" t="b">
        <f t="shared" si="10"/>
        <v>1</v>
      </c>
      <c r="I313" s="210"/>
      <c r="J313" s="210"/>
    </row>
    <row r="314" spans="1:10" ht="13.8" x14ac:dyDescent="0.25">
      <c r="A314" s="7" t="s">
        <v>2256</v>
      </c>
      <c r="B314" s="152"/>
      <c r="C314" s="151" t="s">
        <v>4217</v>
      </c>
      <c r="D314" s="152">
        <v>12</v>
      </c>
      <c r="E314" s="152" t="s">
        <v>32</v>
      </c>
      <c r="F314" s="153">
        <v>200000</v>
      </c>
      <c r="G314" s="153">
        <f t="shared" si="12"/>
        <v>2400000</v>
      </c>
      <c r="H314" s="210" t="b">
        <f t="shared" si="10"/>
        <v>1</v>
      </c>
      <c r="I314" s="210"/>
      <c r="J314" s="210"/>
    </row>
    <row r="315" spans="1:10" ht="13.8" x14ac:dyDescent="0.25">
      <c r="A315" s="7" t="s">
        <v>2258</v>
      </c>
      <c r="B315" s="152"/>
      <c r="C315" s="151" t="s">
        <v>4218</v>
      </c>
      <c r="D315" s="152">
        <v>12</v>
      </c>
      <c r="E315" s="152" t="s">
        <v>32</v>
      </c>
      <c r="F315" s="153">
        <v>80000</v>
      </c>
      <c r="G315" s="153">
        <f t="shared" si="12"/>
        <v>960000</v>
      </c>
      <c r="H315" s="210" t="b">
        <f t="shared" si="10"/>
        <v>1</v>
      </c>
      <c r="I315" s="210"/>
      <c r="J315" s="210"/>
    </row>
    <row r="316" spans="1:10" ht="13.8" x14ac:dyDescent="0.25">
      <c r="A316" s="7" t="s">
        <v>2260</v>
      </c>
      <c r="B316" s="152"/>
      <c r="C316" s="151" t="s">
        <v>4219</v>
      </c>
      <c r="D316" s="152">
        <v>12</v>
      </c>
      <c r="E316" s="152" t="s">
        <v>32</v>
      </c>
      <c r="F316" s="153">
        <v>200000</v>
      </c>
      <c r="G316" s="153">
        <f t="shared" si="12"/>
        <v>2400000</v>
      </c>
      <c r="H316" s="210" t="b">
        <f t="shared" si="10"/>
        <v>1</v>
      </c>
      <c r="I316" s="210"/>
      <c r="J316" s="210"/>
    </row>
    <row r="317" spans="1:10" ht="13.8" x14ac:dyDescent="0.25">
      <c r="A317" s="7" t="s">
        <v>2262</v>
      </c>
      <c r="B317" s="152"/>
      <c r="C317" s="151" t="s">
        <v>4220</v>
      </c>
      <c r="D317" s="152">
        <v>1</v>
      </c>
      <c r="E317" s="152" t="s">
        <v>776</v>
      </c>
      <c r="F317" s="153">
        <v>400000</v>
      </c>
      <c r="G317" s="153">
        <f t="shared" si="12"/>
        <v>400000</v>
      </c>
      <c r="H317" s="210" t="b">
        <f t="shared" si="10"/>
        <v>1</v>
      </c>
      <c r="I317" s="210"/>
      <c r="J317" s="210"/>
    </row>
    <row r="318" spans="1:10" s="212" customFormat="1" ht="13.8" x14ac:dyDescent="0.25">
      <c r="A318" s="211" t="s">
        <v>2264</v>
      </c>
      <c r="B318" s="152"/>
      <c r="C318" s="151" t="s">
        <v>4221</v>
      </c>
      <c r="D318" s="152">
        <v>1</v>
      </c>
      <c r="E318" s="152" t="s">
        <v>25</v>
      </c>
      <c r="F318" s="153">
        <v>300000</v>
      </c>
      <c r="G318" s="153">
        <f t="shared" si="12"/>
        <v>300000</v>
      </c>
      <c r="H318" s="210" t="b">
        <f t="shared" si="10"/>
        <v>1</v>
      </c>
      <c r="I318" s="210"/>
      <c r="J318" s="210"/>
    </row>
    <row r="319" spans="1:10" ht="13.8" x14ac:dyDescent="0.25">
      <c r="A319" s="7" t="s">
        <v>2266</v>
      </c>
      <c r="B319" s="152"/>
      <c r="C319" s="151" t="s">
        <v>4222</v>
      </c>
      <c r="D319" s="152">
        <v>3</v>
      </c>
      <c r="E319" s="152" t="s">
        <v>25</v>
      </c>
      <c r="F319" s="153">
        <v>300000</v>
      </c>
      <c r="G319" s="153">
        <f t="shared" si="12"/>
        <v>900000</v>
      </c>
      <c r="H319" s="210" t="b">
        <f t="shared" si="10"/>
        <v>1</v>
      </c>
      <c r="I319" s="210"/>
      <c r="J319" s="210"/>
    </row>
    <row r="320" spans="1:10" ht="13.8" x14ac:dyDescent="0.25">
      <c r="A320" s="7" t="s">
        <v>4223</v>
      </c>
      <c r="B320" s="59" t="s">
        <v>4224</v>
      </c>
      <c r="C320" s="38" t="s">
        <v>4225</v>
      </c>
      <c r="D320" s="59"/>
      <c r="E320" s="59"/>
      <c r="F320" s="39"/>
      <c r="G320" s="39">
        <f>SUM(G321,G326,G331)</f>
        <v>100000000</v>
      </c>
      <c r="H320" s="210" t="b">
        <f t="shared" si="10"/>
        <v>1</v>
      </c>
      <c r="I320" s="210"/>
      <c r="J320" s="210"/>
    </row>
    <row r="321" spans="1:10" ht="13.8" x14ac:dyDescent="0.25">
      <c r="A321" s="7" t="s">
        <v>4226</v>
      </c>
      <c r="B321" s="60">
        <v>521111</v>
      </c>
      <c r="C321" s="41" t="s">
        <v>90</v>
      </c>
      <c r="D321" s="60"/>
      <c r="E321" s="60"/>
      <c r="F321" s="42"/>
      <c r="G321" s="42">
        <f>SUM(G322:G325)</f>
        <v>45000000</v>
      </c>
      <c r="H321" s="210" t="b">
        <f t="shared" si="10"/>
        <v>1</v>
      </c>
      <c r="I321" s="210"/>
      <c r="J321" s="210"/>
    </row>
    <row r="322" spans="1:10" ht="13.8" x14ac:dyDescent="0.25">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3.8" x14ac:dyDescent="0.25">
      <c r="A323" s="211" t="s">
        <v>4229</v>
      </c>
      <c r="B323" s="152"/>
      <c r="C323" s="151" t="s">
        <v>4230</v>
      </c>
      <c r="D323" s="152">
        <v>48</v>
      </c>
      <c r="E323" s="152" t="s">
        <v>58</v>
      </c>
      <c r="F323" s="153">
        <v>500000</v>
      </c>
      <c r="G323" s="153">
        <f>ROUNDDOWN(D323*F323,-3)</f>
        <v>24000000</v>
      </c>
      <c r="H323" s="210" t="b">
        <f t="shared" si="10"/>
        <v>1</v>
      </c>
      <c r="I323" s="210"/>
      <c r="J323" s="210"/>
    </row>
    <row r="324" spans="1:10" ht="13.8" x14ac:dyDescent="0.25">
      <c r="A324" s="7" t="s">
        <v>4231</v>
      </c>
      <c r="B324" s="152"/>
      <c r="C324" s="151" t="s">
        <v>4232</v>
      </c>
      <c r="D324" s="152">
        <v>12</v>
      </c>
      <c r="E324" s="152" t="s">
        <v>78</v>
      </c>
      <c r="F324" s="153">
        <v>500000</v>
      </c>
      <c r="G324" s="153">
        <f>ROUNDDOWN(D324*F324,-3)</f>
        <v>6000000</v>
      </c>
      <c r="H324" s="210" t="b">
        <f t="shared" si="10"/>
        <v>1</v>
      </c>
      <c r="I324" s="210"/>
      <c r="J324" s="210"/>
    </row>
    <row r="325" spans="1:10" ht="13.8" x14ac:dyDescent="0.25">
      <c r="A325" s="7" t="s">
        <v>4233</v>
      </c>
      <c r="B325" s="152"/>
      <c r="C325" s="151" t="s">
        <v>4234</v>
      </c>
      <c r="D325" s="152">
        <v>60</v>
      </c>
      <c r="E325" s="152" t="s">
        <v>116</v>
      </c>
      <c r="F325" s="153">
        <v>200000</v>
      </c>
      <c r="G325" s="153">
        <f>ROUNDDOWN(D325*F325,-3)</f>
        <v>12000000</v>
      </c>
      <c r="H325" s="210" t="b">
        <f t="shared" si="10"/>
        <v>1</v>
      </c>
      <c r="I325" s="210"/>
      <c r="J325" s="210"/>
    </row>
    <row r="326" spans="1:10" ht="13.8" x14ac:dyDescent="0.25">
      <c r="A326" s="7" t="s">
        <v>4235</v>
      </c>
      <c r="B326" s="60">
        <v>521811</v>
      </c>
      <c r="C326" s="41" t="s">
        <v>64</v>
      </c>
      <c r="D326" s="60"/>
      <c r="E326" s="60"/>
      <c r="F326" s="42"/>
      <c r="G326" s="42">
        <f>SUM(G327:G330)</f>
        <v>26000000</v>
      </c>
      <c r="H326" s="210" t="b">
        <f t="shared" si="10"/>
        <v>1</v>
      </c>
      <c r="I326" s="210"/>
      <c r="J326" s="210"/>
    </row>
    <row r="327" spans="1:10" ht="13.8" x14ac:dyDescent="0.25">
      <c r="A327" s="7" t="s">
        <v>4236</v>
      </c>
      <c r="B327" s="152"/>
      <c r="C327" s="151" t="s">
        <v>3625</v>
      </c>
      <c r="D327" s="152">
        <v>8</v>
      </c>
      <c r="E327" s="152" t="s">
        <v>9</v>
      </c>
      <c r="F327" s="153">
        <v>1000000</v>
      </c>
      <c r="G327" s="153">
        <f>ROUNDDOWN(D327*F327,-3)</f>
        <v>8000000</v>
      </c>
      <c r="H327" s="210" t="b">
        <f t="shared" si="10"/>
        <v>1</v>
      </c>
      <c r="I327" s="210"/>
      <c r="J327" s="210"/>
    </row>
    <row r="328" spans="1:10" ht="13.8" x14ac:dyDescent="0.25">
      <c r="A328" s="7" t="s">
        <v>4237</v>
      </c>
      <c r="B328" s="152"/>
      <c r="C328" s="151" t="s">
        <v>3626</v>
      </c>
      <c r="D328" s="152">
        <v>8</v>
      </c>
      <c r="E328" s="152" t="s">
        <v>9</v>
      </c>
      <c r="F328" s="153">
        <v>1500000</v>
      </c>
      <c r="G328" s="153">
        <f>ROUNDDOWN(D328*F328,-3)</f>
        <v>12000000</v>
      </c>
      <c r="H328" s="210" t="b">
        <f t="shared" si="10"/>
        <v>1</v>
      </c>
      <c r="I328" s="210"/>
      <c r="J328" s="210"/>
    </row>
    <row r="329" spans="1:10" ht="13.8" x14ac:dyDescent="0.25">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3.8" x14ac:dyDescent="0.25">
      <c r="A330" s="211" t="s">
        <v>4240</v>
      </c>
      <c r="B330" s="152"/>
      <c r="C330" s="151" t="s">
        <v>4241</v>
      </c>
      <c r="D330" s="152">
        <v>200</v>
      </c>
      <c r="E330" s="152" t="s">
        <v>120</v>
      </c>
      <c r="F330" s="153">
        <v>25000</v>
      </c>
      <c r="G330" s="153">
        <f>ROUNDDOWN(D330*F330,-3)</f>
        <v>5000000</v>
      </c>
      <c r="H330" s="210" t="b">
        <f t="shared" si="10"/>
        <v>1</v>
      </c>
      <c r="I330" s="210"/>
      <c r="J330" s="210"/>
    </row>
    <row r="331" spans="1:10" ht="13.8" x14ac:dyDescent="0.25">
      <c r="A331" s="7" t="s">
        <v>4242</v>
      </c>
      <c r="B331" s="60">
        <v>523121</v>
      </c>
      <c r="C331" s="41" t="s">
        <v>99</v>
      </c>
      <c r="D331" s="60"/>
      <c r="E331" s="60"/>
      <c r="F331" s="42"/>
      <c r="G331" s="42">
        <f>SUM(G332:G336)</f>
        <v>29000000</v>
      </c>
      <c r="H331" s="210" t="b">
        <f t="shared" si="10"/>
        <v>1</v>
      </c>
      <c r="I331" s="210"/>
      <c r="J331" s="210"/>
    </row>
    <row r="332" spans="1:10" s="212" customFormat="1" ht="13.8" x14ac:dyDescent="0.25">
      <c r="A332" s="211" t="s">
        <v>4243</v>
      </c>
      <c r="B332" s="152"/>
      <c r="C332" s="151" t="s">
        <v>4244</v>
      </c>
      <c r="D332" s="152">
        <v>1</v>
      </c>
      <c r="E332" s="152" t="s">
        <v>42</v>
      </c>
      <c r="F332" s="153">
        <v>7200000</v>
      </c>
      <c r="G332" s="153">
        <f>ROUNDDOWN(D332*F332,-3)</f>
        <v>7200000</v>
      </c>
      <c r="H332" s="210" t="b">
        <f t="shared" si="10"/>
        <v>1</v>
      </c>
      <c r="I332" s="210"/>
      <c r="J332" s="210"/>
    </row>
    <row r="333" spans="1:10" ht="13.8" x14ac:dyDescent="0.25">
      <c r="A333" s="7" t="s">
        <v>4245</v>
      </c>
      <c r="B333" s="152"/>
      <c r="C333" s="151" t="s">
        <v>4246</v>
      </c>
      <c r="D333" s="152">
        <v>10</v>
      </c>
      <c r="E333" s="152" t="s">
        <v>42</v>
      </c>
      <c r="F333" s="153">
        <v>730000</v>
      </c>
      <c r="G333" s="153">
        <f>ROUNDDOWN(D333*F333,-3)</f>
        <v>7300000</v>
      </c>
      <c r="H333" s="210" t="b">
        <f t="shared" si="10"/>
        <v>1</v>
      </c>
      <c r="I333" s="210"/>
      <c r="J333" s="210"/>
    </row>
    <row r="334" spans="1:10" ht="13.8" x14ac:dyDescent="0.25">
      <c r="A334" s="7" t="s">
        <v>4247</v>
      </c>
      <c r="B334" s="152"/>
      <c r="C334" s="151" t="s">
        <v>4248</v>
      </c>
      <c r="D334" s="152">
        <v>10</v>
      </c>
      <c r="E334" s="152" t="s">
        <v>44</v>
      </c>
      <c r="F334" s="153">
        <v>730000</v>
      </c>
      <c r="G334" s="153">
        <f>ROUNDDOWN(D334*F334,-3)</f>
        <v>7300000</v>
      </c>
      <c r="H334" s="210" t="b">
        <f t="shared" si="10"/>
        <v>1</v>
      </c>
      <c r="I334" s="210"/>
      <c r="J334" s="210"/>
    </row>
    <row r="335" spans="1:10" ht="13.8" x14ac:dyDescent="0.25">
      <c r="A335" s="7" t="s">
        <v>4249</v>
      </c>
      <c r="B335" s="152"/>
      <c r="C335" s="151" t="s">
        <v>4250</v>
      </c>
      <c r="D335" s="152">
        <v>10</v>
      </c>
      <c r="E335" s="152" t="s">
        <v>44</v>
      </c>
      <c r="F335" s="153">
        <v>690000</v>
      </c>
      <c r="G335" s="153">
        <f>ROUNDDOWN(D335*F335,-3)</f>
        <v>6900000</v>
      </c>
      <c r="H335" s="210" t="b">
        <f t="shared" si="10"/>
        <v>1</v>
      </c>
      <c r="I335" s="210"/>
      <c r="J335" s="210"/>
    </row>
    <row r="336" spans="1:10" ht="13.8" x14ac:dyDescent="0.25">
      <c r="A336" s="7" t="s">
        <v>4251</v>
      </c>
      <c r="B336" s="152"/>
      <c r="C336" s="151" t="s">
        <v>4252</v>
      </c>
      <c r="D336" s="152">
        <v>1</v>
      </c>
      <c r="E336" s="152" t="s">
        <v>60</v>
      </c>
      <c r="F336" s="153">
        <v>300000</v>
      </c>
      <c r="G336" s="153">
        <f>ROUNDDOWN(D336*F336,-3)</f>
        <v>300000</v>
      </c>
      <c r="H336" s="210" t="b">
        <f t="shared" si="10"/>
        <v>1</v>
      </c>
      <c r="I336" s="210"/>
      <c r="J336" s="210"/>
    </row>
    <row r="337" spans="1:10" ht="13.8" x14ac:dyDescent="0.25">
      <c r="A337" s="7" t="s">
        <v>2268</v>
      </c>
      <c r="B337" s="135" t="s">
        <v>2269</v>
      </c>
      <c r="C337" s="133" t="s">
        <v>2270</v>
      </c>
      <c r="D337" s="135">
        <v>2</v>
      </c>
      <c r="E337" s="135" t="s">
        <v>42</v>
      </c>
      <c r="F337" s="136"/>
      <c r="G337" s="136">
        <f>G338</f>
        <v>540934000</v>
      </c>
      <c r="H337" s="210" t="b">
        <f t="shared" si="10"/>
        <v>1</v>
      </c>
      <c r="I337" s="210"/>
      <c r="J337" s="210"/>
    </row>
    <row r="338" spans="1:10" ht="13.8" x14ac:dyDescent="0.25">
      <c r="A338" s="7" t="s">
        <v>2271</v>
      </c>
      <c r="B338" s="138" t="s">
        <v>4253</v>
      </c>
      <c r="C338" s="137" t="s">
        <v>2273</v>
      </c>
      <c r="D338" s="138">
        <v>1</v>
      </c>
      <c r="E338" s="138" t="s">
        <v>42</v>
      </c>
      <c r="F338" s="139"/>
      <c r="G338" s="139">
        <f>G339</f>
        <v>540934000</v>
      </c>
      <c r="H338" s="210" t="b">
        <f t="shared" si="10"/>
        <v>1</v>
      </c>
      <c r="I338" s="210"/>
      <c r="J338" s="210"/>
    </row>
    <row r="339" spans="1:10" ht="13.8" x14ac:dyDescent="0.25">
      <c r="A339" s="7" t="s">
        <v>2289</v>
      </c>
      <c r="B339" s="58">
        <v>301</v>
      </c>
      <c r="C339" s="35" t="s">
        <v>2290</v>
      </c>
      <c r="D339" s="58"/>
      <c r="E339" s="58"/>
      <c r="F339" s="36"/>
      <c r="G339" s="36">
        <f>G340</f>
        <v>540934000</v>
      </c>
      <c r="H339" s="210" t="b">
        <f t="shared" si="10"/>
        <v>1</v>
      </c>
      <c r="I339" s="210"/>
      <c r="J339" s="210"/>
    </row>
    <row r="340" spans="1:10" ht="13.8" x14ac:dyDescent="0.25">
      <c r="A340" s="7" t="s">
        <v>2291</v>
      </c>
      <c r="B340" s="59" t="s">
        <v>8</v>
      </c>
      <c r="C340" s="38" t="s">
        <v>2292</v>
      </c>
      <c r="D340" s="59"/>
      <c r="E340" s="59"/>
      <c r="F340" s="39"/>
      <c r="G340" s="39">
        <f>G341</f>
        <v>540934000</v>
      </c>
      <c r="H340" s="210" t="b">
        <f t="shared" si="10"/>
        <v>1</v>
      </c>
      <c r="I340" s="210"/>
      <c r="J340" s="210"/>
    </row>
    <row r="341" spans="1:10" ht="13.8" x14ac:dyDescent="0.25">
      <c r="A341" s="7" t="s">
        <v>2293</v>
      </c>
      <c r="B341" s="60">
        <v>532111</v>
      </c>
      <c r="C341" s="41" t="s">
        <v>43</v>
      </c>
      <c r="D341" s="60"/>
      <c r="E341" s="60"/>
      <c r="F341" s="42"/>
      <c r="G341" s="42">
        <f>G342</f>
        <v>540934000</v>
      </c>
      <c r="H341" s="210" t="b">
        <f t="shared" si="10"/>
        <v>1</v>
      </c>
      <c r="I341" s="210"/>
      <c r="J341" s="210"/>
    </row>
    <row r="342" spans="1:10" ht="13.8" x14ac:dyDescent="0.25">
      <c r="A342" s="7" t="s">
        <v>2294</v>
      </c>
      <c r="B342" s="152"/>
      <c r="C342" s="151" t="s">
        <v>4258</v>
      </c>
      <c r="D342" s="152">
        <v>1</v>
      </c>
      <c r="E342" s="152" t="s">
        <v>42</v>
      </c>
      <c r="F342" s="153">
        <v>540934000</v>
      </c>
      <c r="G342" s="153">
        <f>ROUNDDOWN(D342*F342,-3)</f>
        <v>540934000</v>
      </c>
      <c r="H342" s="210" t="b">
        <f t="shared" si="10"/>
        <v>1</v>
      </c>
      <c r="I342" s="210"/>
      <c r="J342" s="210"/>
    </row>
    <row r="343" spans="1:10" ht="13.8" x14ac:dyDescent="0.25">
      <c r="A343" s="7" t="s">
        <v>2465</v>
      </c>
      <c r="B343" s="135" t="s">
        <v>2466</v>
      </c>
      <c r="C343" s="133" t="s">
        <v>2467</v>
      </c>
      <c r="D343" s="135">
        <v>5</v>
      </c>
      <c r="E343" s="135" t="s">
        <v>4315</v>
      </c>
      <c r="F343" s="136"/>
      <c r="G343" s="136">
        <f>SUM(G344,G384,G426)</f>
        <v>1538790000</v>
      </c>
      <c r="H343" s="210" t="b">
        <f t="shared" si="10"/>
        <v>1</v>
      </c>
      <c r="I343" s="210"/>
      <c r="J343" s="210"/>
    </row>
    <row r="344" spans="1:10" ht="13.8" x14ac:dyDescent="0.25">
      <c r="A344" s="7" t="s">
        <v>2468</v>
      </c>
      <c r="B344" s="138" t="s">
        <v>4316</v>
      </c>
      <c r="C344" s="137" t="s">
        <v>2470</v>
      </c>
      <c r="D344" s="138">
        <v>1</v>
      </c>
      <c r="E344" s="138" t="s">
        <v>4315</v>
      </c>
      <c r="F344" s="139"/>
      <c r="G344" s="139">
        <f>G345</f>
        <v>615138000</v>
      </c>
      <c r="H344" s="210" t="b">
        <f t="shared" si="10"/>
        <v>1</v>
      </c>
      <c r="I344" s="210"/>
      <c r="J344" s="210"/>
    </row>
    <row r="345" spans="1:10" ht="26.4" x14ac:dyDescent="0.25">
      <c r="A345" s="7" t="s">
        <v>2739</v>
      </c>
      <c r="B345" s="58">
        <v>301</v>
      </c>
      <c r="C345" s="35" t="s">
        <v>2740</v>
      </c>
      <c r="D345" s="58"/>
      <c r="E345" s="58"/>
      <c r="F345" s="36"/>
      <c r="G345" s="36">
        <f>SUM(G346,G358,G372)</f>
        <v>615138000</v>
      </c>
      <c r="H345" s="210" t="b">
        <f t="shared" si="10"/>
        <v>1</v>
      </c>
      <c r="I345" s="210"/>
      <c r="J345" s="210"/>
    </row>
    <row r="346" spans="1:10" ht="13.8" x14ac:dyDescent="0.25">
      <c r="A346" s="7" t="s">
        <v>2741</v>
      </c>
      <c r="B346" s="59" t="s">
        <v>8</v>
      </c>
      <c r="C346" s="38" t="s">
        <v>129</v>
      </c>
      <c r="D346" s="59"/>
      <c r="E346" s="59"/>
      <c r="F346" s="39"/>
      <c r="G346" s="39">
        <f>SUM(G347,G351,G353,G356)</f>
        <v>101050000</v>
      </c>
      <c r="H346" s="210" t="b">
        <f t="shared" si="10"/>
        <v>1</v>
      </c>
      <c r="I346" s="210"/>
      <c r="J346" s="210"/>
    </row>
    <row r="347" spans="1:10" ht="13.8" x14ac:dyDescent="0.25">
      <c r="A347" s="7" t="s">
        <v>2742</v>
      </c>
      <c r="B347" s="60">
        <v>521211</v>
      </c>
      <c r="C347" s="41" t="s">
        <v>7</v>
      </c>
      <c r="D347" s="60"/>
      <c r="E347" s="60"/>
      <c r="F347" s="42"/>
      <c r="G347" s="42">
        <f>SUM(G348:G350)</f>
        <v>22650000</v>
      </c>
      <c r="H347" s="210" t="b">
        <f t="shared" si="10"/>
        <v>1</v>
      </c>
      <c r="I347" s="210"/>
      <c r="J347" s="210"/>
    </row>
    <row r="348" spans="1:10" ht="13.8" x14ac:dyDescent="0.25">
      <c r="A348" s="7" t="s">
        <v>2743</v>
      </c>
      <c r="B348" s="152"/>
      <c r="C348" s="151" t="s">
        <v>3598</v>
      </c>
      <c r="D348" s="152">
        <v>6</v>
      </c>
      <c r="E348" s="152" t="s">
        <v>9</v>
      </c>
      <c r="F348" s="153">
        <v>1500000</v>
      </c>
      <c r="G348" s="153">
        <f>ROUNDDOWN(D348*F348,-3)</f>
        <v>9000000</v>
      </c>
      <c r="H348" s="210" t="b">
        <f t="shared" si="10"/>
        <v>1</v>
      </c>
      <c r="I348" s="210"/>
      <c r="J348" s="210"/>
    </row>
    <row r="349" spans="1:10" ht="13.8" x14ac:dyDescent="0.25">
      <c r="A349" s="7" t="s">
        <v>2744</v>
      </c>
      <c r="B349" s="152"/>
      <c r="C349" s="151" t="s">
        <v>4420</v>
      </c>
      <c r="D349" s="152">
        <v>70</v>
      </c>
      <c r="E349" s="152" t="s">
        <v>10</v>
      </c>
      <c r="F349" s="153">
        <v>70000</v>
      </c>
      <c r="G349" s="153">
        <f>ROUNDDOWN(D349*F349,-3)</f>
        <v>4900000</v>
      </c>
      <c r="H349" s="210" t="b">
        <f t="shared" si="10"/>
        <v>1</v>
      </c>
      <c r="I349" s="210"/>
      <c r="J349" s="210"/>
    </row>
    <row r="350" spans="1:10" ht="13.8" x14ac:dyDescent="0.25">
      <c r="A350" s="7" t="s">
        <v>2746</v>
      </c>
      <c r="B350" s="152"/>
      <c r="C350" s="151" t="s">
        <v>4421</v>
      </c>
      <c r="D350" s="152">
        <v>25</v>
      </c>
      <c r="E350" s="152" t="s">
        <v>176</v>
      </c>
      <c r="F350" s="153">
        <v>350000</v>
      </c>
      <c r="G350" s="153">
        <f>ROUNDDOWN(D350*F350,-3)</f>
        <v>8750000</v>
      </c>
      <c r="H350" s="210" t="b">
        <f t="shared" si="10"/>
        <v>1</v>
      </c>
      <c r="I350" s="210"/>
      <c r="J350" s="210"/>
    </row>
    <row r="351" spans="1:10" ht="13.8" x14ac:dyDescent="0.25">
      <c r="A351" s="7" t="s">
        <v>2747</v>
      </c>
      <c r="B351" s="60">
        <v>521219</v>
      </c>
      <c r="C351" s="41" t="s">
        <v>53</v>
      </c>
      <c r="D351" s="60"/>
      <c r="E351" s="60"/>
      <c r="F351" s="42"/>
      <c r="G351" s="42">
        <f>G352</f>
        <v>1000000</v>
      </c>
      <c r="H351" s="210" t="b">
        <f t="shared" si="10"/>
        <v>1</v>
      </c>
      <c r="I351" s="210"/>
      <c r="J351" s="210"/>
    </row>
    <row r="352" spans="1:10" ht="13.8" x14ac:dyDescent="0.25">
      <c r="A352" s="7" t="s">
        <v>2748</v>
      </c>
      <c r="B352" s="152"/>
      <c r="C352" s="151" t="s">
        <v>3722</v>
      </c>
      <c r="D352" s="152">
        <v>4</v>
      </c>
      <c r="E352" s="152" t="s">
        <v>2749</v>
      </c>
      <c r="F352" s="153">
        <v>250000</v>
      </c>
      <c r="G352" s="153">
        <f>ROUNDDOWN(D352*F352,-3)</f>
        <v>1000000</v>
      </c>
      <c r="H352" s="210" t="b">
        <f t="shared" si="10"/>
        <v>1</v>
      </c>
      <c r="I352" s="210"/>
      <c r="J352" s="210"/>
    </row>
    <row r="353" spans="1:10" ht="13.8" x14ac:dyDescent="0.25">
      <c r="A353" s="7" t="s">
        <v>2750</v>
      </c>
      <c r="B353" s="60">
        <v>521811</v>
      </c>
      <c r="C353" s="41" t="s">
        <v>64</v>
      </c>
      <c r="D353" s="60"/>
      <c r="E353" s="60"/>
      <c r="F353" s="42"/>
      <c r="G353" s="42">
        <f>SUM(G354:G355)</f>
        <v>15000000</v>
      </c>
      <c r="H353" s="210" t="b">
        <f t="shared" si="10"/>
        <v>1</v>
      </c>
      <c r="I353" s="210"/>
      <c r="J353" s="210"/>
    </row>
    <row r="354" spans="1:10" ht="13.8" x14ac:dyDescent="0.25">
      <c r="A354" s="7" t="s">
        <v>2751</v>
      </c>
      <c r="B354" s="152"/>
      <c r="C354" s="151" t="s">
        <v>3625</v>
      </c>
      <c r="D354" s="152">
        <v>6</v>
      </c>
      <c r="E354" s="152" t="s">
        <v>106</v>
      </c>
      <c r="F354" s="153">
        <v>1000000</v>
      </c>
      <c r="G354" s="153">
        <f>ROUNDDOWN(D354*F354,-3)</f>
        <v>6000000</v>
      </c>
      <c r="H354" s="210" t="b">
        <f t="shared" si="10"/>
        <v>1</v>
      </c>
      <c r="I354" s="210"/>
      <c r="J354" s="210"/>
    </row>
    <row r="355" spans="1:10" ht="13.8" x14ac:dyDescent="0.25">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3.8" x14ac:dyDescent="0.25">
      <c r="A356" s="7" t="s">
        <v>2753</v>
      </c>
      <c r="B356" s="60">
        <v>524111</v>
      </c>
      <c r="C356" s="41" t="s">
        <v>19</v>
      </c>
      <c r="D356" s="60"/>
      <c r="E356" s="60"/>
      <c r="F356" s="42"/>
      <c r="G356" s="42">
        <f>G357</f>
        <v>62400000</v>
      </c>
      <c r="H356" s="210" t="b">
        <f t="shared" si="13"/>
        <v>1</v>
      </c>
      <c r="I356" s="210"/>
      <c r="J356" s="210"/>
    </row>
    <row r="357" spans="1:10" ht="13.8" x14ac:dyDescent="0.25">
      <c r="A357" s="7" t="s">
        <v>2754</v>
      </c>
      <c r="B357" s="152"/>
      <c r="C357" s="151" t="s">
        <v>4422</v>
      </c>
      <c r="D357" s="152">
        <v>12</v>
      </c>
      <c r="E357" s="152" t="s">
        <v>10</v>
      </c>
      <c r="F357" s="153">
        <v>5200000</v>
      </c>
      <c r="G357" s="153">
        <f>ROUNDDOWN(D357*F357,-3)</f>
        <v>62400000</v>
      </c>
      <c r="H357" s="210" t="b">
        <f t="shared" si="13"/>
        <v>1</v>
      </c>
      <c r="I357" s="210"/>
      <c r="J357" s="210"/>
    </row>
    <row r="358" spans="1:10" ht="13.8" x14ac:dyDescent="0.25">
      <c r="A358" s="7" t="s">
        <v>2756</v>
      </c>
      <c r="B358" s="59" t="s">
        <v>511</v>
      </c>
      <c r="C358" s="38" t="s">
        <v>130</v>
      </c>
      <c r="D358" s="59"/>
      <c r="E358" s="59"/>
      <c r="F358" s="39"/>
      <c r="G358" s="39">
        <f>SUM(G359,G363,G365,G368,G370)</f>
        <v>345988000</v>
      </c>
      <c r="H358" s="210" t="b">
        <f t="shared" si="13"/>
        <v>1</v>
      </c>
      <c r="I358" s="210"/>
      <c r="J358" s="210"/>
    </row>
    <row r="359" spans="1:10" ht="13.8" x14ac:dyDescent="0.25">
      <c r="A359" s="7" t="s">
        <v>2757</v>
      </c>
      <c r="B359" s="60">
        <v>521211</v>
      </c>
      <c r="C359" s="41" t="s">
        <v>7</v>
      </c>
      <c r="D359" s="60"/>
      <c r="E359" s="60"/>
      <c r="F359" s="42"/>
      <c r="G359" s="42">
        <f>SUM(G360:G362)</f>
        <v>49300000</v>
      </c>
      <c r="H359" s="210" t="b">
        <f t="shared" si="13"/>
        <v>1</v>
      </c>
      <c r="I359" s="210"/>
      <c r="J359" s="210"/>
    </row>
    <row r="360" spans="1:10" ht="13.8" x14ac:dyDescent="0.25">
      <c r="A360" s="7" t="s">
        <v>2758</v>
      </c>
      <c r="B360" s="152"/>
      <c r="C360" s="151" t="s">
        <v>3598</v>
      </c>
      <c r="D360" s="152">
        <v>10</v>
      </c>
      <c r="E360" s="152" t="s">
        <v>9</v>
      </c>
      <c r="F360" s="153">
        <v>1500000</v>
      </c>
      <c r="G360" s="153">
        <f>ROUNDDOWN(D360*F360,-3)</f>
        <v>15000000</v>
      </c>
      <c r="H360" s="210" t="b">
        <f t="shared" si="13"/>
        <v>1</v>
      </c>
      <c r="I360" s="210"/>
      <c r="J360" s="210"/>
    </row>
    <row r="361" spans="1:10" ht="13.8" x14ac:dyDescent="0.25">
      <c r="A361" s="7" t="s">
        <v>2759</v>
      </c>
      <c r="B361" s="152"/>
      <c r="C361" s="151" t="s">
        <v>4420</v>
      </c>
      <c r="D361" s="152">
        <v>290</v>
      </c>
      <c r="E361" s="152" t="s">
        <v>10</v>
      </c>
      <c r="F361" s="153">
        <v>70000</v>
      </c>
      <c r="G361" s="153">
        <f>ROUNDDOWN(D361*F361,-3)</f>
        <v>20300000</v>
      </c>
      <c r="H361" s="210" t="b">
        <f t="shared" si="13"/>
        <v>1</v>
      </c>
      <c r="I361" s="210"/>
      <c r="J361" s="210"/>
    </row>
    <row r="362" spans="1:10" ht="13.8" x14ac:dyDescent="0.25">
      <c r="A362" s="7" t="s">
        <v>2760</v>
      </c>
      <c r="B362" s="152"/>
      <c r="C362" s="151" t="s">
        <v>4421</v>
      </c>
      <c r="D362" s="152">
        <v>40</v>
      </c>
      <c r="E362" s="152" t="s">
        <v>176</v>
      </c>
      <c r="F362" s="153">
        <v>350000</v>
      </c>
      <c r="G362" s="153">
        <f>ROUNDDOWN(D362*F362,-3)</f>
        <v>14000000</v>
      </c>
      <c r="H362" s="210" t="b">
        <f t="shared" si="13"/>
        <v>1</v>
      </c>
      <c r="I362" s="210"/>
      <c r="J362" s="210"/>
    </row>
    <row r="363" spans="1:10" ht="13.8" x14ac:dyDescent="0.25">
      <c r="A363" s="7" t="s">
        <v>2761</v>
      </c>
      <c r="B363" s="60">
        <v>521219</v>
      </c>
      <c r="C363" s="41" t="s">
        <v>53</v>
      </c>
      <c r="D363" s="60"/>
      <c r="E363" s="60"/>
      <c r="F363" s="42"/>
      <c r="G363" s="42">
        <f>G364</f>
        <v>1000000</v>
      </c>
      <c r="H363" s="210" t="b">
        <f t="shared" si="13"/>
        <v>1</v>
      </c>
      <c r="I363" s="210"/>
      <c r="J363" s="210"/>
    </row>
    <row r="364" spans="1:10" ht="13.8" x14ac:dyDescent="0.25">
      <c r="A364" s="7" t="s">
        <v>2762</v>
      </c>
      <c r="B364" s="152"/>
      <c r="C364" s="151" t="s">
        <v>3722</v>
      </c>
      <c r="D364" s="152">
        <v>4</v>
      </c>
      <c r="E364" s="152" t="s">
        <v>9</v>
      </c>
      <c r="F364" s="153">
        <v>250000</v>
      </c>
      <c r="G364" s="153">
        <f>ROUNDDOWN(D364*F364,-3)</f>
        <v>1000000</v>
      </c>
      <c r="H364" s="210" t="b">
        <f t="shared" si="13"/>
        <v>1</v>
      </c>
      <c r="I364" s="210"/>
      <c r="J364" s="210"/>
    </row>
    <row r="365" spans="1:10" ht="13.8" x14ac:dyDescent="0.25">
      <c r="A365" s="7" t="s">
        <v>2763</v>
      </c>
      <c r="B365" s="60">
        <v>521811</v>
      </c>
      <c r="C365" s="41" t="s">
        <v>64</v>
      </c>
      <c r="D365" s="60"/>
      <c r="E365" s="60"/>
      <c r="F365" s="42"/>
      <c r="G365" s="42">
        <f>SUM(G366:G367)</f>
        <v>25000000</v>
      </c>
      <c r="H365" s="210" t="b">
        <f t="shared" si="13"/>
        <v>1</v>
      </c>
      <c r="I365" s="210"/>
      <c r="J365" s="210"/>
    </row>
    <row r="366" spans="1:10" ht="13.8" x14ac:dyDescent="0.25">
      <c r="A366" s="7" t="s">
        <v>2764</v>
      </c>
      <c r="B366" s="152"/>
      <c r="C366" s="151" t="s">
        <v>3625</v>
      </c>
      <c r="D366" s="152">
        <v>10</v>
      </c>
      <c r="E366" s="152" t="s">
        <v>106</v>
      </c>
      <c r="F366" s="153">
        <v>1000000</v>
      </c>
      <c r="G366" s="153">
        <f>ROUNDDOWN(D366*F366,-3)</f>
        <v>10000000</v>
      </c>
      <c r="H366" s="210" t="b">
        <f t="shared" si="13"/>
        <v>1</v>
      </c>
      <c r="I366" s="210"/>
      <c r="J366" s="210"/>
    </row>
    <row r="367" spans="1:10" ht="13.8" x14ac:dyDescent="0.25">
      <c r="A367" s="7" t="s">
        <v>2765</v>
      </c>
      <c r="B367" s="152"/>
      <c r="C367" s="151" t="s">
        <v>3626</v>
      </c>
      <c r="D367" s="152">
        <v>10</v>
      </c>
      <c r="E367" s="152" t="s">
        <v>106</v>
      </c>
      <c r="F367" s="153">
        <v>1500000</v>
      </c>
      <c r="G367" s="153">
        <f>ROUNDDOWN(D367*F367,-3)</f>
        <v>15000000</v>
      </c>
      <c r="H367" s="210" t="b">
        <f t="shared" si="13"/>
        <v>1</v>
      </c>
      <c r="I367" s="210"/>
      <c r="J367" s="210"/>
    </row>
    <row r="368" spans="1:10" ht="13.8" x14ac:dyDescent="0.25">
      <c r="A368" s="7" t="s">
        <v>2766</v>
      </c>
      <c r="B368" s="60">
        <v>522151</v>
      </c>
      <c r="C368" s="41" t="s">
        <v>11</v>
      </c>
      <c r="D368" s="60"/>
      <c r="E368" s="60"/>
      <c r="F368" s="42"/>
      <c r="G368" s="42">
        <f>G369</f>
        <v>12000000</v>
      </c>
      <c r="H368" s="210" t="b">
        <f t="shared" si="13"/>
        <v>1</v>
      </c>
      <c r="I368" s="210"/>
      <c r="J368" s="210"/>
    </row>
    <row r="369" spans="1:10" ht="13.8" x14ac:dyDescent="0.25">
      <c r="A369" s="7" t="s">
        <v>2767</v>
      </c>
      <c r="B369" s="152"/>
      <c r="C369" s="151" t="s">
        <v>3715</v>
      </c>
      <c r="D369" s="152">
        <v>12</v>
      </c>
      <c r="E369" s="152" t="s">
        <v>54</v>
      </c>
      <c r="F369" s="153">
        <v>1000000</v>
      </c>
      <c r="G369" s="153">
        <f>ROUNDDOWN(D369*F369,-3)</f>
        <v>12000000</v>
      </c>
      <c r="H369" s="210" t="b">
        <f t="shared" si="13"/>
        <v>1</v>
      </c>
      <c r="I369" s="210"/>
      <c r="J369" s="210"/>
    </row>
    <row r="370" spans="1:10" ht="13.8" x14ac:dyDescent="0.25">
      <c r="A370" s="7" t="s">
        <v>2768</v>
      </c>
      <c r="B370" s="60">
        <v>524111</v>
      </c>
      <c r="C370" s="41" t="s">
        <v>19</v>
      </c>
      <c r="D370" s="60"/>
      <c r="E370" s="60"/>
      <c r="F370" s="42"/>
      <c r="G370" s="42">
        <f>G371</f>
        <v>258688000</v>
      </c>
      <c r="H370" s="210" t="b">
        <f t="shared" si="13"/>
        <v>1</v>
      </c>
      <c r="I370" s="210"/>
      <c r="J370" s="210"/>
    </row>
    <row r="371" spans="1:10" ht="13.8" x14ac:dyDescent="0.25">
      <c r="A371" s="7" t="s">
        <v>2769</v>
      </c>
      <c r="B371" s="152"/>
      <c r="C371" s="151" t="s">
        <v>4423</v>
      </c>
      <c r="D371" s="152">
        <v>40</v>
      </c>
      <c r="E371" s="152" t="s">
        <v>10</v>
      </c>
      <c r="F371" s="153">
        <v>6467200</v>
      </c>
      <c r="G371" s="153">
        <f>ROUNDDOWN(D371*F371,-3)</f>
        <v>258688000</v>
      </c>
      <c r="H371" s="210" t="b">
        <f t="shared" si="13"/>
        <v>1</v>
      </c>
      <c r="I371" s="210"/>
      <c r="J371" s="210"/>
    </row>
    <row r="372" spans="1:10" ht="13.8" x14ac:dyDescent="0.25">
      <c r="A372" s="7" t="s">
        <v>2771</v>
      </c>
      <c r="B372" s="59" t="s">
        <v>512</v>
      </c>
      <c r="C372" s="38" t="s">
        <v>131</v>
      </c>
      <c r="D372" s="59"/>
      <c r="E372" s="59"/>
      <c r="F372" s="39"/>
      <c r="G372" s="39">
        <f>SUM(G373,G377,G380,G382)</f>
        <v>168100000</v>
      </c>
      <c r="H372" s="210" t="b">
        <f t="shared" si="13"/>
        <v>1</v>
      </c>
      <c r="I372" s="210"/>
      <c r="J372" s="210"/>
    </row>
    <row r="373" spans="1:10" ht="13.8" x14ac:dyDescent="0.25">
      <c r="A373" s="7" t="s">
        <v>2772</v>
      </c>
      <c r="B373" s="60">
        <v>521211</v>
      </c>
      <c r="C373" s="41" t="s">
        <v>7</v>
      </c>
      <c r="D373" s="60"/>
      <c r="E373" s="60"/>
      <c r="F373" s="42"/>
      <c r="G373" s="42">
        <f>SUM(G374:G376)</f>
        <v>39500000</v>
      </c>
      <c r="H373" s="210" t="b">
        <f t="shared" si="13"/>
        <v>1</v>
      </c>
      <c r="I373" s="210"/>
      <c r="J373" s="210"/>
    </row>
    <row r="374" spans="1:10" ht="13.8" x14ac:dyDescent="0.25">
      <c r="A374" s="7" t="s">
        <v>2773</v>
      </c>
      <c r="B374" s="152"/>
      <c r="C374" s="151" t="s">
        <v>3598</v>
      </c>
      <c r="D374" s="152">
        <v>10</v>
      </c>
      <c r="E374" s="152" t="s">
        <v>9</v>
      </c>
      <c r="F374" s="153">
        <v>1500000</v>
      </c>
      <c r="G374" s="153">
        <f>ROUNDDOWN(D374*F374,-3)</f>
        <v>15000000</v>
      </c>
      <c r="H374" s="210" t="b">
        <f t="shared" si="13"/>
        <v>1</v>
      </c>
      <c r="I374" s="210"/>
      <c r="J374" s="210"/>
    </row>
    <row r="375" spans="1:10" ht="13.8" x14ac:dyDescent="0.25">
      <c r="A375" s="7" t="s">
        <v>2774</v>
      </c>
      <c r="B375" s="152"/>
      <c r="C375" s="151" t="s">
        <v>4420</v>
      </c>
      <c r="D375" s="152">
        <v>150</v>
      </c>
      <c r="E375" s="152" t="s">
        <v>10</v>
      </c>
      <c r="F375" s="153">
        <v>70000</v>
      </c>
      <c r="G375" s="153">
        <f>ROUNDDOWN(D375*F375,-3)</f>
        <v>10500000</v>
      </c>
      <c r="H375" s="210" t="b">
        <f t="shared" si="13"/>
        <v>1</v>
      </c>
      <c r="I375" s="210"/>
      <c r="J375" s="210"/>
    </row>
    <row r="376" spans="1:10" ht="13.8" x14ac:dyDescent="0.25">
      <c r="A376" s="7" t="s">
        <v>2775</v>
      </c>
      <c r="B376" s="152"/>
      <c r="C376" s="151" t="s">
        <v>4421</v>
      </c>
      <c r="D376" s="152">
        <v>40</v>
      </c>
      <c r="E376" s="152" t="s">
        <v>176</v>
      </c>
      <c r="F376" s="153">
        <v>350000</v>
      </c>
      <c r="G376" s="153">
        <f>ROUNDDOWN(D376*F376,-3)</f>
        <v>14000000</v>
      </c>
      <c r="H376" s="210" t="b">
        <f t="shared" si="13"/>
        <v>1</v>
      </c>
      <c r="I376" s="210"/>
      <c r="J376" s="210"/>
    </row>
    <row r="377" spans="1:10" ht="13.8" x14ac:dyDescent="0.25">
      <c r="A377" s="7" t="s">
        <v>2776</v>
      </c>
      <c r="B377" s="60">
        <v>521811</v>
      </c>
      <c r="C377" s="41" t="s">
        <v>64</v>
      </c>
      <c r="D377" s="60"/>
      <c r="E377" s="60"/>
      <c r="F377" s="42"/>
      <c r="G377" s="42">
        <f>SUM(G378:G379)</f>
        <v>25000000</v>
      </c>
      <c r="H377" s="210" t="b">
        <f t="shared" si="13"/>
        <v>1</v>
      </c>
      <c r="I377" s="210"/>
      <c r="J377" s="210"/>
    </row>
    <row r="378" spans="1:10" ht="13.8" x14ac:dyDescent="0.25">
      <c r="A378" s="7" t="s">
        <v>2777</v>
      </c>
      <c r="B378" s="152"/>
      <c r="C378" s="151" t="s">
        <v>3625</v>
      </c>
      <c r="D378" s="152">
        <v>10</v>
      </c>
      <c r="E378" s="152" t="s">
        <v>106</v>
      </c>
      <c r="F378" s="153">
        <v>1000000</v>
      </c>
      <c r="G378" s="153">
        <f>ROUNDDOWN(D378*F378,-3)</f>
        <v>10000000</v>
      </c>
      <c r="H378" s="210" t="b">
        <f t="shared" si="13"/>
        <v>1</v>
      </c>
      <c r="I378" s="210"/>
      <c r="J378" s="210"/>
    </row>
    <row r="379" spans="1:10" ht="13.8" x14ac:dyDescent="0.25">
      <c r="A379" s="7" t="s">
        <v>2778</v>
      </c>
      <c r="B379" s="152"/>
      <c r="C379" s="151" t="s">
        <v>3626</v>
      </c>
      <c r="D379" s="152">
        <v>10</v>
      </c>
      <c r="E379" s="152" t="s">
        <v>106</v>
      </c>
      <c r="F379" s="153">
        <v>1500000</v>
      </c>
      <c r="G379" s="153">
        <f>ROUNDDOWN(D379*F379,-3)</f>
        <v>15000000</v>
      </c>
      <c r="H379" s="210" t="b">
        <f t="shared" si="13"/>
        <v>1</v>
      </c>
      <c r="I379" s="210"/>
      <c r="J379" s="210"/>
    </row>
    <row r="380" spans="1:10" ht="13.8" x14ac:dyDescent="0.25">
      <c r="A380" s="7" t="s">
        <v>2779</v>
      </c>
      <c r="B380" s="60">
        <v>522151</v>
      </c>
      <c r="C380" s="41" t="s">
        <v>11</v>
      </c>
      <c r="D380" s="60"/>
      <c r="E380" s="60"/>
      <c r="F380" s="42"/>
      <c r="G380" s="42">
        <f>G381</f>
        <v>10000000</v>
      </c>
      <c r="H380" s="210" t="b">
        <f t="shared" si="13"/>
        <v>1</v>
      </c>
      <c r="I380" s="210"/>
      <c r="J380" s="210"/>
    </row>
    <row r="381" spans="1:10" ht="13.8" x14ac:dyDescent="0.25">
      <c r="A381" s="7" t="s">
        <v>2780</v>
      </c>
      <c r="B381" s="152"/>
      <c r="C381" s="151" t="s">
        <v>3715</v>
      </c>
      <c r="D381" s="152">
        <v>10</v>
      </c>
      <c r="E381" s="152" t="s">
        <v>54</v>
      </c>
      <c r="F381" s="153">
        <v>1000000</v>
      </c>
      <c r="G381" s="153">
        <f>ROUNDDOWN(D381*F381,-3)</f>
        <v>10000000</v>
      </c>
      <c r="H381" s="210" t="b">
        <f t="shared" si="13"/>
        <v>1</v>
      </c>
      <c r="I381" s="210"/>
      <c r="J381" s="210"/>
    </row>
    <row r="382" spans="1:10" ht="13.8" x14ac:dyDescent="0.25">
      <c r="A382" s="7" t="s">
        <v>2781</v>
      </c>
      <c r="B382" s="60">
        <v>524111</v>
      </c>
      <c r="C382" s="41" t="s">
        <v>19</v>
      </c>
      <c r="D382" s="60"/>
      <c r="E382" s="60"/>
      <c r="F382" s="42"/>
      <c r="G382" s="42">
        <f>G383</f>
        <v>93600000</v>
      </c>
      <c r="H382" s="210" t="b">
        <f t="shared" si="13"/>
        <v>1</v>
      </c>
      <c r="I382" s="210"/>
      <c r="J382" s="210"/>
    </row>
    <row r="383" spans="1:10" ht="26.4" x14ac:dyDescent="0.25">
      <c r="A383" s="7" t="s">
        <v>2782</v>
      </c>
      <c r="B383" s="152"/>
      <c r="C383" s="151" t="s">
        <v>4424</v>
      </c>
      <c r="D383" s="152">
        <v>18</v>
      </c>
      <c r="E383" s="152" t="s">
        <v>10</v>
      </c>
      <c r="F383" s="153">
        <v>5200000</v>
      </c>
      <c r="G383" s="153">
        <f>ROUNDDOWN(D383*F383,-3)</f>
        <v>93600000</v>
      </c>
      <c r="H383" s="210" t="b">
        <f t="shared" si="13"/>
        <v>1</v>
      </c>
      <c r="I383" s="210"/>
      <c r="J383" s="210"/>
    </row>
    <row r="384" spans="1:10" ht="13.8" x14ac:dyDescent="0.25">
      <c r="A384" s="7" t="s">
        <v>2784</v>
      </c>
      <c r="B384" s="138" t="s">
        <v>4425</v>
      </c>
      <c r="C384" s="137" t="s">
        <v>2786</v>
      </c>
      <c r="D384" s="138">
        <v>2</v>
      </c>
      <c r="E384" s="138" t="s">
        <v>4315</v>
      </c>
      <c r="F384" s="139"/>
      <c r="G384" s="139">
        <f>SUM(G385,G414)</f>
        <v>633732000</v>
      </c>
      <c r="H384" s="210" t="b">
        <f t="shared" si="13"/>
        <v>1</v>
      </c>
      <c r="I384" s="210"/>
      <c r="J384" s="210"/>
    </row>
    <row r="385" spans="1:10" ht="26.4" x14ac:dyDescent="0.25">
      <c r="A385" s="7" t="s">
        <v>3052</v>
      </c>
      <c r="B385" s="58">
        <v>301</v>
      </c>
      <c r="C385" s="35" t="s">
        <v>3053</v>
      </c>
      <c r="D385" s="58"/>
      <c r="E385" s="58"/>
      <c r="F385" s="36"/>
      <c r="G385" s="36">
        <f>SUM(G386,G397)</f>
        <v>507200000</v>
      </c>
      <c r="H385" s="210" t="b">
        <f t="shared" si="13"/>
        <v>1</v>
      </c>
      <c r="I385" s="210"/>
      <c r="J385" s="210"/>
    </row>
    <row r="386" spans="1:10" ht="13.8" x14ac:dyDescent="0.25">
      <c r="A386" s="7" t="s">
        <v>3054</v>
      </c>
      <c r="B386" s="59" t="s">
        <v>8</v>
      </c>
      <c r="C386" s="38" t="s">
        <v>174</v>
      </c>
      <c r="D386" s="59"/>
      <c r="E386" s="59"/>
      <c r="F386" s="39"/>
      <c r="G386" s="39">
        <f>SUM(G387,G393,G395)</f>
        <v>295200000</v>
      </c>
      <c r="H386" s="210" t="b">
        <f t="shared" si="13"/>
        <v>1</v>
      </c>
      <c r="I386" s="210"/>
      <c r="J386" s="210"/>
    </row>
    <row r="387" spans="1:10" ht="13.8" x14ac:dyDescent="0.25">
      <c r="A387" s="7" t="s">
        <v>3055</v>
      </c>
      <c r="B387" s="60">
        <v>521211</v>
      </c>
      <c r="C387" s="41" t="s">
        <v>7</v>
      </c>
      <c r="D387" s="60"/>
      <c r="E387" s="60"/>
      <c r="F387" s="42"/>
      <c r="G387" s="42">
        <f>SUM(G388:G392)</f>
        <v>46000000</v>
      </c>
      <c r="H387" s="210" t="b">
        <f t="shared" si="13"/>
        <v>1</v>
      </c>
      <c r="I387" s="210"/>
      <c r="J387" s="210"/>
    </row>
    <row r="388" spans="1:10" ht="13.8" x14ac:dyDescent="0.25">
      <c r="A388" s="7" t="s">
        <v>3056</v>
      </c>
      <c r="B388" s="152"/>
      <c r="C388" s="151" t="s">
        <v>3598</v>
      </c>
      <c r="D388" s="152">
        <v>5</v>
      </c>
      <c r="E388" s="152" t="s">
        <v>9</v>
      </c>
      <c r="F388" s="153">
        <v>1500000</v>
      </c>
      <c r="G388" s="153">
        <f>ROUNDDOWN(D388*F388,-3)</f>
        <v>7500000</v>
      </c>
      <c r="H388" s="210" t="b">
        <f t="shared" si="13"/>
        <v>1</v>
      </c>
      <c r="I388" s="210"/>
      <c r="J388" s="210"/>
    </row>
    <row r="389" spans="1:10" ht="13.8" x14ac:dyDescent="0.25">
      <c r="A389" s="7" t="s">
        <v>3057</v>
      </c>
      <c r="B389" s="152"/>
      <c r="C389" s="151" t="s">
        <v>4420</v>
      </c>
      <c r="D389" s="152">
        <v>280</v>
      </c>
      <c r="E389" s="152" t="s">
        <v>10</v>
      </c>
      <c r="F389" s="153">
        <v>75000</v>
      </c>
      <c r="G389" s="153">
        <f>ROUNDDOWN(D389*F389,-3)</f>
        <v>21000000</v>
      </c>
      <c r="H389" s="210" t="b">
        <f t="shared" si="13"/>
        <v>1</v>
      </c>
      <c r="I389" s="210"/>
      <c r="J389" s="210"/>
    </row>
    <row r="390" spans="1:10" ht="13.8" x14ac:dyDescent="0.25">
      <c r="A390" s="7" t="s">
        <v>3058</v>
      </c>
      <c r="B390" s="152"/>
      <c r="C390" s="151" t="s">
        <v>4421</v>
      </c>
      <c r="D390" s="152">
        <v>30</v>
      </c>
      <c r="E390" s="152" t="s">
        <v>176</v>
      </c>
      <c r="F390" s="153">
        <v>250000</v>
      </c>
      <c r="G390" s="153">
        <f>ROUNDDOWN(D390*F390,-3)</f>
        <v>7500000</v>
      </c>
      <c r="H390" s="210" t="b">
        <f t="shared" si="13"/>
        <v>1</v>
      </c>
      <c r="I390" s="210"/>
      <c r="J390" s="210"/>
    </row>
    <row r="391" spans="1:10" ht="13.8" x14ac:dyDescent="0.25">
      <c r="A391" s="7" t="s">
        <v>3059</v>
      </c>
      <c r="B391" s="152"/>
      <c r="C391" s="151" t="s">
        <v>3610</v>
      </c>
      <c r="D391" s="152">
        <v>4</v>
      </c>
      <c r="E391" s="152" t="s">
        <v>106</v>
      </c>
      <c r="F391" s="153">
        <v>1000000</v>
      </c>
      <c r="G391" s="153">
        <f>ROUNDDOWN(D391*F391,-3)</f>
        <v>4000000</v>
      </c>
      <c r="H391" s="210" t="b">
        <f t="shared" si="13"/>
        <v>1</v>
      </c>
      <c r="I391" s="210"/>
      <c r="J391" s="210"/>
    </row>
    <row r="392" spans="1:10" ht="13.8" x14ac:dyDescent="0.25">
      <c r="A392" s="7" t="s">
        <v>3060</v>
      </c>
      <c r="B392" s="152"/>
      <c r="C392" s="151" t="s">
        <v>3611</v>
      </c>
      <c r="D392" s="152">
        <v>4</v>
      </c>
      <c r="E392" s="152" t="s">
        <v>106</v>
      </c>
      <c r="F392" s="153">
        <v>1500000</v>
      </c>
      <c r="G392" s="153">
        <f>ROUNDDOWN(D392*F392,-3)</f>
        <v>6000000</v>
      </c>
      <c r="H392" s="210" t="b">
        <f t="shared" si="13"/>
        <v>1</v>
      </c>
      <c r="I392" s="210"/>
      <c r="J392" s="210"/>
    </row>
    <row r="393" spans="1:10" ht="13.8" x14ac:dyDescent="0.25">
      <c r="A393" s="7" t="s">
        <v>3061</v>
      </c>
      <c r="B393" s="60">
        <v>521219</v>
      </c>
      <c r="C393" s="41" t="s">
        <v>53</v>
      </c>
      <c r="D393" s="60"/>
      <c r="E393" s="60"/>
      <c r="F393" s="42"/>
      <c r="G393" s="42">
        <f>G394</f>
        <v>2000000</v>
      </c>
      <c r="H393" s="210" t="b">
        <f t="shared" si="13"/>
        <v>1</v>
      </c>
      <c r="I393" s="210"/>
      <c r="J393" s="210"/>
    </row>
    <row r="394" spans="1:10" ht="26.4" x14ac:dyDescent="0.25">
      <c r="A394" s="7" t="s">
        <v>3062</v>
      </c>
      <c r="B394" s="152"/>
      <c r="C394" s="151" t="s">
        <v>4508</v>
      </c>
      <c r="D394" s="152">
        <v>1</v>
      </c>
      <c r="E394" s="152" t="s">
        <v>153</v>
      </c>
      <c r="F394" s="153">
        <v>2000000</v>
      </c>
      <c r="G394" s="153">
        <f>ROUNDDOWN(D394*F394,-3)</f>
        <v>2000000</v>
      </c>
      <c r="H394" s="210" t="b">
        <f t="shared" si="13"/>
        <v>1</v>
      </c>
      <c r="I394" s="210"/>
      <c r="J394" s="210"/>
    </row>
    <row r="395" spans="1:10" ht="13.8" x14ac:dyDescent="0.25">
      <c r="A395" s="7" t="s">
        <v>3064</v>
      </c>
      <c r="B395" s="60">
        <v>524111</v>
      </c>
      <c r="C395" s="41" t="s">
        <v>19</v>
      </c>
      <c r="D395" s="60"/>
      <c r="E395" s="60"/>
      <c r="F395" s="42"/>
      <c r="G395" s="42">
        <f>G396</f>
        <v>247200000</v>
      </c>
      <c r="H395" s="210" t="b">
        <f t="shared" si="13"/>
        <v>1</v>
      </c>
      <c r="I395" s="210"/>
      <c r="J395" s="210"/>
    </row>
    <row r="396" spans="1:10" ht="13.8" x14ac:dyDescent="0.25">
      <c r="A396" s="7" t="s">
        <v>3065</v>
      </c>
      <c r="B396" s="152"/>
      <c r="C396" s="151" t="s">
        <v>4509</v>
      </c>
      <c r="D396" s="152">
        <v>40</v>
      </c>
      <c r="E396" s="152" t="s">
        <v>10</v>
      </c>
      <c r="F396" s="153">
        <v>6180000</v>
      </c>
      <c r="G396" s="153">
        <f>ROUNDDOWN(D396*F396,-3)</f>
        <v>247200000</v>
      </c>
      <c r="H396" s="210" t="b">
        <f t="shared" si="13"/>
        <v>1</v>
      </c>
      <c r="I396" s="210"/>
      <c r="J396" s="210"/>
    </row>
    <row r="397" spans="1:10" ht="13.8" x14ac:dyDescent="0.25">
      <c r="A397" s="7" t="s">
        <v>3067</v>
      </c>
      <c r="B397" s="59" t="s">
        <v>511</v>
      </c>
      <c r="C397" s="38" t="s">
        <v>175</v>
      </c>
      <c r="D397" s="59"/>
      <c r="E397" s="59"/>
      <c r="F397" s="39"/>
      <c r="G397" s="39">
        <f>SUM(G398,G405,G408,G410,G412)</f>
        <v>212000000</v>
      </c>
      <c r="H397" s="210" t="b">
        <f t="shared" si="13"/>
        <v>1</v>
      </c>
      <c r="I397" s="210"/>
      <c r="J397" s="210"/>
    </row>
    <row r="398" spans="1:10" ht="13.8" x14ac:dyDescent="0.25">
      <c r="A398" s="7" t="s">
        <v>3068</v>
      </c>
      <c r="B398" s="60">
        <v>521211</v>
      </c>
      <c r="C398" s="41" t="s">
        <v>7</v>
      </c>
      <c r="D398" s="60"/>
      <c r="E398" s="60"/>
      <c r="F398" s="42"/>
      <c r="G398" s="42">
        <f>SUM(G399:G404)</f>
        <v>41000000</v>
      </c>
      <c r="H398" s="210" t="b">
        <f t="shared" si="13"/>
        <v>1</v>
      </c>
      <c r="I398" s="210"/>
      <c r="J398" s="210"/>
    </row>
    <row r="399" spans="1:10" ht="13.8" x14ac:dyDescent="0.25">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3.8" x14ac:dyDescent="0.25">
      <c r="A400" s="7" t="s">
        <v>3070</v>
      </c>
      <c r="B400" s="152"/>
      <c r="C400" s="151" t="s">
        <v>4420</v>
      </c>
      <c r="D400" s="152">
        <v>180</v>
      </c>
      <c r="E400" s="152" t="s">
        <v>10</v>
      </c>
      <c r="F400" s="153">
        <v>75000</v>
      </c>
      <c r="G400" s="153">
        <f t="shared" si="14"/>
        <v>13500000</v>
      </c>
      <c r="H400" s="210" t="b">
        <f t="shared" si="13"/>
        <v>1</v>
      </c>
      <c r="I400" s="210"/>
      <c r="J400" s="210"/>
    </row>
    <row r="401" spans="1:10" ht="13.8" x14ac:dyDescent="0.25">
      <c r="A401" s="7" t="s">
        <v>3071</v>
      </c>
      <c r="B401" s="152"/>
      <c r="C401" s="151" t="s">
        <v>4510</v>
      </c>
      <c r="D401" s="152">
        <v>15</v>
      </c>
      <c r="E401" s="152" t="s">
        <v>176</v>
      </c>
      <c r="F401" s="153">
        <v>500000</v>
      </c>
      <c r="G401" s="153">
        <f t="shared" si="14"/>
        <v>7500000</v>
      </c>
      <c r="H401" s="210" t="b">
        <f t="shared" si="13"/>
        <v>1</v>
      </c>
      <c r="I401" s="210"/>
      <c r="J401" s="210"/>
    </row>
    <row r="402" spans="1:10" ht="13.8" x14ac:dyDescent="0.25">
      <c r="A402" s="7" t="s">
        <v>3073</v>
      </c>
      <c r="B402" s="152"/>
      <c r="C402" s="151" t="s">
        <v>3610</v>
      </c>
      <c r="D402" s="152">
        <v>4</v>
      </c>
      <c r="E402" s="152" t="s">
        <v>106</v>
      </c>
      <c r="F402" s="153">
        <v>1000000</v>
      </c>
      <c r="G402" s="153">
        <f t="shared" si="14"/>
        <v>4000000</v>
      </c>
      <c r="H402" s="210" t="b">
        <f t="shared" si="13"/>
        <v>1</v>
      </c>
      <c r="I402" s="210"/>
      <c r="J402" s="210"/>
    </row>
    <row r="403" spans="1:10" ht="13.8" x14ac:dyDescent="0.25">
      <c r="A403" s="7" t="s">
        <v>3074</v>
      </c>
      <c r="B403" s="152"/>
      <c r="C403" s="151" t="s">
        <v>3611</v>
      </c>
      <c r="D403" s="152">
        <v>4</v>
      </c>
      <c r="E403" s="152" t="s">
        <v>106</v>
      </c>
      <c r="F403" s="153">
        <v>1500000</v>
      </c>
      <c r="G403" s="153">
        <f t="shared" si="14"/>
        <v>6000000</v>
      </c>
      <c r="H403" s="210" t="b">
        <f t="shared" si="13"/>
        <v>1</v>
      </c>
      <c r="I403" s="210"/>
      <c r="J403" s="210"/>
    </row>
    <row r="404" spans="1:10" ht="13.8" x14ac:dyDescent="0.25">
      <c r="A404" s="7" t="s">
        <v>3075</v>
      </c>
      <c r="B404" s="152"/>
      <c r="C404" s="151" t="s">
        <v>4511</v>
      </c>
      <c r="D404" s="152">
        <v>8</v>
      </c>
      <c r="E404" s="152" t="s">
        <v>58</v>
      </c>
      <c r="F404" s="153">
        <v>500000</v>
      </c>
      <c r="G404" s="153">
        <f t="shared" si="14"/>
        <v>4000000</v>
      </c>
      <c r="H404" s="210" t="b">
        <f t="shared" si="13"/>
        <v>1</v>
      </c>
      <c r="I404" s="210"/>
      <c r="J404" s="210"/>
    </row>
    <row r="405" spans="1:10" ht="13.8" x14ac:dyDescent="0.25">
      <c r="A405" s="7" t="s">
        <v>3077</v>
      </c>
      <c r="B405" s="60">
        <v>521219</v>
      </c>
      <c r="C405" s="41" t="s">
        <v>53</v>
      </c>
      <c r="D405" s="60"/>
      <c r="E405" s="60"/>
      <c r="F405" s="42"/>
      <c r="G405" s="42">
        <f>SUM(G406:G407)</f>
        <v>32000000</v>
      </c>
      <c r="H405" s="210" t="b">
        <f t="shared" si="13"/>
        <v>1</v>
      </c>
      <c r="I405" s="210"/>
      <c r="J405" s="210"/>
    </row>
    <row r="406" spans="1:10" ht="26.4" x14ac:dyDescent="0.25">
      <c r="A406" s="7" t="s">
        <v>3078</v>
      </c>
      <c r="B406" s="152"/>
      <c r="C406" s="151" t="s">
        <v>4512</v>
      </c>
      <c r="D406" s="152">
        <v>2</v>
      </c>
      <c r="E406" s="152" t="s">
        <v>177</v>
      </c>
      <c r="F406" s="153">
        <v>15000000</v>
      </c>
      <c r="G406" s="153">
        <f>ROUNDDOWN(D406*F406,-3)</f>
        <v>30000000</v>
      </c>
      <c r="H406" s="210" t="b">
        <f t="shared" si="13"/>
        <v>1</v>
      </c>
      <c r="I406" s="210"/>
      <c r="J406" s="210"/>
    </row>
    <row r="407" spans="1:10" ht="26.4" x14ac:dyDescent="0.25">
      <c r="A407" s="7" t="s">
        <v>3080</v>
      </c>
      <c r="B407" s="152"/>
      <c r="C407" s="151" t="s">
        <v>4513</v>
      </c>
      <c r="D407" s="152">
        <v>1</v>
      </c>
      <c r="E407" s="152" t="s">
        <v>60</v>
      </c>
      <c r="F407" s="153">
        <v>2000000</v>
      </c>
      <c r="G407" s="153">
        <f>ROUNDDOWN(D407*F407,-3)</f>
        <v>2000000</v>
      </c>
      <c r="H407" s="210" t="b">
        <f t="shared" si="13"/>
        <v>1</v>
      </c>
      <c r="I407" s="210"/>
      <c r="J407" s="210"/>
    </row>
    <row r="408" spans="1:10" ht="13.8" x14ac:dyDescent="0.25">
      <c r="A408" s="7" t="s">
        <v>3082</v>
      </c>
      <c r="B408" s="60">
        <v>522151</v>
      </c>
      <c r="C408" s="41" t="s">
        <v>11</v>
      </c>
      <c r="D408" s="60"/>
      <c r="E408" s="60"/>
      <c r="F408" s="42"/>
      <c r="G408" s="42">
        <f>G409</f>
        <v>10000000</v>
      </c>
      <c r="H408" s="210" t="b">
        <f t="shared" si="13"/>
        <v>1</v>
      </c>
      <c r="I408" s="210"/>
      <c r="J408" s="210"/>
    </row>
    <row r="409" spans="1:10" ht="13.8" x14ac:dyDescent="0.25">
      <c r="A409" s="7" t="s">
        <v>3083</v>
      </c>
      <c r="B409" s="152"/>
      <c r="C409" s="151" t="s">
        <v>3715</v>
      </c>
      <c r="D409" s="152">
        <v>10</v>
      </c>
      <c r="E409" s="152" t="s">
        <v>54</v>
      </c>
      <c r="F409" s="153">
        <v>1000000</v>
      </c>
      <c r="G409" s="153">
        <f>ROUNDDOWN(D409*F409,-3)</f>
        <v>10000000</v>
      </c>
      <c r="H409" s="210" t="b">
        <f t="shared" si="13"/>
        <v>1</v>
      </c>
      <c r="I409" s="210"/>
      <c r="J409" s="210"/>
    </row>
    <row r="410" spans="1:10" ht="13.8" x14ac:dyDescent="0.25">
      <c r="A410" s="7" t="s">
        <v>3084</v>
      </c>
      <c r="B410" s="60">
        <v>524111</v>
      </c>
      <c r="C410" s="41" t="s">
        <v>19</v>
      </c>
      <c r="D410" s="60"/>
      <c r="E410" s="60"/>
      <c r="F410" s="42"/>
      <c r="G410" s="42">
        <f>G411</f>
        <v>120000000</v>
      </c>
      <c r="H410" s="210" t="b">
        <f t="shared" si="13"/>
        <v>1</v>
      </c>
      <c r="I410" s="210"/>
      <c r="J410" s="210"/>
    </row>
    <row r="411" spans="1:10" ht="13.8" x14ac:dyDescent="0.25">
      <c r="A411" s="7" t="s">
        <v>3085</v>
      </c>
      <c r="B411" s="152"/>
      <c r="C411" s="151" t="s">
        <v>4514</v>
      </c>
      <c r="D411" s="152">
        <v>30</v>
      </c>
      <c r="E411" s="152" t="s">
        <v>10</v>
      </c>
      <c r="F411" s="153">
        <v>4000000</v>
      </c>
      <c r="G411" s="153">
        <f>ROUNDDOWN(D411*F411,-3)</f>
        <v>120000000</v>
      </c>
      <c r="H411" s="210" t="b">
        <f t="shared" si="13"/>
        <v>1</v>
      </c>
      <c r="I411" s="210"/>
      <c r="J411" s="210"/>
    </row>
    <row r="412" spans="1:10" ht="13.8" x14ac:dyDescent="0.25">
      <c r="A412" s="7" t="s">
        <v>3087</v>
      </c>
      <c r="B412" s="60">
        <v>524113</v>
      </c>
      <c r="C412" s="41" t="s">
        <v>13</v>
      </c>
      <c r="D412" s="60"/>
      <c r="E412" s="60"/>
      <c r="F412" s="42"/>
      <c r="G412" s="42">
        <f>G413</f>
        <v>9000000</v>
      </c>
      <c r="H412" s="210" t="b">
        <f t="shared" si="13"/>
        <v>1</v>
      </c>
      <c r="I412" s="210"/>
      <c r="J412" s="210"/>
    </row>
    <row r="413" spans="1:10" ht="13.8" x14ac:dyDescent="0.25">
      <c r="A413" s="7" t="s">
        <v>3088</v>
      </c>
      <c r="B413" s="152"/>
      <c r="C413" s="151" t="s">
        <v>3613</v>
      </c>
      <c r="D413" s="152">
        <v>60</v>
      </c>
      <c r="E413" s="152" t="s">
        <v>25</v>
      </c>
      <c r="F413" s="153">
        <v>150000</v>
      </c>
      <c r="G413" s="153">
        <f>ROUNDDOWN(D413*F413,-3)</f>
        <v>9000000</v>
      </c>
      <c r="H413" s="210" t="b">
        <f t="shared" si="13"/>
        <v>1</v>
      </c>
      <c r="I413" s="210"/>
      <c r="J413" s="210"/>
    </row>
    <row r="414" spans="1:10" ht="26.4" x14ac:dyDescent="0.25">
      <c r="A414" s="7" t="s">
        <v>3089</v>
      </c>
      <c r="B414" s="58">
        <v>302</v>
      </c>
      <c r="C414" s="35" t="s">
        <v>3091</v>
      </c>
      <c r="D414" s="58"/>
      <c r="E414" s="58"/>
      <c r="F414" s="36"/>
      <c r="G414" s="36">
        <f>G415</f>
        <v>126532000</v>
      </c>
      <c r="H414" s="210" t="b">
        <f t="shared" si="13"/>
        <v>1</v>
      </c>
      <c r="I414" s="210"/>
      <c r="J414" s="210"/>
    </row>
    <row r="415" spans="1:10" ht="13.8" x14ac:dyDescent="0.25">
      <c r="A415" s="7" t="s">
        <v>3092</v>
      </c>
      <c r="B415" s="59" t="s">
        <v>8</v>
      </c>
      <c r="C415" s="38" t="s">
        <v>178</v>
      </c>
      <c r="D415" s="59"/>
      <c r="E415" s="59"/>
      <c r="F415" s="39"/>
      <c r="G415" s="39">
        <f>SUM(G416,G422,G424)</f>
        <v>126532000</v>
      </c>
      <c r="H415" s="210" t="b">
        <f t="shared" si="13"/>
        <v>1</v>
      </c>
      <c r="I415" s="210"/>
      <c r="J415" s="210"/>
    </row>
    <row r="416" spans="1:10" ht="13.8" x14ac:dyDescent="0.25">
      <c r="A416" s="7" t="s">
        <v>3093</v>
      </c>
      <c r="B416" s="60">
        <v>521211</v>
      </c>
      <c r="C416" s="41" t="s">
        <v>7</v>
      </c>
      <c r="D416" s="60"/>
      <c r="E416" s="60"/>
      <c r="F416" s="42"/>
      <c r="G416" s="42">
        <f>SUM(G417:G421)</f>
        <v>35500000</v>
      </c>
      <c r="H416" s="210" t="b">
        <f t="shared" si="13"/>
        <v>1</v>
      </c>
      <c r="I416" s="210"/>
      <c r="J416" s="210"/>
    </row>
    <row r="417" spans="1:10" ht="13.8" x14ac:dyDescent="0.25">
      <c r="A417" s="7" t="s">
        <v>3094</v>
      </c>
      <c r="B417" s="152"/>
      <c r="C417" s="151" t="s">
        <v>3598</v>
      </c>
      <c r="D417" s="152">
        <v>4</v>
      </c>
      <c r="E417" s="152" t="s">
        <v>9</v>
      </c>
      <c r="F417" s="153">
        <v>1500000</v>
      </c>
      <c r="G417" s="153">
        <f>ROUNDDOWN(D417*F417,-3)</f>
        <v>6000000</v>
      </c>
      <c r="H417" s="210" t="b">
        <f t="shared" si="13"/>
        <v>1</v>
      </c>
      <c r="I417" s="210"/>
      <c r="J417" s="210"/>
    </row>
    <row r="418" spans="1:10" ht="13.8" x14ac:dyDescent="0.25">
      <c r="A418" s="7" t="s">
        <v>3095</v>
      </c>
      <c r="B418" s="152"/>
      <c r="C418" s="151" t="s">
        <v>4420</v>
      </c>
      <c r="D418" s="152">
        <v>180</v>
      </c>
      <c r="E418" s="152" t="s">
        <v>10</v>
      </c>
      <c r="F418" s="153">
        <v>75000</v>
      </c>
      <c r="G418" s="153">
        <f>ROUNDDOWN(D418*F418,-3)</f>
        <v>13500000</v>
      </c>
      <c r="H418" s="210" t="b">
        <f t="shared" si="13"/>
        <v>1</v>
      </c>
      <c r="I418" s="210"/>
      <c r="J418" s="210"/>
    </row>
    <row r="419" spans="1:10" ht="13.8" x14ac:dyDescent="0.25">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3.8" x14ac:dyDescent="0.25">
      <c r="A420" s="7" t="s">
        <v>3097</v>
      </c>
      <c r="B420" s="152"/>
      <c r="C420" s="151" t="s">
        <v>3601</v>
      </c>
      <c r="D420" s="152">
        <v>4</v>
      </c>
      <c r="E420" s="152" t="s">
        <v>106</v>
      </c>
      <c r="F420" s="153">
        <v>1500000</v>
      </c>
      <c r="G420" s="153">
        <f>ROUNDDOWN(D420*F420,-3)</f>
        <v>6000000</v>
      </c>
      <c r="H420" s="210" t="b">
        <f t="shared" si="15"/>
        <v>1</v>
      </c>
      <c r="I420" s="210"/>
      <c r="J420" s="210"/>
    </row>
    <row r="421" spans="1:10" ht="13.8" x14ac:dyDescent="0.25">
      <c r="A421" s="7" t="s">
        <v>3098</v>
      </c>
      <c r="B421" s="152"/>
      <c r="C421" s="151" t="s">
        <v>4515</v>
      </c>
      <c r="D421" s="152">
        <v>12</v>
      </c>
      <c r="E421" s="152" t="s">
        <v>176</v>
      </c>
      <c r="F421" s="153">
        <v>500000</v>
      </c>
      <c r="G421" s="153">
        <f>ROUNDDOWN(D421*F421,-3)</f>
        <v>6000000</v>
      </c>
      <c r="H421" s="210" t="b">
        <f t="shared" si="15"/>
        <v>1</v>
      </c>
      <c r="I421" s="210"/>
      <c r="J421" s="210"/>
    </row>
    <row r="422" spans="1:10" ht="13.8" x14ac:dyDescent="0.25">
      <c r="A422" s="7" t="s">
        <v>3100</v>
      </c>
      <c r="B422" s="60">
        <v>521219</v>
      </c>
      <c r="C422" s="41" t="s">
        <v>53</v>
      </c>
      <c r="D422" s="60"/>
      <c r="E422" s="60"/>
      <c r="F422" s="42"/>
      <c r="G422" s="42">
        <f>G423</f>
        <v>2000000</v>
      </c>
      <c r="H422" s="210" t="b">
        <f t="shared" si="15"/>
        <v>1</v>
      </c>
      <c r="I422" s="210"/>
      <c r="J422" s="210"/>
    </row>
    <row r="423" spans="1:10" ht="26.4" x14ac:dyDescent="0.25">
      <c r="A423" s="7" t="s">
        <v>3101</v>
      </c>
      <c r="B423" s="152"/>
      <c r="C423" s="151" t="s">
        <v>4508</v>
      </c>
      <c r="D423" s="152">
        <v>1</v>
      </c>
      <c r="E423" s="152" t="s">
        <v>153</v>
      </c>
      <c r="F423" s="153">
        <v>2000000</v>
      </c>
      <c r="G423" s="153">
        <f>ROUNDDOWN(D423*F423,-3)</f>
        <v>2000000</v>
      </c>
      <c r="H423" s="210" t="b">
        <f t="shared" si="15"/>
        <v>1</v>
      </c>
      <c r="I423" s="210"/>
      <c r="J423" s="210"/>
    </row>
    <row r="424" spans="1:10" ht="13.8" x14ac:dyDescent="0.25">
      <c r="A424" s="7" t="s">
        <v>3102</v>
      </c>
      <c r="B424" s="60">
        <v>524111</v>
      </c>
      <c r="C424" s="41" t="s">
        <v>19</v>
      </c>
      <c r="D424" s="60"/>
      <c r="E424" s="60"/>
      <c r="F424" s="42"/>
      <c r="G424" s="42">
        <f>G425</f>
        <v>89032000</v>
      </c>
      <c r="H424" s="210" t="b">
        <f t="shared" si="15"/>
        <v>1</v>
      </c>
      <c r="I424" s="210"/>
      <c r="J424" s="210"/>
    </row>
    <row r="425" spans="1:10" ht="13.8" x14ac:dyDescent="0.25">
      <c r="A425" s="7" t="s">
        <v>3103</v>
      </c>
      <c r="B425" s="152"/>
      <c r="C425" s="151" t="s">
        <v>4514</v>
      </c>
      <c r="D425" s="152">
        <v>22</v>
      </c>
      <c r="E425" s="152" t="s">
        <v>10</v>
      </c>
      <c r="F425" s="153">
        <v>4046950</v>
      </c>
      <c r="G425" s="153">
        <f>ROUNDDOWN(D425*F425,-3)</f>
        <v>89032000</v>
      </c>
      <c r="H425" s="210" t="b">
        <f t="shared" si="15"/>
        <v>1</v>
      </c>
      <c r="I425" s="210"/>
      <c r="J425" s="210"/>
    </row>
    <row r="426" spans="1:10" ht="13.8" x14ac:dyDescent="0.25">
      <c r="A426" s="7" t="s">
        <v>3104</v>
      </c>
      <c r="B426" s="138" t="s">
        <v>4516</v>
      </c>
      <c r="C426" s="137" t="s">
        <v>3106</v>
      </c>
      <c r="D426" s="138">
        <v>1</v>
      </c>
      <c r="E426" s="138" t="s">
        <v>4315</v>
      </c>
      <c r="F426" s="139"/>
      <c r="G426" s="139">
        <f>G427</f>
        <v>289920000</v>
      </c>
      <c r="H426" s="210" t="b">
        <f t="shared" si="15"/>
        <v>1</v>
      </c>
      <c r="I426" s="210"/>
      <c r="J426" s="210"/>
    </row>
    <row r="427" spans="1:10" ht="13.8" x14ac:dyDescent="0.25">
      <c r="A427" s="7" t="s">
        <v>3318</v>
      </c>
      <c r="B427" s="58">
        <v>301</v>
      </c>
      <c r="C427" s="35" t="s">
        <v>3319</v>
      </c>
      <c r="D427" s="58"/>
      <c r="E427" s="58"/>
      <c r="F427" s="36"/>
      <c r="G427" s="36">
        <f>SUM(G428,G438,G447,G455,G468,G476)</f>
        <v>289920000</v>
      </c>
      <c r="H427" s="210" t="b">
        <f t="shared" si="15"/>
        <v>1</v>
      </c>
      <c r="I427" s="210"/>
      <c r="J427" s="210"/>
    </row>
    <row r="428" spans="1:10" ht="13.8" x14ac:dyDescent="0.25">
      <c r="A428" s="7" t="s">
        <v>3320</v>
      </c>
      <c r="B428" s="59" t="s">
        <v>8</v>
      </c>
      <c r="C428" s="38" t="s">
        <v>143</v>
      </c>
      <c r="D428" s="59"/>
      <c r="E428" s="59"/>
      <c r="F428" s="39"/>
      <c r="G428" s="39">
        <f>SUM(G429,G434,G436)</f>
        <v>40700000</v>
      </c>
      <c r="H428" s="210" t="b">
        <f t="shared" si="15"/>
        <v>1</v>
      </c>
      <c r="I428" s="210"/>
      <c r="J428" s="210"/>
    </row>
    <row r="429" spans="1:10" ht="13.8" x14ac:dyDescent="0.25">
      <c r="A429" s="7" t="s">
        <v>3321</v>
      </c>
      <c r="B429" s="60">
        <v>521211</v>
      </c>
      <c r="C429" s="41" t="s">
        <v>7</v>
      </c>
      <c r="D429" s="60"/>
      <c r="E429" s="60"/>
      <c r="F429" s="42"/>
      <c r="G429" s="42">
        <f>SUM(G430:G433)</f>
        <v>23900000</v>
      </c>
      <c r="H429" s="210" t="b">
        <f t="shared" si="15"/>
        <v>1</v>
      </c>
      <c r="I429" s="210"/>
      <c r="J429" s="210"/>
    </row>
    <row r="430" spans="1:10" ht="13.8" x14ac:dyDescent="0.25">
      <c r="A430" s="7" t="s">
        <v>3322</v>
      </c>
      <c r="B430" s="152"/>
      <c r="C430" s="151" t="s">
        <v>3598</v>
      </c>
      <c r="D430" s="152">
        <v>5</v>
      </c>
      <c r="E430" s="152" t="s">
        <v>9</v>
      </c>
      <c r="F430" s="153">
        <v>1500000</v>
      </c>
      <c r="G430" s="153">
        <f>ROUNDDOWN(D430*F430,-3)</f>
        <v>7500000</v>
      </c>
      <c r="H430" s="210" t="b">
        <f t="shared" si="15"/>
        <v>1</v>
      </c>
      <c r="I430" s="210"/>
      <c r="J430" s="210"/>
    </row>
    <row r="431" spans="1:10" ht="13.8" x14ac:dyDescent="0.25">
      <c r="A431" s="7" t="s">
        <v>3323</v>
      </c>
      <c r="B431" s="152"/>
      <c r="C431" s="151" t="s">
        <v>4420</v>
      </c>
      <c r="D431" s="152">
        <v>20</v>
      </c>
      <c r="E431" s="152" t="s">
        <v>10</v>
      </c>
      <c r="F431" s="153">
        <v>70000</v>
      </c>
      <c r="G431" s="153">
        <f>ROUNDDOWN(D431*F431,-3)</f>
        <v>1400000</v>
      </c>
      <c r="H431" s="210" t="b">
        <f t="shared" si="15"/>
        <v>1</v>
      </c>
      <c r="I431" s="210"/>
      <c r="J431" s="210"/>
    </row>
    <row r="432" spans="1:10" ht="13.8" x14ac:dyDescent="0.25">
      <c r="A432" s="7" t="s">
        <v>3324</v>
      </c>
      <c r="B432" s="152"/>
      <c r="C432" s="151" t="s">
        <v>3600</v>
      </c>
      <c r="D432" s="152">
        <v>6</v>
      </c>
      <c r="E432" s="152" t="s">
        <v>106</v>
      </c>
      <c r="F432" s="153">
        <v>1000000</v>
      </c>
      <c r="G432" s="153">
        <f>ROUNDDOWN(D432*F432,-3)</f>
        <v>6000000</v>
      </c>
      <c r="H432" s="210" t="b">
        <f t="shared" si="15"/>
        <v>1</v>
      </c>
      <c r="I432" s="210"/>
      <c r="J432" s="210"/>
    </row>
    <row r="433" spans="1:10" ht="13.8" x14ac:dyDescent="0.25">
      <c r="A433" s="7" t="s">
        <v>3325</v>
      </c>
      <c r="B433" s="152"/>
      <c r="C433" s="151" t="s">
        <v>3601</v>
      </c>
      <c r="D433" s="152">
        <v>6</v>
      </c>
      <c r="E433" s="152" t="s">
        <v>106</v>
      </c>
      <c r="F433" s="153">
        <v>1500000</v>
      </c>
      <c r="G433" s="153">
        <f>ROUNDDOWN(D433*F433,-3)</f>
        <v>9000000</v>
      </c>
      <c r="H433" s="210" t="b">
        <f t="shared" si="15"/>
        <v>1</v>
      </c>
      <c r="I433" s="210"/>
      <c r="J433" s="210"/>
    </row>
    <row r="434" spans="1:10" ht="13.8" x14ac:dyDescent="0.25">
      <c r="A434" s="7" t="s">
        <v>3326</v>
      </c>
      <c r="B434" s="60">
        <v>524111</v>
      </c>
      <c r="C434" s="41" t="s">
        <v>19</v>
      </c>
      <c r="D434" s="60"/>
      <c r="E434" s="60"/>
      <c r="F434" s="42"/>
      <c r="G434" s="42">
        <f>G435</f>
        <v>15000000</v>
      </c>
      <c r="H434" s="210" t="b">
        <f t="shared" si="15"/>
        <v>1</v>
      </c>
      <c r="I434" s="210"/>
      <c r="J434" s="210"/>
    </row>
    <row r="435" spans="1:10" ht="13.8" x14ac:dyDescent="0.25">
      <c r="A435" s="7" t="s">
        <v>3327</v>
      </c>
      <c r="B435" s="152"/>
      <c r="C435" s="151" t="s">
        <v>4582</v>
      </c>
      <c r="D435" s="152">
        <v>5</v>
      </c>
      <c r="E435" s="152" t="s">
        <v>10</v>
      </c>
      <c r="F435" s="153">
        <v>3000000</v>
      </c>
      <c r="G435" s="153">
        <f>ROUNDDOWN(D435*F435,-3)</f>
        <v>15000000</v>
      </c>
      <c r="H435" s="210" t="b">
        <f t="shared" si="15"/>
        <v>1</v>
      </c>
      <c r="I435" s="210"/>
      <c r="J435" s="210"/>
    </row>
    <row r="436" spans="1:10" ht="13.8" x14ac:dyDescent="0.25">
      <c r="A436" s="7" t="s">
        <v>3329</v>
      </c>
      <c r="B436" s="60">
        <v>524113</v>
      </c>
      <c r="C436" s="41" t="s">
        <v>13</v>
      </c>
      <c r="D436" s="60"/>
      <c r="E436" s="60"/>
      <c r="F436" s="42"/>
      <c r="G436" s="42">
        <f>G437</f>
        <v>1800000</v>
      </c>
      <c r="H436" s="210" t="b">
        <f t="shared" si="15"/>
        <v>1</v>
      </c>
      <c r="I436" s="210"/>
      <c r="J436" s="210"/>
    </row>
    <row r="437" spans="1:10" ht="13.8" x14ac:dyDescent="0.25">
      <c r="A437" s="7" t="s">
        <v>3330</v>
      </c>
      <c r="B437" s="152"/>
      <c r="C437" s="151" t="s">
        <v>3603</v>
      </c>
      <c r="D437" s="152">
        <v>12</v>
      </c>
      <c r="E437" s="152" t="s">
        <v>10</v>
      </c>
      <c r="F437" s="153">
        <v>150000</v>
      </c>
      <c r="G437" s="153">
        <f>ROUNDDOWN(D437*F437,-3)</f>
        <v>1800000</v>
      </c>
      <c r="H437" s="210" t="b">
        <f t="shared" si="15"/>
        <v>1</v>
      </c>
      <c r="I437" s="210"/>
      <c r="J437" s="210"/>
    </row>
    <row r="438" spans="1:10" ht="13.8" x14ac:dyDescent="0.25">
      <c r="A438" s="7" t="s">
        <v>3331</v>
      </c>
      <c r="B438" s="59" t="s">
        <v>511</v>
      </c>
      <c r="C438" s="38" t="s">
        <v>144</v>
      </c>
      <c r="D438" s="59"/>
      <c r="E438" s="59"/>
      <c r="F438" s="39"/>
      <c r="G438" s="39">
        <f>SUM(G439,G443,G445)</f>
        <v>30900000</v>
      </c>
      <c r="H438" s="210" t="b">
        <f t="shared" si="15"/>
        <v>1</v>
      </c>
      <c r="I438" s="210"/>
      <c r="J438" s="210"/>
    </row>
    <row r="439" spans="1:10" ht="13.8" x14ac:dyDescent="0.25">
      <c r="A439" s="7" t="s">
        <v>3332</v>
      </c>
      <c r="B439" s="60">
        <v>521211</v>
      </c>
      <c r="C439" s="41" t="s">
        <v>7</v>
      </c>
      <c r="D439" s="60"/>
      <c r="E439" s="60"/>
      <c r="F439" s="42"/>
      <c r="G439" s="42">
        <f>SUM(G440:G442)</f>
        <v>11400000</v>
      </c>
      <c r="H439" s="210" t="b">
        <f t="shared" si="15"/>
        <v>1</v>
      </c>
      <c r="I439" s="210"/>
      <c r="J439" s="210"/>
    </row>
    <row r="440" spans="1:10" ht="13.8" x14ac:dyDescent="0.25">
      <c r="A440" s="7" t="s">
        <v>3333</v>
      </c>
      <c r="B440" s="152"/>
      <c r="C440" s="151" t="s">
        <v>4269</v>
      </c>
      <c r="D440" s="152">
        <v>4</v>
      </c>
      <c r="E440" s="152" t="s">
        <v>9</v>
      </c>
      <c r="F440" s="153">
        <v>1500000</v>
      </c>
      <c r="G440" s="153">
        <f>ROUNDDOWN(D440*F440,-3)</f>
        <v>6000000</v>
      </c>
      <c r="H440" s="210" t="b">
        <f t="shared" si="15"/>
        <v>1</v>
      </c>
      <c r="I440" s="210"/>
      <c r="J440" s="210"/>
    </row>
    <row r="441" spans="1:10" ht="13.8" x14ac:dyDescent="0.25">
      <c r="A441" s="7" t="s">
        <v>3334</v>
      </c>
      <c r="B441" s="152"/>
      <c r="C441" s="151" t="s">
        <v>4420</v>
      </c>
      <c r="D441" s="152">
        <v>20</v>
      </c>
      <c r="E441" s="152" t="s">
        <v>10</v>
      </c>
      <c r="F441" s="153">
        <v>70000</v>
      </c>
      <c r="G441" s="153">
        <f>ROUNDDOWN(D441*F441,-3)</f>
        <v>1400000</v>
      </c>
      <c r="H441" s="210" t="b">
        <f t="shared" si="15"/>
        <v>1</v>
      </c>
      <c r="I441" s="210"/>
      <c r="J441" s="210"/>
    </row>
    <row r="442" spans="1:10" ht="13.8" x14ac:dyDescent="0.25">
      <c r="A442" s="7" t="s">
        <v>3335</v>
      </c>
      <c r="B442" s="152"/>
      <c r="C442" s="151" t="s">
        <v>3600</v>
      </c>
      <c r="D442" s="152">
        <v>4</v>
      </c>
      <c r="E442" s="152" t="s">
        <v>106</v>
      </c>
      <c r="F442" s="153">
        <v>1000000</v>
      </c>
      <c r="G442" s="153">
        <f>ROUNDDOWN(D442*F442,-3)</f>
        <v>4000000</v>
      </c>
      <c r="H442" s="210" t="b">
        <f t="shared" si="15"/>
        <v>1</v>
      </c>
      <c r="I442" s="210"/>
      <c r="J442" s="210"/>
    </row>
    <row r="443" spans="1:10" ht="13.8" x14ac:dyDescent="0.25">
      <c r="A443" s="7" t="s">
        <v>3336</v>
      </c>
      <c r="B443" s="60">
        <v>524111</v>
      </c>
      <c r="C443" s="41" t="s">
        <v>19</v>
      </c>
      <c r="D443" s="60"/>
      <c r="E443" s="60"/>
      <c r="F443" s="42"/>
      <c r="G443" s="42">
        <f>G444</f>
        <v>18000000</v>
      </c>
      <c r="H443" s="210" t="b">
        <f t="shared" si="15"/>
        <v>1</v>
      </c>
      <c r="I443" s="210"/>
      <c r="J443" s="210"/>
    </row>
    <row r="444" spans="1:10" ht="13.8" x14ac:dyDescent="0.25">
      <c r="A444" s="7" t="s">
        <v>3337</v>
      </c>
      <c r="B444" s="152"/>
      <c r="C444" s="151" t="s">
        <v>4582</v>
      </c>
      <c r="D444" s="152">
        <v>6</v>
      </c>
      <c r="E444" s="152" t="s">
        <v>10</v>
      </c>
      <c r="F444" s="153">
        <v>3000000</v>
      </c>
      <c r="G444" s="153">
        <f>ROUNDDOWN(D444*F444,-3)</f>
        <v>18000000</v>
      </c>
      <c r="H444" s="210" t="b">
        <f t="shared" si="15"/>
        <v>1</v>
      </c>
      <c r="I444" s="210"/>
      <c r="J444" s="210"/>
    </row>
    <row r="445" spans="1:10" ht="13.8" x14ac:dyDescent="0.25">
      <c r="A445" s="7" t="s">
        <v>3338</v>
      </c>
      <c r="B445" s="60">
        <v>524113</v>
      </c>
      <c r="C445" s="41" t="s">
        <v>13</v>
      </c>
      <c r="D445" s="60"/>
      <c r="E445" s="60"/>
      <c r="F445" s="42"/>
      <c r="G445" s="42">
        <f>G446</f>
        <v>1500000</v>
      </c>
      <c r="H445" s="210" t="b">
        <f t="shared" si="15"/>
        <v>1</v>
      </c>
      <c r="I445" s="210"/>
      <c r="J445" s="210"/>
    </row>
    <row r="446" spans="1:10" ht="13.8" x14ac:dyDescent="0.25">
      <c r="A446" s="7" t="s">
        <v>3339</v>
      </c>
      <c r="B446" s="152"/>
      <c r="C446" s="151" t="s">
        <v>3613</v>
      </c>
      <c r="D446" s="152">
        <v>10</v>
      </c>
      <c r="E446" s="152" t="s">
        <v>10</v>
      </c>
      <c r="F446" s="153">
        <v>150000</v>
      </c>
      <c r="G446" s="153">
        <f>ROUNDDOWN(D446*F446,-3)</f>
        <v>1500000</v>
      </c>
      <c r="H446" s="210" t="b">
        <f t="shared" si="15"/>
        <v>1</v>
      </c>
      <c r="I446" s="210"/>
      <c r="J446" s="210"/>
    </row>
    <row r="447" spans="1:10" ht="13.8" x14ac:dyDescent="0.25">
      <c r="A447" s="7" t="s">
        <v>3340</v>
      </c>
      <c r="B447" s="59" t="s">
        <v>512</v>
      </c>
      <c r="C447" s="38" t="s">
        <v>145</v>
      </c>
      <c r="D447" s="59"/>
      <c r="E447" s="59"/>
      <c r="F447" s="39"/>
      <c r="G447" s="39">
        <f>SUM(G448,G451,G453)</f>
        <v>26500000</v>
      </c>
      <c r="H447" s="210" t="b">
        <f t="shared" si="15"/>
        <v>1</v>
      </c>
      <c r="I447" s="210"/>
      <c r="J447" s="210"/>
    </row>
    <row r="448" spans="1:10" ht="13.8" x14ac:dyDescent="0.25">
      <c r="A448" s="7" t="s">
        <v>3341</v>
      </c>
      <c r="B448" s="60">
        <v>521211</v>
      </c>
      <c r="C448" s="41" t="s">
        <v>7</v>
      </c>
      <c r="D448" s="60"/>
      <c r="E448" s="60"/>
      <c r="F448" s="42"/>
      <c r="G448" s="42">
        <f>SUM(G449:G450)</f>
        <v>10000000</v>
      </c>
      <c r="H448" s="210" t="b">
        <f t="shared" si="15"/>
        <v>1</v>
      </c>
      <c r="I448" s="210"/>
      <c r="J448" s="210"/>
    </row>
    <row r="449" spans="1:10" ht="13.8" x14ac:dyDescent="0.25">
      <c r="A449" s="7" t="s">
        <v>3342</v>
      </c>
      <c r="B449" s="152"/>
      <c r="C449" s="151" t="s">
        <v>4269</v>
      </c>
      <c r="D449" s="152">
        <v>4</v>
      </c>
      <c r="E449" s="152" t="s">
        <v>9</v>
      </c>
      <c r="F449" s="153">
        <v>1500000</v>
      </c>
      <c r="G449" s="153">
        <f>ROUNDDOWN(D449*F449,-3)</f>
        <v>6000000</v>
      </c>
      <c r="H449" s="210" t="b">
        <f t="shared" si="15"/>
        <v>1</v>
      </c>
      <c r="I449" s="210"/>
      <c r="J449" s="210"/>
    </row>
    <row r="450" spans="1:10" ht="13.8" x14ac:dyDescent="0.25">
      <c r="A450" s="7" t="s">
        <v>3343</v>
      </c>
      <c r="B450" s="152"/>
      <c r="C450" s="151" t="s">
        <v>3632</v>
      </c>
      <c r="D450" s="152">
        <v>4</v>
      </c>
      <c r="E450" s="152" t="s">
        <v>106</v>
      </c>
      <c r="F450" s="153">
        <v>1000000</v>
      </c>
      <c r="G450" s="153">
        <f>ROUNDDOWN(D450*F450,-3)</f>
        <v>4000000</v>
      </c>
      <c r="H450" s="210" t="b">
        <f t="shared" si="15"/>
        <v>1</v>
      </c>
      <c r="I450" s="210"/>
      <c r="J450" s="210"/>
    </row>
    <row r="451" spans="1:10" ht="13.8" x14ac:dyDescent="0.25">
      <c r="A451" s="7" t="s">
        <v>3344</v>
      </c>
      <c r="B451" s="60">
        <v>524111</v>
      </c>
      <c r="C451" s="41" t="s">
        <v>19</v>
      </c>
      <c r="D451" s="60"/>
      <c r="E451" s="60"/>
      <c r="F451" s="42"/>
      <c r="G451" s="42">
        <f>G452</f>
        <v>15000000</v>
      </c>
      <c r="H451" s="210" t="b">
        <f t="shared" si="15"/>
        <v>1</v>
      </c>
      <c r="I451" s="210"/>
      <c r="J451" s="210"/>
    </row>
    <row r="452" spans="1:10" ht="13.8" x14ac:dyDescent="0.25">
      <c r="A452" s="7" t="s">
        <v>3345</v>
      </c>
      <c r="B452" s="152"/>
      <c r="C452" s="151" t="s">
        <v>4583</v>
      </c>
      <c r="D452" s="152">
        <v>5</v>
      </c>
      <c r="E452" s="152" t="s">
        <v>10</v>
      </c>
      <c r="F452" s="153">
        <v>3000000</v>
      </c>
      <c r="G452" s="153">
        <f>ROUNDDOWN(D452*F452,-3)</f>
        <v>15000000</v>
      </c>
      <c r="H452" s="210" t="b">
        <f t="shared" si="15"/>
        <v>1</v>
      </c>
      <c r="I452" s="210"/>
      <c r="J452" s="210"/>
    </row>
    <row r="453" spans="1:10" ht="13.8" x14ac:dyDescent="0.25">
      <c r="A453" s="7" t="s">
        <v>3347</v>
      </c>
      <c r="B453" s="60">
        <v>524113</v>
      </c>
      <c r="C453" s="41" t="s">
        <v>13</v>
      </c>
      <c r="D453" s="60"/>
      <c r="E453" s="60"/>
      <c r="F453" s="42"/>
      <c r="G453" s="42">
        <f>G454</f>
        <v>1500000</v>
      </c>
      <c r="H453" s="210" t="b">
        <f t="shared" si="15"/>
        <v>1</v>
      </c>
      <c r="I453" s="210"/>
      <c r="J453" s="210"/>
    </row>
    <row r="454" spans="1:10" ht="13.8" x14ac:dyDescent="0.25">
      <c r="A454" s="7" t="s">
        <v>3348</v>
      </c>
      <c r="B454" s="152"/>
      <c r="C454" s="151" t="s">
        <v>3613</v>
      </c>
      <c r="D454" s="152">
        <v>10</v>
      </c>
      <c r="E454" s="152" t="s">
        <v>10</v>
      </c>
      <c r="F454" s="153">
        <v>150000</v>
      </c>
      <c r="G454" s="153">
        <f>ROUNDDOWN(D454*F454,-3)</f>
        <v>1500000</v>
      </c>
      <c r="H454" s="210" t="b">
        <f t="shared" si="15"/>
        <v>1</v>
      </c>
      <c r="I454" s="210"/>
      <c r="J454" s="210"/>
    </row>
    <row r="455" spans="1:10" ht="13.8" x14ac:dyDescent="0.25">
      <c r="A455" s="7" t="s">
        <v>3349</v>
      </c>
      <c r="B455" s="59" t="s">
        <v>514</v>
      </c>
      <c r="C455" s="38" t="s">
        <v>3350</v>
      </c>
      <c r="D455" s="59"/>
      <c r="E455" s="59"/>
      <c r="F455" s="39"/>
      <c r="G455" s="39">
        <f>SUM(G456,G462,G464,G466)</f>
        <v>86700000</v>
      </c>
      <c r="H455" s="210" t="b">
        <f t="shared" si="15"/>
        <v>1</v>
      </c>
      <c r="I455" s="210"/>
      <c r="J455" s="210"/>
    </row>
    <row r="456" spans="1:10" ht="13.8" x14ac:dyDescent="0.25">
      <c r="A456" s="7" t="s">
        <v>3351</v>
      </c>
      <c r="B456" s="60">
        <v>521211</v>
      </c>
      <c r="C456" s="41" t="s">
        <v>7</v>
      </c>
      <c r="D456" s="60"/>
      <c r="E456" s="60"/>
      <c r="F456" s="42"/>
      <c r="G456" s="42">
        <f>SUM(G457:G461)</f>
        <v>32400000</v>
      </c>
      <c r="H456" s="210" t="b">
        <f t="shared" si="15"/>
        <v>1</v>
      </c>
      <c r="I456" s="210"/>
      <c r="J456" s="210"/>
    </row>
    <row r="457" spans="1:10" ht="13.8" x14ac:dyDescent="0.25">
      <c r="A457" s="7" t="s">
        <v>3352</v>
      </c>
      <c r="B457" s="152"/>
      <c r="C457" s="151" t="s">
        <v>4269</v>
      </c>
      <c r="D457" s="152">
        <v>6</v>
      </c>
      <c r="E457" s="152" t="s">
        <v>9</v>
      </c>
      <c r="F457" s="153">
        <v>1500000</v>
      </c>
      <c r="G457" s="153">
        <f>ROUNDDOWN(D457*F457,-3)</f>
        <v>9000000</v>
      </c>
      <c r="H457" s="210" t="b">
        <f t="shared" si="15"/>
        <v>1</v>
      </c>
      <c r="I457" s="210"/>
      <c r="J457" s="210"/>
    </row>
    <row r="458" spans="1:10" ht="13.8" x14ac:dyDescent="0.25">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3.8" x14ac:dyDescent="0.25">
      <c r="A459" s="211" t="s">
        <v>3354</v>
      </c>
      <c r="B459" s="152"/>
      <c r="C459" s="151" t="s">
        <v>4584</v>
      </c>
      <c r="D459" s="152">
        <v>28</v>
      </c>
      <c r="E459" s="152" t="s">
        <v>176</v>
      </c>
      <c r="F459" s="153">
        <v>500000</v>
      </c>
      <c r="G459" s="153">
        <f>ROUNDDOWN(D459*F459,-3)</f>
        <v>14000000</v>
      </c>
      <c r="H459" s="210" t="b">
        <f t="shared" si="15"/>
        <v>1</v>
      </c>
      <c r="I459" s="210"/>
      <c r="J459" s="210"/>
    </row>
    <row r="460" spans="1:10" ht="13.8" x14ac:dyDescent="0.25">
      <c r="A460" s="7" t="s">
        <v>3356</v>
      </c>
      <c r="B460" s="152"/>
      <c r="C460" s="151" t="s">
        <v>4585</v>
      </c>
      <c r="D460" s="152">
        <v>4</v>
      </c>
      <c r="E460" s="152" t="s">
        <v>58</v>
      </c>
      <c r="F460" s="153">
        <v>500000</v>
      </c>
      <c r="G460" s="153">
        <f>ROUNDDOWN(D460*F460,-3)</f>
        <v>2000000</v>
      </c>
      <c r="H460" s="210" t="b">
        <f t="shared" si="15"/>
        <v>1</v>
      </c>
      <c r="I460" s="210"/>
      <c r="J460" s="210"/>
    </row>
    <row r="461" spans="1:10" ht="13.8" x14ac:dyDescent="0.25">
      <c r="A461" s="7" t="s">
        <v>3358</v>
      </c>
      <c r="B461" s="152"/>
      <c r="C461" s="151" t="s">
        <v>4521</v>
      </c>
      <c r="D461" s="152">
        <v>6</v>
      </c>
      <c r="E461" s="152" t="s">
        <v>106</v>
      </c>
      <c r="F461" s="153">
        <v>1000000</v>
      </c>
      <c r="G461" s="153">
        <f>ROUNDDOWN(D461*F461,-3)</f>
        <v>6000000</v>
      </c>
      <c r="H461" s="210" t="b">
        <f t="shared" si="15"/>
        <v>1</v>
      </c>
      <c r="I461" s="210"/>
      <c r="J461" s="210"/>
    </row>
    <row r="462" spans="1:10" ht="13.8" x14ac:dyDescent="0.25">
      <c r="A462" s="7" t="s">
        <v>3359</v>
      </c>
      <c r="B462" s="60">
        <v>522151</v>
      </c>
      <c r="C462" s="41" t="s">
        <v>11</v>
      </c>
      <c r="D462" s="60"/>
      <c r="E462" s="60"/>
      <c r="F462" s="42"/>
      <c r="G462" s="42">
        <f>G463</f>
        <v>9000000</v>
      </c>
      <c r="H462" s="210" t="b">
        <f t="shared" si="15"/>
        <v>1</v>
      </c>
      <c r="I462" s="210"/>
      <c r="J462" s="210"/>
    </row>
    <row r="463" spans="1:10" ht="13.8" x14ac:dyDescent="0.25">
      <c r="A463" s="7" t="s">
        <v>3360</v>
      </c>
      <c r="B463" s="152"/>
      <c r="C463" s="151" t="s">
        <v>3715</v>
      </c>
      <c r="D463" s="152">
        <v>10</v>
      </c>
      <c r="E463" s="152" t="s">
        <v>12</v>
      </c>
      <c r="F463" s="153">
        <v>900000</v>
      </c>
      <c r="G463" s="153">
        <f>ROUNDDOWN(D463*F463,-3)</f>
        <v>9000000</v>
      </c>
      <c r="H463" s="210" t="b">
        <f t="shared" si="15"/>
        <v>1</v>
      </c>
      <c r="I463" s="210"/>
      <c r="J463" s="210"/>
    </row>
    <row r="464" spans="1:10" ht="13.8" x14ac:dyDescent="0.25">
      <c r="A464" s="7" t="s">
        <v>3361</v>
      </c>
      <c r="B464" s="60">
        <v>524111</v>
      </c>
      <c r="C464" s="41" t="s">
        <v>19</v>
      </c>
      <c r="D464" s="60"/>
      <c r="E464" s="60"/>
      <c r="F464" s="42"/>
      <c r="G464" s="42">
        <f>G465</f>
        <v>42000000</v>
      </c>
      <c r="H464" s="210" t="b">
        <f t="shared" si="15"/>
        <v>1</v>
      </c>
      <c r="I464" s="210"/>
      <c r="J464" s="210"/>
    </row>
    <row r="465" spans="1:10" ht="26.4" x14ac:dyDescent="0.25">
      <c r="A465" s="7" t="s">
        <v>3362</v>
      </c>
      <c r="B465" s="152"/>
      <c r="C465" s="151" t="s">
        <v>4586</v>
      </c>
      <c r="D465" s="152">
        <v>14</v>
      </c>
      <c r="E465" s="152" t="s">
        <v>10</v>
      </c>
      <c r="F465" s="153">
        <v>3000000</v>
      </c>
      <c r="G465" s="153">
        <f>ROUNDDOWN(D465*F465,-3)</f>
        <v>42000000</v>
      </c>
      <c r="H465" s="210" t="b">
        <f t="shared" si="15"/>
        <v>1</v>
      </c>
      <c r="I465" s="210"/>
      <c r="J465" s="210"/>
    </row>
    <row r="466" spans="1:10" ht="13.8" x14ac:dyDescent="0.25">
      <c r="A466" s="7" t="s">
        <v>3364</v>
      </c>
      <c r="B466" s="60">
        <v>524113</v>
      </c>
      <c r="C466" s="41" t="s">
        <v>13</v>
      </c>
      <c r="D466" s="60"/>
      <c r="E466" s="60"/>
      <c r="F466" s="42"/>
      <c r="G466" s="42">
        <f>G467</f>
        <v>3300000</v>
      </c>
      <c r="H466" s="210" t="b">
        <f t="shared" si="15"/>
        <v>1</v>
      </c>
      <c r="I466" s="210"/>
      <c r="J466" s="210"/>
    </row>
    <row r="467" spans="1:10" ht="26.4" x14ac:dyDescent="0.25">
      <c r="A467" s="7" t="s">
        <v>3365</v>
      </c>
      <c r="B467" s="152"/>
      <c r="C467" s="151" t="s">
        <v>4587</v>
      </c>
      <c r="D467" s="152">
        <v>22</v>
      </c>
      <c r="E467" s="152" t="s">
        <v>10</v>
      </c>
      <c r="F467" s="153">
        <v>150000</v>
      </c>
      <c r="G467" s="153">
        <f>ROUNDDOWN(D467*F467,-3)</f>
        <v>3300000</v>
      </c>
      <c r="H467" s="210" t="b">
        <f t="shared" si="15"/>
        <v>1</v>
      </c>
      <c r="I467" s="210"/>
      <c r="J467" s="210"/>
    </row>
    <row r="468" spans="1:10" ht="13.8" x14ac:dyDescent="0.25">
      <c r="A468" s="7" t="s">
        <v>3367</v>
      </c>
      <c r="B468" s="59" t="s">
        <v>519</v>
      </c>
      <c r="C468" s="38" t="s">
        <v>146</v>
      </c>
      <c r="D468" s="59"/>
      <c r="E468" s="59"/>
      <c r="F468" s="39"/>
      <c r="G468" s="39">
        <f>SUM(G469,G472,G474)</f>
        <v>28800000</v>
      </c>
      <c r="H468" s="210" t="b">
        <f t="shared" si="15"/>
        <v>1</v>
      </c>
      <c r="I468" s="210"/>
      <c r="J468" s="210"/>
    </row>
    <row r="469" spans="1:10" ht="13.8" x14ac:dyDescent="0.25">
      <c r="A469" s="7" t="s">
        <v>3368</v>
      </c>
      <c r="B469" s="60">
        <v>521211</v>
      </c>
      <c r="C469" s="41" t="s">
        <v>7</v>
      </c>
      <c r="D469" s="60"/>
      <c r="E469" s="60"/>
      <c r="F469" s="42"/>
      <c r="G469" s="42">
        <f>SUM(G470:G471)</f>
        <v>15000000</v>
      </c>
      <c r="H469" s="210" t="b">
        <f t="shared" si="15"/>
        <v>1</v>
      </c>
      <c r="I469" s="210"/>
      <c r="J469" s="210"/>
    </row>
    <row r="470" spans="1:10" ht="13.8" x14ac:dyDescent="0.25">
      <c r="A470" s="7" t="s">
        <v>3369</v>
      </c>
      <c r="B470" s="152"/>
      <c r="C470" s="151" t="s">
        <v>4269</v>
      </c>
      <c r="D470" s="152">
        <v>6</v>
      </c>
      <c r="E470" s="152" t="s">
        <v>9</v>
      </c>
      <c r="F470" s="153">
        <v>1500000</v>
      </c>
      <c r="G470" s="153">
        <f>ROUNDDOWN(D470*F470,-3)</f>
        <v>9000000</v>
      </c>
      <c r="H470" s="210" t="b">
        <f t="shared" si="15"/>
        <v>1</v>
      </c>
      <c r="I470" s="210"/>
      <c r="J470" s="210"/>
    </row>
    <row r="471" spans="1:10" ht="13.8" x14ac:dyDescent="0.25">
      <c r="A471" s="7" t="s">
        <v>3370</v>
      </c>
      <c r="B471" s="152"/>
      <c r="C471" s="151" t="s">
        <v>3632</v>
      </c>
      <c r="D471" s="152">
        <v>6</v>
      </c>
      <c r="E471" s="152" t="s">
        <v>106</v>
      </c>
      <c r="F471" s="153">
        <v>1000000</v>
      </c>
      <c r="G471" s="153">
        <f>ROUNDDOWN(D471*F471,-3)</f>
        <v>6000000</v>
      </c>
      <c r="H471" s="210" t="b">
        <f t="shared" si="15"/>
        <v>1</v>
      </c>
      <c r="I471" s="210"/>
      <c r="J471" s="210"/>
    </row>
    <row r="472" spans="1:10" ht="13.8" x14ac:dyDescent="0.25">
      <c r="A472" s="7" t="s">
        <v>3371</v>
      </c>
      <c r="B472" s="60">
        <v>524111</v>
      </c>
      <c r="C472" s="41" t="s">
        <v>19</v>
      </c>
      <c r="D472" s="60"/>
      <c r="E472" s="60"/>
      <c r="F472" s="42"/>
      <c r="G472" s="42">
        <f>G473</f>
        <v>12000000</v>
      </c>
      <c r="H472" s="210" t="b">
        <f t="shared" si="15"/>
        <v>1</v>
      </c>
      <c r="I472" s="210"/>
      <c r="J472" s="210"/>
    </row>
    <row r="473" spans="1:10" ht="13.8" x14ac:dyDescent="0.25">
      <c r="A473" s="7" t="s">
        <v>3372</v>
      </c>
      <c r="B473" s="152"/>
      <c r="C473" s="151" t="s">
        <v>4588</v>
      </c>
      <c r="D473" s="152">
        <v>4</v>
      </c>
      <c r="E473" s="152" t="s">
        <v>10</v>
      </c>
      <c r="F473" s="153">
        <v>3000000</v>
      </c>
      <c r="G473" s="153">
        <f>ROUNDDOWN(D473*F473,-3)</f>
        <v>12000000</v>
      </c>
      <c r="H473" s="210" t="b">
        <f t="shared" si="15"/>
        <v>1</v>
      </c>
      <c r="I473" s="210"/>
      <c r="J473" s="210"/>
    </row>
    <row r="474" spans="1:10" ht="13.8" x14ac:dyDescent="0.25">
      <c r="A474" s="7" t="s">
        <v>3374</v>
      </c>
      <c r="B474" s="60">
        <v>524113</v>
      </c>
      <c r="C474" s="41" t="s">
        <v>13</v>
      </c>
      <c r="D474" s="60"/>
      <c r="E474" s="60"/>
      <c r="F474" s="42"/>
      <c r="G474" s="42">
        <f>G475</f>
        <v>1800000</v>
      </c>
      <c r="H474" s="210" t="b">
        <f t="shared" si="15"/>
        <v>1</v>
      </c>
      <c r="I474" s="210"/>
      <c r="J474" s="210"/>
    </row>
    <row r="475" spans="1:10" ht="13.8" x14ac:dyDescent="0.25">
      <c r="A475" s="7" t="s">
        <v>3375</v>
      </c>
      <c r="B475" s="152"/>
      <c r="C475" s="151" t="s">
        <v>4589</v>
      </c>
      <c r="D475" s="152">
        <v>12</v>
      </c>
      <c r="E475" s="152" t="s">
        <v>10</v>
      </c>
      <c r="F475" s="153">
        <v>150000</v>
      </c>
      <c r="G475" s="153">
        <f>ROUNDDOWN(D475*F475,-3)</f>
        <v>1800000</v>
      </c>
      <c r="H475" s="210" t="b">
        <f t="shared" si="15"/>
        <v>1</v>
      </c>
      <c r="I475" s="210"/>
      <c r="J475" s="210"/>
    </row>
    <row r="476" spans="1:10" ht="13.8" x14ac:dyDescent="0.25">
      <c r="A476" s="7" t="s">
        <v>3377</v>
      </c>
      <c r="B476" s="59" t="s">
        <v>578</v>
      </c>
      <c r="C476" s="38" t="s">
        <v>147</v>
      </c>
      <c r="D476" s="59"/>
      <c r="E476" s="59"/>
      <c r="F476" s="39"/>
      <c r="G476" s="39">
        <f>SUM(G477,G479,G482,G484)</f>
        <v>76320000</v>
      </c>
      <c r="H476" s="210" t="b">
        <f t="shared" si="15"/>
        <v>1</v>
      </c>
      <c r="I476" s="210"/>
      <c r="J476" s="210"/>
    </row>
    <row r="477" spans="1:10" ht="13.8" x14ac:dyDescent="0.25">
      <c r="A477" s="7" t="s">
        <v>3378</v>
      </c>
      <c r="B477" s="60">
        <v>521211</v>
      </c>
      <c r="C477" s="41" t="s">
        <v>7</v>
      </c>
      <c r="D477" s="60"/>
      <c r="E477" s="60"/>
      <c r="F477" s="42"/>
      <c r="G477" s="42">
        <f>G478</f>
        <v>4800000</v>
      </c>
      <c r="H477" s="210" t="b">
        <f t="shared" si="15"/>
        <v>1</v>
      </c>
      <c r="I477" s="210"/>
      <c r="J477" s="210"/>
    </row>
    <row r="478" spans="1:10" ht="13.8" x14ac:dyDescent="0.25">
      <c r="A478" s="7" t="s">
        <v>3379</v>
      </c>
      <c r="B478" s="152"/>
      <c r="C478" s="151" t="s">
        <v>4590</v>
      </c>
      <c r="D478" s="152">
        <v>24</v>
      </c>
      <c r="E478" s="152" t="s">
        <v>176</v>
      </c>
      <c r="F478" s="153">
        <v>200000</v>
      </c>
      <c r="G478" s="153">
        <f>ROUNDDOWN(D478*F478,-3)</f>
        <v>4800000</v>
      </c>
      <c r="H478" s="210" t="b">
        <f t="shared" si="15"/>
        <v>1</v>
      </c>
      <c r="I478" s="210"/>
      <c r="J478" s="210"/>
    </row>
    <row r="479" spans="1:10" ht="13.8" x14ac:dyDescent="0.25">
      <c r="A479" s="7" t="s">
        <v>3381</v>
      </c>
      <c r="B479" s="60">
        <v>521811</v>
      </c>
      <c r="C479" s="41" t="s">
        <v>64</v>
      </c>
      <c r="D479" s="60"/>
      <c r="E479" s="60"/>
      <c r="F479" s="42"/>
      <c r="G479" s="42">
        <f>SUM(G480:G481)</f>
        <v>25000000</v>
      </c>
      <c r="H479" s="210" t="b">
        <f t="shared" si="15"/>
        <v>1</v>
      </c>
      <c r="I479" s="210"/>
      <c r="J479" s="210"/>
    </row>
    <row r="480" spans="1:10" ht="13.8" x14ac:dyDescent="0.25">
      <c r="A480" s="7" t="s">
        <v>3382</v>
      </c>
      <c r="B480" s="152"/>
      <c r="C480" s="151" t="s">
        <v>4269</v>
      </c>
      <c r="D480" s="152">
        <v>10</v>
      </c>
      <c r="E480" s="152" t="s">
        <v>9</v>
      </c>
      <c r="F480" s="153">
        <v>1500000</v>
      </c>
      <c r="G480" s="153">
        <f>ROUNDDOWN(D480*F480,-3)</f>
        <v>15000000</v>
      </c>
      <c r="H480" s="210" t="b">
        <f t="shared" si="15"/>
        <v>1</v>
      </c>
      <c r="I480" s="210"/>
      <c r="J480" s="210"/>
    </row>
    <row r="481" spans="1:10" ht="13.8" x14ac:dyDescent="0.25">
      <c r="A481" s="7" t="s">
        <v>3383</v>
      </c>
      <c r="B481" s="152"/>
      <c r="C481" s="151" t="s">
        <v>3632</v>
      </c>
      <c r="D481" s="152">
        <v>10</v>
      </c>
      <c r="E481" s="152" t="s">
        <v>2749</v>
      </c>
      <c r="F481" s="153">
        <v>1000000</v>
      </c>
      <c r="G481" s="153">
        <f>ROUNDDOWN(D481*F481,-3)</f>
        <v>10000000</v>
      </c>
      <c r="H481" s="210" t="b">
        <f t="shared" si="15"/>
        <v>1</v>
      </c>
      <c r="I481" s="210"/>
      <c r="J481" s="210"/>
    </row>
    <row r="482" spans="1:10" ht="13.8" x14ac:dyDescent="0.25">
      <c r="A482" s="7" t="s">
        <v>3384</v>
      </c>
      <c r="B482" s="60">
        <v>524111</v>
      </c>
      <c r="C482" s="41" t="s">
        <v>19</v>
      </c>
      <c r="D482" s="60"/>
      <c r="E482" s="60"/>
      <c r="F482" s="42"/>
      <c r="G482" s="42">
        <f>G483</f>
        <v>42770000</v>
      </c>
      <c r="H482" s="210" t="b">
        <f t="shared" si="15"/>
        <v>1</v>
      </c>
      <c r="I482" s="210"/>
      <c r="J482" s="210"/>
    </row>
    <row r="483" spans="1:10" ht="13.8" x14ac:dyDescent="0.25">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3.8" x14ac:dyDescent="0.25">
      <c r="A484" s="7" t="s">
        <v>3387</v>
      </c>
      <c r="B484" s="60">
        <v>524113</v>
      </c>
      <c r="C484" s="41" t="s">
        <v>13</v>
      </c>
      <c r="D484" s="60"/>
      <c r="E484" s="60"/>
      <c r="F484" s="42"/>
      <c r="G484" s="42">
        <f>G485</f>
        <v>3750000</v>
      </c>
      <c r="H484" s="210" t="b">
        <f t="shared" si="16"/>
        <v>1</v>
      </c>
      <c r="I484" s="210"/>
      <c r="J484" s="210"/>
    </row>
    <row r="485" spans="1:10" ht="13.8" x14ac:dyDescent="0.25">
      <c r="A485" s="7" t="s">
        <v>3388</v>
      </c>
      <c r="B485" s="152"/>
      <c r="C485" s="151" t="s">
        <v>3618</v>
      </c>
      <c r="D485" s="152">
        <v>25</v>
      </c>
      <c r="E485" s="152" t="s">
        <v>10</v>
      </c>
      <c r="F485" s="153">
        <v>150000</v>
      </c>
      <c r="G485" s="153">
        <f>ROUNDDOWN(D485*F485,-3)</f>
        <v>3750000</v>
      </c>
      <c r="H485" s="210" t="b">
        <f t="shared" si="16"/>
        <v>1</v>
      </c>
      <c r="I485" s="210"/>
      <c r="J485" s="210"/>
    </row>
    <row r="486" spans="1:10" ht="13.8" x14ac:dyDescent="0.25">
      <c r="A486" s="7" t="s">
        <v>495</v>
      </c>
      <c r="B486" s="55">
        <v>4345</v>
      </c>
      <c r="C486" s="26" t="s">
        <v>188</v>
      </c>
      <c r="D486" s="55"/>
      <c r="E486" s="55"/>
      <c r="F486" s="27"/>
      <c r="G486" s="27">
        <f>G487</f>
        <v>8582500000</v>
      </c>
      <c r="H486" s="210" t="b">
        <f t="shared" si="16"/>
        <v>1</v>
      </c>
      <c r="I486" s="210"/>
      <c r="J486" s="210"/>
    </row>
    <row r="487" spans="1:10" ht="13.8" x14ac:dyDescent="0.25">
      <c r="A487" s="7" t="s">
        <v>3473</v>
      </c>
      <c r="B487" s="135" t="s">
        <v>3474</v>
      </c>
      <c r="C487" s="133" t="s">
        <v>2312</v>
      </c>
      <c r="D487" s="135">
        <v>4725</v>
      </c>
      <c r="E487" s="135" t="s">
        <v>155</v>
      </c>
      <c r="F487" s="136"/>
      <c r="G487" s="136">
        <f>G488</f>
        <v>8582500000</v>
      </c>
      <c r="H487" s="210" t="b">
        <f t="shared" si="16"/>
        <v>1</v>
      </c>
      <c r="I487" s="210"/>
      <c r="J487" s="210"/>
    </row>
    <row r="488" spans="1:10" ht="13.8" x14ac:dyDescent="0.25">
      <c r="A488" s="7" t="s">
        <v>3475</v>
      </c>
      <c r="B488" s="138" t="s">
        <v>4611</v>
      </c>
      <c r="C488" s="137" t="s">
        <v>3477</v>
      </c>
      <c r="D488" s="138">
        <v>4725</v>
      </c>
      <c r="E488" s="138" t="s">
        <v>155</v>
      </c>
      <c r="F488" s="139"/>
      <c r="G488" s="139">
        <f>SUM(G489,G537)</f>
        <v>8582500000</v>
      </c>
      <c r="H488" s="210" t="b">
        <f t="shared" si="16"/>
        <v>1</v>
      </c>
      <c r="I488" s="210"/>
      <c r="J488" s="210"/>
    </row>
    <row r="489" spans="1:10" ht="13.8" x14ac:dyDescent="0.25">
      <c r="A489" s="7" t="s">
        <v>3478</v>
      </c>
      <c r="B489" s="58">
        <v>301</v>
      </c>
      <c r="C489" s="35" t="s">
        <v>189</v>
      </c>
      <c r="D489" s="58"/>
      <c r="E489" s="58"/>
      <c r="F489" s="36"/>
      <c r="G489" s="36">
        <f>SUM(G490,G509,G525,G534)</f>
        <v>8473300000</v>
      </c>
      <c r="H489" s="210" t="b">
        <f t="shared" si="16"/>
        <v>1</v>
      </c>
      <c r="I489" s="210"/>
      <c r="J489" s="210"/>
    </row>
    <row r="490" spans="1:10" ht="13.8" x14ac:dyDescent="0.25">
      <c r="A490" s="7" t="s">
        <v>3479</v>
      </c>
      <c r="B490" s="59" t="s">
        <v>8</v>
      </c>
      <c r="C490" s="38" t="s">
        <v>190</v>
      </c>
      <c r="D490" s="59"/>
      <c r="E490" s="59"/>
      <c r="F490" s="39"/>
      <c r="G490" s="39">
        <f>SUM(G491,G496,G499,G502,G504,G506)</f>
        <v>1713564000</v>
      </c>
      <c r="H490" s="210" t="b">
        <f t="shared" si="16"/>
        <v>1</v>
      </c>
      <c r="I490" s="210"/>
      <c r="J490" s="210"/>
    </row>
    <row r="491" spans="1:10" ht="13.8" x14ac:dyDescent="0.25">
      <c r="A491" s="7" t="s">
        <v>3480</v>
      </c>
      <c r="B491" s="60">
        <v>521211</v>
      </c>
      <c r="C491" s="41" t="s">
        <v>7</v>
      </c>
      <c r="D491" s="60"/>
      <c r="E491" s="60"/>
      <c r="F491" s="42"/>
      <c r="G491" s="42">
        <f>SUM(G492:G495)</f>
        <v>99100000</v>
      </c>
      <c r="H491" s="210" t="b">
        <f t="shared" si="16"/>
        <v>1</v>
      </c>
      <c r="I491" s="210"/>
      <c r="J491" s="210"/>
    </row>
    <row r="492" spans="1:10" ht="13.8" x14ac:dyDescent="0.25">
      <c r="A492" s="7" t="s">
        <v>3481</v>
      </c>
      <c r="B492" s="152"/>
      <c r="C492" s="151" t="s">
        <v>4612</v>
      </c>
      <c r="D492" s="152">
        <v>400</v>
      </c>
      <c r="E492" s="152" t="s">
        <v>10</v>
      </c>
      <c r="F492" s="153">
        <v>70000</v>
      </c>
      <c r="G492" s="153">
        <f>ROUNDDOWN(D492*F492,-3)</f>
        <v>28000000</v>
      </c>
      <c r="H492" s="210" t="b">
        <f t="shared" si="16"/>
        <v>1</v>
      </c>
      <c r="I492" s="210"/>
      <c r="J492" s="210"/>
    </row>
    <row r="493" spans="1:10" ht="13.8" x14ac:dyDescent="0.25">
      <c r="A493" s="7" t="s">
        <v>3482</v>
      </c>
      <c r="B493" s="152"/>
      <c r="C493" s="151" t="s">
        <v>4613</v>
      </c>
      <c r="D493" s="152">
        <v>10</v>
      </c>
      <c r="E493" s="152" t="s">
        <v>9</v>
      </c>
      <c r="F493" s="153">
        <v>1500000</v>
      </c>
      <c r="G493" s="153">
        <f>ROUNDDOWN(D493*F493,-3)</f>
        <v>15000000</v>
      </c>
      <c r="H493" s="210" t="b">
        <f t="shared" si="16"/>
        <v>1</v>
      </c>
      <c r="I493" s="210"/>
      <c r="J493" s="210"/>
    </row>
    <row r="494" spans="1:10" ht="13.8" x14ac:dyDescent="0.25">
      <c r="A494" s="7" t="s">
        <v>3484</v>
      </c>
      <c r="B494" s="152"/>
      <c r="C494" s="151" t="s">
        <v>4614</v>
      </c>
      <c r="D494" s="152">
        <v>120</v>
      </c>
      <c r="E494" s="152" t="s">
        <v>25</v>
      </c>
      <c r="F494" s="153">
        <v>280000</v>
      </c>
      <c r="G494" s="153">
        <f>ROUNDDOWN(D494*F494,-3)</f>
        <v>33600000</v>
      </c>
      <c r="H494" s="210" t="b">
        <f t="shared" si="16"/>
        <v>1</v>
      </c>
      <c r="I494" s="210"/>
      <c r="J494" s="210"/>
    </row>
    <row r="495" spans="1:10" ht="13.8" x14ac:dyDescent="0.25">
      <c r="A495" s="7" t="s">
        <v>3486</v>
      </c>
      <c r="B495" s="152"/>
      <c r="C495" s="151" t="s">
        <v>4615</v>
      </c>
      <c r="D495" s="152">
        <v>150</v>
      </c>
      <c r="E495" s="152" t="s">
        <v>25</v>
      </c>
      <c r="F495" s="153">
        <v>150000</v>
      </c>
      <c r="G495" s="153">
        <f>ROUNDDOWN(D495*F495,-3)</f>
        <v>22500000</v>
      </c>
      <c r="H495" s="210" t="b">
        <f t="shared" si="16"/>
        <v>1</v>
      </c>
      <c r="I495" s="210"/>
      <c r="J495" s="210"/>
    </row>
    <row r="496" spans="1:10" ht="13.8" x14ac:dyDescent="0.25">
      <c r="A496" s="7" t="s">
        <v>3488</v>
      </c>
      <c r="B496" s="60">
        <v>521219</v>
      </c>
      <c r="C496" s="41" t="s">
        <v>53</v>
      </c>
      <c r="D496" s="60"/>
      <c r="E496" s="60"/>
      <c r="F496" s="42"/>
      <c r="G496" s="42">
        <f>SUM(G497:G498)</f>
        <v>1333864000</v>
      </c>
      <c r="H496" s="210" t="b">
        <f t="shared" si="16"/>
        <v>1</v>
      </c>
      <c r="I496" s="210"/>
      <c r="J496" s="210"/>
    </row>
    <row r="497" spans="1:10" ht="13.8" x14ac:dyDescent="0.25">
      <c r="A497" s="7" t="s">
        <v>3489</v>
      </c>
      <c r="B497" s="152"/>
      <c r="C497" s="151" t="s">
        <v>4616</v>
      </c>
      <c r="D497" s="152">
        <v>33</v>
      </c>
      <c r="E497" s="152" t="s">
        <v>155</v>
      </c>
      <c r="F497" s="153">
        <v>40412550</v>
      </c>
      <c r="G497" s="153">
        <f>ROUNDDOWN(D497*F497,-3)</f>
        <v>1333614000</v>
      </c>
      <c r="H497" s="210" t="b">
        <f t="shared" si="16"/>
        <v>1</v>
      </c>
      <c r="I497" s="210"/>
      <c r="J497" s="210"/>
    </row>
    <row r="498" spans="1:10" ht="13.8" x14ac:dyDescent="0.25">
      <c r="A498" s="7" t="s">
        <v>3491</v>
      </c>
      <c r="B498" s="152"/>
      <c r="C498" s="151" t="s">
        <v>4617</v>
      </c>
      <c r="D498" s="152">
        <v>1</v>
      </c>
      <c r="E498" s="152" t="s">
        <v>9</v>
      </c>
      <c r="F498" s="153">
        <v>250000</v>
      </c>
      <c r="G498" s="153">
        <f>ROUNDDOWN(D498*F498,-3)</f>
        <v>250000</v>
      </c>
      <c r="H498" s="210" t="b">
        <f t="shared" si="16"/>
        <v>1</v>
      </c>
      <c r="I498" s="210"/>
      <c r="J498" s="210"/>
    </row>
    <row r="499" spans="1:10" ht="13.8" x14ac:dyDescent="0.25">
      <c r="A499" s="7" t="s">
        <v>3492</v>
      </c>
      <c r="B499" s="60">
        <v>521811</v>
      </c>
      <c r="C499" s="41" t="s">
        <v>64</v>
      </c>
      <c r="D499" s="60"/>
      <c r="E499" s="60"/>
      <c r="F499" s="42"/>
      <c r="G499" s="42">
        <f>SUM(G500:G501)</f>
        <v>25000000</v>
      </c>
      <c r="H499" s="210" t="b">
        <f t="shared" si="16"/>
        <v>1</v>
      </c>
      <c r="I499" s="210"/>
      <c r="J499" s="210"/>
    </row>
    <row r="500" spans="1:10" ht="13.8" x14ac:dyDescent="0.25">
      <c r="A500" s="7" t="s">
        <v>3493</v>
      </c>
      <c r="B500" s="152"/>
      <c r="C500" s="151" t="s">
        <v>4269</v>
      </c>
      <c r="D500" s="152">
        <v>10</v>
      </c>
      <c r="E500" s="152" t="s">
        <v>9</v>
      </c>
      <c r="F500" s="153">
        <v>1000000</v>
      </c>
      <c r="G500" s="153">
        <f>ROUNDDOWN(D500*F500,-3)</f>
        <v>10000000</v>
      </c>
      <c r="H500" s="210" t="b">
        <f t="shared" si="16"/>
        <v>1</v>
      </c>
      <c r="I500" s="210"/>
      <c r="J500" s="210"/>
    </row>
    <row r="501" spans="1:10" ht="13.8" x14ac:dyDescent="0.25">
      <c r="A501" s="7" t="s">
        <v>3494</v>
      </c>
      <c r="B501" s="152"/>
      <c r="C501" s="151" t="s">
        <v>3632</v>
      </c>
      <c r="D501" s="152">
        <v>10</v>
      </c>
      <c r="E501" s="152" t="s">
        <v>9</v>
      </c>
      <c r="F501" s="153">
        <v>1500000</v>
      </c>
      <c r="G501" s="153">
        <f>ROUNDDOWN(D501*F501,-3)</f>
        <v>15000000</v>
      </c>
      <c r="H501" s="210" t="b">
        <f t="shared" si="16"/>
        <v>1</v>
      </c>
      <c r="I501" s="210"/>
      <c r="J501" s="210"/>
    </row>
    <row r="502" spans="1:10" ht="13.8" x14ac:dyDescent="0.25">
      <c r="A502" s="7" t="s">
        <v>3495</v>
      </c>
      <c r="B502" s="60">
        <v>522151</v>
      </c>
      <c r="C502" s="41" t="s">
        <v>11</v>
      </c>
      <c r="D502" s="60"/>
      <c r="E502" s="60"/>
      <c r="F502" s="42"/>
      <c r="G502" s="42">
        <f>G503</f>
        <v>15000000</v>
      </c>
      <c r="H502" s="210" t="b">
        <f t="shared" si="16"/>
        <v>1</v>
      </c>
      <c r="I502" s="210"/>
      <c r="J502" s="210"/>
    </row>
    <row r="503" spans="1:10" ht="13.8" x14ac:dyDescent="0.25">
      <c r="A503" s="7" t="s">
        <v>3496</v>
      </c>
      <c r="B503" s="152"/>
      <c r="C503" s="151" t="s">
        <v>3715</v>
      </c>
      <c r="D503" s="152">
        <v>15</v>
      </c>
      <c r="E503" s="152" t="s">
        <v>12</v>
      </c>
      <c r="F503" s="153">
        <v>1000000</v>
      </c>
      <c r="G503" s="153">
        <f>ROUNDDOWN(D503*F503,-3)</f>
        <v>15000000</v>
      </c>
      <c r="H503" s="210" t="b">
        <f t="shared" si="16"/>
        <v>1</v>
      </c>
      <c r="I503" s="210"/>
      <c r="J503" s="210"/>
    </row>
    <row r="504" spans="1:10" ht="13.8" x14ac:dyDescent="0.25">
      <c r="A504" s="7" t="s">
        <v>3497</v>
      </c>
      <c r="B504" s="60">
        <v>522191</v>
      </c>
      <c r="C504" s="41" t="s">
        <v>22</v>
      </c>
      <c r="D504" s="60"/>
      <c r="E504" s="60"/>
      <c r="F504" s="42"/>
      <c r="G504" s="42">
        <f>G505</f>
        <v>102600000</v>
      </c>
      <c r="H504" s="210" t="b">
        <f t="shared" si="16"/>
        <v>1</v>
      </c>
      <c r="I504" s="210"/>
      <c r="J504" s="210"/>
    </row>
    <row r="505" spans="1:10" ht="13.8" x14ac:dyDescent="0.25">
      <c r="A505" s="7" t="s">
        <v>3498</v>
      </c>
      <c r="B505" s="152"/>
      <c r="C505" s="151" t="s">
        <v>4618</v>
      </c>
      <c r="D505" s="152">
        <v>120</v>
      </c>
      <c r="E505" s="152" t="s">
        <v>155</v>
      </c>
      <c r="F505" s="153">
        <v>855000</v>
      </c>
      <c r="G505" s="153">
        <f>ROUNDDOWN(D505*F505,-3)</f>
        <v>102600000</v>
      </c>
      <c r="H505" s="210" t="b">
        <f t="shared" si="16"/>
        <v>1</v>
      </c>
      <c r="I505" s="210"/>
      <c r="J505" s="210"/>
    </row>
    <row r="506" spans="1:10" ht="13.8" x14ac:dyDescent="0.25">
      <c r="A506" s="7" t="s">
        <v>3500</v>
      </c>
      <c r="B506" s="60">
        <v>524111</v>
      </c>
      <c r="C506" s="41" t="s">
        <v>19</v>
      </c>
      <c r="D506" s="60"/>
      <c r="E506" s="60"/>
      <c r="F506" s="42"/>
      <c r="G506" s="42">
        <f>SUM(G507:G508)</f>
        <v>138000000</v>
      </c>
      <c r="H506" s="210" t="b">
        <f t="shared" si="16"/>
        <v>1</v>
      </c>
      <c r="I506" s="210"/>
      <c r="J506" s="210"/>
    </row>
    <row r="507" spans="1:10" ht="13.8" x14ac:dyDescent="0.25">
      <c r="A507" s="7" t="s">
        <v>3501</v>
      </c>
      <c r="B507" s="152"/>
      <c r="C507" s="151" t="s">
        <v>4619</v>
      </c>
      <c r="D507" s="152">
        <v>50</v>
      </c>
      <c r="E507" s="152" t="s">
        <v>10</v>
      </c>
      <c r="F507" s="153">
        <v>1200000</v>
      </c>
      <c r="G507" s="153">
        <f>ROUNDDOWN(D507*F507,-3)</f>
        <v>60000000</v>
      </c>
      <c r="H507" s="210" t="b">
        <f t="shared" si="16"/>
        <v>1</v>
      </c>
      <c r="I507" s="210"/>
      <c r="J507" s="210"/>
    </row>
    <row r="508" spans="1:10" ht="26.4" x14ac:dyDescent="0.25">
      <c r="A508" s="7" t="s">
        <v>3503</v>
      </c>
      <c r="B508" s="152"/>
      <c r="C508" s="151" t="s">
        <v>4620</v>
      </c>
      <c r="D508" s="152">
        <v>12</v>
      </c>
      <c r="E508" s="152" t="s">
        <v>10</v>
      </c>
      <c r="F508" s="153">
        <v>6500000</v>
      </c>
      <c r="G508" s="153">
        <f>ROUNDDOWN(D508*F508,-3)</f>
        <v>78000000</v>
      </c>
      <c r="H508" s="210" t="b">
        <f t="shared" si="16"/>
        <v>1</v>
      </c>
      <c r="I508" s="210"/>
      <c r="J508" s="210"/>
    </row>
    <row r="509" spans="1:10" ht="13.8" x14ac:dyDescent="0.25">
      <c r="A509" s="7" t="s">
        <v>3505</v>
      </c>
      <c r="B509" s="59" t="s">
        <v>511</v>
      </c>
      <c r="C509" s="38" t="s">
        <v>191</v>
      </c>
      <c r="D509" s="59"/>
      <c r="E509" s="59"/>
      <c r="F509" s="39"/>
      <c r="G509" s="39">
        <f>SUM(G510,G513,G517,G520,G522)</f>
        <v>6555695000</v>
      </c>
      <c r="H509" s="210" t="b">
        <f t="shared" si="16"/>
        <v>1</v>
      </c>
      <c r="I509" s="210"/>
      <c r="J509" s="210"/>
    </row>
    <row r="510" spans="1:10" ht="13.8" x14ac:dyDescent="0.25">
      <c r="A510" s="7" t="s">
        <v>3506</v>
      </c>
      <c r="B510" s="60">
        <v>521211</v>
      </c>
      <c r="C510" s="41" t="s">
        <v>7</v>
      </c>
      <c r="D510" s="60"/>
      <c r="E510" s="60"/>
      <c r="F510" s="42"/>
      <c r="G510" s="42">
        <f>SUM(G511:G512)</f>
        <v>25000000</v>
      </c>
      <c r="H510" s="210" t="b">
        <f t="shared" si="16"/>
        <v>1</v>
      </c>
      <c r="I510" s="210"/>
      <c r="J510" s="210"/>
    </row>
    <row r="511" spans="1:10" ht="13.8" x14ac:dyDescent="0.25">
      <c r="A511" s="7" t="s">
        <v>3507</v>
      </c>
      <c r="B511" s="152"/>
      <c r="C511" s="151" t="s">
        <v>4612</v>
      </c>
      <c r="D511" s="152">
        <v>100</v>
      </c>
      <c r="E511" s="152" t="s">
        <v>10</v>
      </c>
      <c r="F511" s="153">
        <v>70000</v>
      </c>
      <c r="G511" s="153">
        <f>ROUNDDOWN(D511*F511,-3)</f>
        <v>7000000</v>
      </c>
      <c r="H511" s="210" t="b">
        <f t="shared" si="16"/>
        <v>1</v>
      </c>
      <c r="I511" s="210"/>
      <c r="J511" s="210"/>
    </row>
    <row r="512" spans="1:10" ht="13.8" x14ac:dyDescent="0.25">
      <c r="A512" s="7" t="s">
        <v>3508</v>
      </c>
      <c r="B512" s="152"/>
      <c r="C512" s="151" t="s">
        <v>4613</v>
      </c>
      <c r="D512" s="152">
        <v>12</v>
      </c>
      <c r="E512" s="152" t="s">
        <v>9</v>
      </c>
      <c r="F512" s="153">
        <v>1500000</v>
      </c>
      <c r="G512" s="153">
        <f>ROUNDDOWN(D512*F512,-3)</f>
        <v>18000000</v>
      </c>
      <c r="H512" s="210" t="b">
        <f t="shared" si="16"/>
        <v>1</v>
      </c>
      <c r="I512" s="210"/>
      <c r="J512" s="210"/>
    </row>
    <row r="513" spans="1:10" ht="13.8" x14ac:dyDescent="0.25">
      <c r="A513" s="7" t="s">
        <v>3509</v>
      </c>
      <c r="B513" s="60">
        <v>521219</v>
      </c>
      <c r="C513" s="41" t="s">
        <v>53</v>
      </c>
      <c r="D513" s="60"/>
      <c r="E513" s="60"/>
      <c r="F513" s="42"/>
      <c r="G513" s="42">
        <f>SUM(G514:G516)</f>
        <v>6308695000</v>
      </c>
      <c r="H513" s="210" t="b">
        <f t="shared" si="16"/>
        <v>1</v>
      </c>
      <c r="I513" s="210"/>
      <c r="J513" s="210"/>
    </row>
    <row r="514" spans="1:10" ht="13.8" x14ac:dyDescent="0.25">
      <c r="A514" s="7" t="s">
        <v>3510</v>
      </c>
      <c r="B514" s="152"/>
      <c r="C514" s="151" t="s">
        <v>4616</v>
      </c>
      <c r="D514" s="152">
        <v>157</v>
      </c>
      <c r="E514" s="152" t="s">
        <v>155</v>
      </c>
      <c r="F514" s="153">
        <v>40130229</v>
      </c>
      <c r="G514" s="153">
        <f>ROUNDDOWN(D514*F514,-3)</f>
        <v>6300445000</v>
      </c>
      <c r="H514" s="210" t="b">
        <f t="shared" si="16"/>
        <v>1</v>
      </c>
      <c r="I514" s="210"/>
      <c r="J514" s="210"/>
    </row>
    <row r="515" spans="1:10" ht="13.8" x14ac:dyDescent="0.25">
      <c r="A515" s="7" t="s">
        <v>3511</v>
      </c>
      <c r="B515" s="152"/>
      <c r="C515" s="151" t="s">
        <v>4617</v>
      </c>
      <c r="D515" s="152">
        <v>3</v>
      </c>
      <c r="E515" s="152" t="s">
        <v>9</v>
      </c>
      <c r="F515" s="153">
        <v>250000</v>
      </c>
      <c r="G515" s="153">
        <f>ROUNDDOWN(D515*F515,-3)</f>
        <v>750000</v>
      </c>
      <c r="H515" s="210" t="b">
        <f t="shared" si="16"/>
        <v>1</v>
      </c>
      <c r="I515" s="210"/>
      <c r="J515" s="210"/>
    </row>
    <row r="516" spans="1:10" ht="13.8" x14ac:dyDescent="0.25">
      <c r="A516" s="7" t="s">
        <v>3512</v>
      </c>
      <c r="B516" s="152"/>
      <c r="C516" s="151" t="s">
        <v>4621</v>
      </c>
      <c r="D516" s="152">
        <v>15</v>
      </c>
      <c r="E516" s="152" t="s">
        <v>106</v>
      </c>
      <c r="F516" s="153">
        <v>500000</v>
      </c>
      <c r="G516" s="153">
        <f>ROUNDDOWN(D516*F516,-3)</f>
        <v>7500000</v>
      </c>
      <c r="H516" s="210" t="b">
        <f t="shared" si="16"/>
        <v>1</v>
      </c>
      <c r="I516" s="210"/>
      <c r="J516" s="210"/>
    </row>
    <row r="517" spans="1:10" ht="13.8" x14ac:dyDescent="0.25">
      <c r="A517" s="7" t="s">
        <v>3514</v>
      </c>
      <c r="B517" s="60">
        <v>521811</v>
      </c>
      <c r="C517" s="41" t="s">
        <v>64</v>
      </c>
      <c r="D517" s="60"/>
      <c r="E517" s="60"/>
      <c r="F517" s="42"/>
      <c r="G517" s="42">
        <f>SUM(G518:G519)</f>
        <v>30000000</v>
      </c>
      <c r="H517" s="210" t="b">
        <f t="shared" si="16"/>
        <v>1</v>
      </c>
      <c r="I517" s="210"/>
      <c r="J517" s="210"/>
    </row>
    <row r="518" spans="1:10" ht="13.8" x14ac:dyDescent="0.25">
      <c r="A518" s="7" t="s">
        <v>3515</v>
      </c>
      <c r="B518" s="152"/>
      <c r="C518" s="151" t="s">
        <v>4269</v>
      </c>
      <c r="D518" s="152">
        <v>12</v>
      </c>
      <c r="E518" s="152" t="s">
        <v>9</v>
      </c>
      <c r="F518" s="153">
        <v>1000000</v>
      </c>
      <c r="G518" s="153">
        <f>ROUNDDOWN(D518*F518,-3)</f>
        <v>12000000</v>
      </c>
      <c r="H518" s="210" t="b">
        <f t="shared" si="16"/>
        <v>1</v>
      </c>
      <c r="I518" s="210"/>
      <c r="J518" s="210"/>
    </row>
    <row r="519" spans="1:10" ht="13.8" x14ac:dyDescent="0.25">
      <c r="A519" s="7" t="s">
        <v>3516</v>
      </c>
      <c r="B519" s="152"/>
      <c r="C519" s="151" t="s">
        <v>3632</v>
      </c>
      <c r="D519" s="152">
        <v>12</v>
      </c>
      <c r="E519" s="152" t="s">
        <v>9</v>
      </c>
      <c r="F519" s="153">
        <v>1500000</v>
      </c>
      <c r="G519" s="153">
        <f>ROUNDDOWN(D519*F519,-3)</f>
        <v>18000000</v>
      </c>
      <c r="H519" s="210" t="b">
        <f t="shared" si="16"/>
        <v>1</v>
      </c>
      <c r="I519" s="210"/>
      <c r="J519" s="210"/>
    </row>
    <row r="520" spans="1:10" ht="13.8" x14ac:dyDescent="0.25">
      <c r="A520" s="7" t="s">
        <v>3517</v>
      </c>
      <c r="B520" s="60">
        <v>522151</v>
      </c>
      <c r="C520" s="41" t="s">
        <v>11</v>
      </c>
      <c r="D520" s="60"/>
      <c r="E520" s="60"/>
      <c r="F520" s="42"/>
      <c r="G520" s="42">
        <f>G521</f>
        <v>6000000</v>
      </c>
      <c r="H520" s="210" t="b">
        <f t="shared" si="16"/>
        <v>1</v>
      </c>
      <c r="I520" s="210"/>
      <c r="J520" s="210"/>
    </row>
    <row r="521" spans="1:10" ht="13.8" x14ac:dyDescent="0.25">
      <c r="A521" s="7" t="s">
        <v>3518</v>
      </c>
      <c r="B521" s="152"/>
      <c r="C521" s="151" t="s">
        <v>3715</v>
      </c>
      <c r="D521" s="152">
        <v>6</v>
      </c>
      <c r="E521" s="152" t="s">
        <v>12</v>
      </c>
      <c r="F521" s="153">
        <v>1000000</v>
      </c>
      <c r="G521" s="153">
        <f>ROUNDDOWN(D521*F521,-3)</f>
        <v>6000000</v>
      </c>
      <c r="H521" s="210" t="b">
        <f t="shared" si="16"/>
        <v>1</v>
      </c>
      <c r="I521" s="210"/>
      <c r="J521" s="210"/>
    </row>
    <row r="522" spans="1:10" ht="13.8" x14ac:dyDescent="0.25">
      <c r="A522" s="7" t="s">
        <v>3519</v>
      </c>
      <c r="B522" s="60">
        <v>524111</v>
      </c>
      <c r="C522" s="41" t="s">
        <v>19</v>
      </c>
      <c r="D522" s="60"/>
      <c r="E522" s="60"/>
      <c r="F522" s="42"/>
      <c r="G522" s="42">
        <f>SUM(G523:G524)</f>
        <v>186000000</v>
      </c>
      <c r="H522" s="210" t="b">
        <f t="shared" si="16"/>
        <v>1</v>
      </c>
      <c r="I522" s="210"/>
      <c r="J522" s="210"/>
    </row>
    <row r="523" spans="1:10" ht="13.8" x14ac:dyDescent="0.25">
      <c r="A523" s="7" t="s">
        <v>3520</v>
      </c>
      <c r="B523" s="152"/>
      <c r="C523" s="151" t="s">
        <v>4619</v>
      </c>
      <c r="D523" s="152">
        <v>20</v>
      </c>
      <c r="E523" s="152" t="s">
        <v>10</v>
      </c>
      <c r="F523" s="153">
        <v>1500000</v>
      </c>
      <c r="G523" s="153">
        <f>ROUNDDOWN(D523*F523,-3)</f>
        <v>30000000</v>
      </c>
      <c r="H523" s="210" t="b">
        <f t="shared" si="16"/>
        <v>1</v>
      </c>
      <c r="I523" s="210"/>
      <c r="J523" s="210"/>
    </row>
    <row r="524" spans="1:10" ht="26.4" x14ac:dyDescent="0.25">
      <c r="A524" s="7" t="s">
        <v>3521</v>
      </c>
      <c r="B524" s="152"/>
      <c r="C524" s="151" t="s">
        <v>4620</v>
      </c>
      <c r="D524" s="152">
        <v>24</v>
      </c>
      <c r="E524" s="152" t="s">
        <v>10</v>
      </c>
      <c r="F524" s="153">
        <v>6500000</v>
      </c>
      <c r="G524" s="153">
        <f>ROUNDDOWN(D524*F524,-3)</f>
        <v>156000000</v>
      </c>
      <c r="H524" s="210" t="b">
        <f t="shared" si="16"/>
        <v>1</v>
      </c>
      <c r="I524" s="210"/>
      <c r="J524" s="210"/>
    </row>
    <row r="525" spans="1:10" ht="13.8" x14ac:dyDescent="0.25">
      <c r="A525" s="7" t="s">
        <v>3522</v>
      </c>
      <c r="B525" s="59" t="s">
        <v>512</v>
      </c>
      <c r="C525" s="38" t="s">
        <v>192</v>
      </c>
      <c r="D525" s="59"/>
      <c r="E525" s="59"/>
      <c r="F525" s="39"/>
      <c r="G525" s="39">
        <f>SUM(G526,G530,G532)</f>
        <v>174041000</v>
      </c>
      <c r="H525" s="210" t="b">
        <f t="shared" si="16"/>
        <v>1</v>
      </c>
      <c r="I525" s="210"/>
      <c r="J525" s="210"/>
    </row>
    <row r="526" spans="1:10" ht="13.8" x14ac:dyDescent="0.25">
      <c r="A526" s="7" t="s">
        <v>3523</v>
      </c>
      <c r="B526" s="60">
        <v>521211</v>
      </c>
      <c r="C526" s="41" t="s">
        <v>7</v>
      </c>
      <c r="D526" s="60"/>
      <c r="E526" s="60"/>
      <c r="F526" s="42"/>
      <c r="G526" s="42">
        <f>SUM(G527:G529)</f>
        <v>12000000</v>
      </c>
      <c r="H526" s="210" t="b">
        <f t="shared" si="16"/>
        <v>1</v>
      </c>
      <c r="I526" s="210"/>
      <c r="J526" s="210"/>
    </row>
    <row r="527" spans="1:10" ht="13.8" x14ac:dyDescent="0.25">
      <c r="A527" s="7" t="s">
        <v>3524</v>
      </c>
      <c r="B527" s="152"/>
      <c r="C527" s="151" t="s">
        <v>4622</v>
      </c>
      <c r="D527" s="152">
        <v>3</v>
      </c>
      <c r="E527" s="152" t="s">
        <v>9</v>
      </c>
      <c r="F527" s="153">
        <v>1500000</v>
      </c>
      <c r="G527" s="153">
        <f>ROUNDDOWN(D527*F527,-3)</f>
        <v>4500000</v>
      </c>
      <c r="H527" s="210" t="b">
        <f t="shared" si="16"/>
        <v>1</v>
      </c>
      <c r="I527" s="210"/>
      <c r="J527" s="210"/>
    </row>
    <row r="528" spans="1:10" ht="13.8" x14ac:dyDescent="0.25">
      <c r="A528" s="7" t="s">
        <v>3525</v>
      </c>
      <c r="B528" s="152"/>
      <c r="C528" s="151" t="s">
        <v>3626</v>
      </c>
      <c r="D528" s="152">
        <v>3</v>
      </c>
      <c r="E528" s="152" t="s">
        <v>9</v>
      </c>
      <c r="F528" s="153">
        <v>1000000</v>
      </c>
      <c r="G528" s="153">
        <f>ROUNDDOWN(D528*F528,-3)</f>
        <v>3000000</v>
      </c>
      <c r="H528" s="210" t="b">
        <f t="shared" si="16"/>
        <v>1</v>
      </c>
      <c r="I528" s="210"/>
      <c r="J528" s="210"/>
    </row>
    <row r="529" spans="1:10" ht="13.8" x14ac:dyDescent="0.25">
      <c r="A529" s="7" t="s">
        <v>3526</v>
      </c>
      <c r="B529" s="152"/>
      <c r="C529" s="151" t="s">
        <v>3600</v>
      </c>
      <c r="D529" s="152">
        <v>3</v>
      </c>
      <c r="E529" s="152" t="s">
        <v>9</v>
      </c>
      <c r="F529" s="153">
        <v>1500000</v>
      </c>
      <c r="G529" s="153">
        <f>ROUNDDOWN(D529*F529,-3)</f>
        <v>4500000</v>
      </c>
      <c r="H529" s="210" t="b">
        <f t="shared" si="16"/>
        <v>1</v>
      </c>
      <c r="I529" s="210"/>
      <c r="J529" s="210"/>
    </row>
    <row r="530" spans="1:10" ht="13.8" x14ac:dyDescent="0.25">
      <c r="A530" s="7" t="s">
        <v>3527</v>
      </c>
      <c r="B530" s="60">
        <v>521219</v>
      </c>
      <c r="C530" s="41" t="s">
        <v>53</v>
      </c>
      <c r="D530" s="60"/>
      <c r="E530" s="60"/>
      <c r="F530" s="42"/>
      <c r="G530" s="42">
        <f>G531</f>
        <v>20000000</v>
      </c>
      <c r="H530" s="210" t="b">
        <f t="shared" si="16"/>
        <v>1</v>
      </c>
      <c r="I530" s="210"/>
      <c r="J530" s="210"/>
    </row>
    <row r="531" spans="1:10" ht="26.4" x14ac:dyDescent="0.25">
      <c r="A531" s="7" t="s">
        <v>3528</v>
      </c>
      <c r="B531" s="152"/>
      <c r="C531" s="151" t="s">
        <v>4623</v>
      </c>
      <c r="D531" s="152">
        <v>2</v>
      </c>
      <c r="E531" s="152" t="s">
        <v>155</v>
      </c>
      <c r="F531" s="153">
        <v>10000000</v>
      </c>
      <c r="G531" s="153">
        <f>ROUNDDOWN(D531*F531,-3)</f>
        <v>20000000</v>
      </c>
      <c r="H531" s="210" t="b">
        <f t="shared" si="16"/>
        <v>1</v>
      </c>
      <c r="I531" s="210"/>
      <c r="J531" s="210"/>
    </row>
    <row r="532" spans="1:10" ht="13.8" x14ac:dyDescent="0.25">
      <c r="A532" s="7" t="s">
        <v>3530</v>
      </c>
      <c r="B532" s="60">
        <v>524211</v>
      </c>
      <c r="C532" s="41" t="s">
        <v>1151</v>
      </c>
      <c r="D532" s="60"/>
      <c r="E532" s="60"/>
      <c r="F532" s="42"/>
      <c r="G532" s="42">
        <f>G533</f>
        <v>142041000</v>
      </c>
      <c r="H532" s="210" t="b">
        <f t="shared" si="16"/>
        <v>1</v>
      </c>
      <c r="I532" s="210"/>
      <c r="J532" s="210"/>
    </row>
    <row r="533" spans="1:10" ht="26.4" x14ac:dyDescent="0.25">
      <c r="A533" s="7" t="s">
        <v>3531</v>
      </c>
      <c r="B533" s="152"/>
      <c r="C533" s="151" t="s">
        <v>4624</v>
      </c>
      <c r="D533" s="152">
        <v>3</v>
      </c>
      <c r="E533" s="152" t="s">
        <v>10</v>
      </c>
      <c r="F533" s="153">
        <v>47347000</v>
      </c>
      <c r="G533" s="153">
        <f>ROUNDDOWN(D533*F533,-3)</f>
        <v>142041000</v>
      </c>
      <c r="H533" s="210" t="b">
        <f t="shared" si="16"/>
        <v>1</v>
      </c>
      <c r="I533" s="210"/>
      <c r="J533" s="210"/>
    </row>
    <row r="534" spans="1:10" ht="13.8" x14ac:dyDescent="0.25">
      <c r="A534" s="7" t="s">
        <v>3533</v>
      </c>
      <c r="B534" s="59" t="s">
        <v>514</v>
      </c>
      <c r="C534" s="38" t="s">
        <v>3534</v>
      </c>
      <c r="D534" s="59"/>
      <c r="E534" s="59"/>
      <c r="F534" s="39"/>
      <c r="G534" s="39">
        <f>G535</f>
        <v>30000000</v>
      </c>
      <c r="H534" s="210" t="b">
        <f t="shared" si="16"/>
        <v>1</v>
      </c>
      <c r="I534" s="210"/>
      <c r="J534" s="210"/>
    </row>
    <row r="535" spans="1:10" ht="13.8" x14ac:dyDescent="0.25">
      <c r="A535" s="7" t="s">
        <v>3535</v>
      </c>
      <c r="B535" s="60">
        <v>522192</v>
      </c>
      <c r="C535" s="41" t="s">
        <v>24</v>
      </c>
      <c r="D535" s="60"/>
      <c r="E535" s="60"/>
      <c r="F535" s="42"/>
      <c r="G535" s="42">
        <f>G536</f>
        <v>30000000</v>
      </c>
      <c r="H535" s="210" t="b">
        <f t="shared" si="16"/>
        <v>1</v>
      </c>
      <c r="I535" s="210"/>
      <c r="J535" s="210"/>
    </row>
    <row r="536" spans="1:10" ht="13.8" x14ac:dyDescent="0.25">
      <c r="A536" s="7" t="s">
        <v>3536</v>
      </c>
      <c r="B536" s="152"/>
      <c r="C536" s="151" t="s">
        <v>4625</v>
      </c>
      <c r="D536" s="152">
        <v>120</v>
      </c>
      <c r="E536" s="152" t="s">
        <v>776</v>
      </c>
      <c r="F536" s="153">
        <v>250000</v>
      </c>
      <c r="G536" s="153">
        <f>ROUNDDOWN(D536*F536,-3)</f>
        <v>30000000</v>
      </c>
      <c r="H536" s="210" t="b">
        <f t="shared" si="16"/>
        <v>1</v>
      </c>
      <c r="I536" s="210"/>
      <c r="J536" s="210"/>
    </row>
    <row r="537" spans="1:10" ht="13.8" x14ac:dyDescent="0.25">
      <c r="A537" s="7" t="s">
        <v>3538</v>
      </c>
      <c r="B537" s="58">
        <v>302</v>
      </c>
      <c r="C537" s="35" t="s">
        <v>193</v>
      </c>
      <c r="D537" s="58"/>
      <c r="E537" s="58"/>
      <c r="F537" s="36"/>
      <c r="G537" s="36">
        <f>G538</f>
        <v>109200000</v>
      </c>
      <c r="H537" s="210" t="b">
        <f t="shared" si="16"/>
        <v>1</v>
      </c>
      <c r="I537" s="210"/>
      <c r="J537" s="210"/>
    </row>
    <row r="538" spans="1:10" ht="13.8" x14ac:dyDescent="0.25">
      <c r="A538" s="7" t="s">
        <v>3539</v>
      </c>
      <c r="B538" s="59" t="s">
        <v>8</v>
      </c>
      <c r="C538" s="38" t="s">
        <v>193</v>
      </c>
      <c r="D538" s="59"/>
      <c r="E538" s="59"/>
      <c r="F538" s="39"/>
      <c r="G538" s="39">
        <f>SUM(G539,G542,G545)</f>
        <v>109200000</v>
      </c>
      <c r="H538" s="210" t="b">
        <f t="shared" si="16"/>
        <v>1</v>
      </c>
      <c r="I538" s="210"/>
      <c r="J538" s="210"/>
    </row>
    <row r="539" spans="1:10" ht="13.8" x14ac:dyDescent="0.25">
      <c r="A539" s="7" t="s">
        <v>3540</v>
      </c>
      <c r="B539" s="60">
        <v>521211</v>
      </c>
      <c r="C539" s="41" t="s">
        <v>7</v>
      </c>
      <c r="D539" s="60"/>
      <c r="E539" s="60"/>
      <c r="F539" s="42"/>
      <c r="G539" s="42">
        <f>SUM(G540:G541)</f>
        <v>25000000</v>
      </c>
      <c r="H539" s="210" t="b">
        <f t="shared" si="16"/>
        <v>1</v>
      </c>
      <c r="I539" s="210"/>
      <c r="J539" s="210"/>
    </row>
    <row r="540" spans="1:10" ht="13.8" x14ac:dyDescent="0.25">
      <c r="A540" s="7" t="s">
        <v>3541</v>
      </c>
      <c r="B540" s="152"/>
      <c r="C540" s="151" t="s">
        <v>4612</v>
      </c>
      <c r="D540" s="152">
        <v>100</v>
      </c>
      <c r="E540" s="152" t="s">
        <v>10</v>
      </c>
      <c r="F540" s="153">
        <v>70000</v>
      </c>
      <c r="G540" s="153">
        <f>ROUNDDOWN(D540*F540,-3)</f>
        <v>7000000</v>
      </c>
      <c r="H540" s="210" t="b">
        <f t="shared" si="16"/>
        <v>1</v>
      </c>
      <c r="I540" s="210"/>
      <c r="J540" s="210"/>
    </row>
    <row r="541" spans="1:10" ht="13.8" x14ac:dyDescent="0.25">
      <c r="A541" s="7" t="s">
        <v>3542</v>
      </c>
      <c r="B541" s="152"/>
      <c r="C541" s="151" t="s">
        <v>4613</v>
      </c>
      <c r="D541" s="152">
        <v>12</v>
      </c>
      <c r="E541" s="152" t="s">
        <v>9</v>
      </c>
      <c r="F541" s="153">
        <v>1500000</v>
      </c>
      <c r="G541" s="153">
        <f>ROUNDDOWN(D541*F541,-3)</f>
        <v>18000000</v>
      </c>
      <c r="H541" s="210" t="b">
        <f t="shared" si="16"/>
        <v>1</v>
      </c>
      <c r="I541" s="210"/>
      <c r="J541" s="210"/>
    </row>
    <row r="542" spans="1:10" ht="13.8" x14ac:dyDescent="0.25">
      <c r="A542" s="7" t="s">
        <v>3543</v>
      </c>
      <c r="B542" s="60">
        <v>521811</v>
      </c>
      <c r="C542" s="41" t="s">
        <v>64</v>
      </c>
      <c r="D542" s="60"/>
      <c r="E542" s="60"/>
      <c r="F542" s="42"/>
      <c r="G542" s="42">
        <f>SUM(G543:G544)</f>
        <v>30000000</v>
      </c>
      <c r="H542" s="210" t="b">
        <f t="shared" si="16"/>
        <v>1</v>
      </c>
      <c r="I542" s="210"/>
      <c r="J542" s="210"/>
    </row>
    <row r="543" spans="1:10" ht="13.8" x14ac:dyDescent="0.25">
      <c r="A543" s="7" t="s">
        <v>3544</v>
      </c>
      <c r="B543" s="152"/>
      <c r="C543" s="151" t="s">
        <v>4269</v>
      </c>
      <c r="D543" s="152">
        <v>12</v>
      </c>
      <c r="E543" s="152" t="s">
        <v>9</v>
      </c>
      <c r="F543" s="153">
        <v>1000000</v>
      </c>
      <c r="G543" s="153">
        <f>ROUNDDOWN(D543*F543,-3)</f>
        <v>12000000</v>
      </c>
      <c r="H543" s="210" t="b">
        <f t="shared" si="16"/>
        <v>1</v>
      </c>
      <c r="I543" s="210"/>
      <c r="J543" s="210"/>
    </row>
    <row r="544" spans="1:10" ht="13.8" x14ac:dyDescent="0.25">
      <c r="A544" s="7" t="s">
        <v>3545</v>
      </c>
      <c r="B544" s="152"/>
      <c r="C544" s="151" t="s">
        <v>3632</v>
      </c>
      <c r="D544" s="152">
        <v>12</v>
      </c>
      <c r="E544" s="152" t="s">
        <v>9</v>
      </c>
      <c r="F544" s="153">
        <v>1500000</v>
      </c>
      <c r="G544" s="153">
        <f>ROUNDDOWN(D544*F544,-3)</f>
        <v>18000000</v>
      </c>
      <c r="H544" s="210" t="b">
        <f t="shared" si="16"/>
        <v>1</v>
      </c>
      <c r="I544" s="210"/>
      <c r="J544" s="210"/>
    </row>
    <row r="545" spans="1:10" ht="13.8" x14ac:dyDescent="0.25">
      <c r="A545" s="7" t="s">
        <v>3546</v>
      </c>
      <c r="B545" s="60">
        <v>524111</v>
      </c>
      <c r="C545" s="41" t="s">
        <v>19</v>
      </c>
      <c r="D545" s="60"/>
      <c r="E545" s="60"/>
      <c r="F545" s="42"/>
      <c r="G545" s="42">
        <f>G546</f>
        <v>54200000</v>
      </c>
      <c r="H545" s="210" t="b">
        <f t="shared" si="16"/>
        <v>1</v>
      </c>
      <c r="I545" s="210"/>
      <c r="J545" s="210"/>
    </row>
    <row r="546" spans="1:10" ht="26.4" x14ac:dyDescent="0.25">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61" priority="14">
      <formula>NOT(_xlfn.ISFORMULA(G12))</formula>
    </cfRule>
  </conditionalFormatting>
  <conditionalFormatting sqref="B11:J12 H13:J546">
    <cfRule type="expression" dxfId="60" priority="15">
      <formula>AND(#REF!="Ya",#REF!=ROW())</formula>
    </cfRule>
  </conditionalFormatting>
  <conditionalFormatting sqref="B518:F518 G543:G544 G540:G541 G536 G533 G531 G527:G529 G523:G524 G521 G518:G519 B13:G517">
    <cfRule type="expression" dxfId="59" priority="13">
      <formula>AND($R$4="Ya",$Q$2=ROW())</formula>
    </cfRule>
  </conditionalFormatting>
  <conditionalFormatting sqref="G546">
    <cfRule type="expression" dxfId="58" priority="12">
      <formula>AND($R$4="Ya",$Q$2=ROW())</formula>
    </cfRule>
  </conditionalFormatting>
  <conditionalFormatting sqref="G546 G543:G544 G540:G541 G536 G533 G531 G527:G529 G523:G524 G521 G518:G519">
    <cfRule type="expression" dxfId="57" priority="11">
      <formula>NOT(_xlfn.ISFORMULA(G518))</formula>
    </cfRule>
  </conditionalFormatting>
  <conditionalFormatting sqref="G530">
    <cfRule type="expression" dxfId="56" priority="10">
      <formula>NOT(_xlfn.ISFORMULA(G530))</formula>
    </cfRule>
  </conditionalFormatting>
  <conditionalFormatting sqref="G530">
    <cfRule type="expression" dxfId="55" priority="9">
      <formula>AND($R$4="Ya",$Q$2=ROW())</formula>
    </cfRule>
  </conditionalFormatting>
  <conditionalFormatting sqref="G520">
    <cfRule type="expression" dxfId="54" priority="8">
      <formula>NOT(_xlfn.ISFORMULA(G520))</formula>
    </cfRule>
  </conditionalFormatting>
  <conditionalFormatting sqref="G520">
    <cfRule type="expression" dxfId="53" priority="7">
      <formula>AND($R$4="Ya",$Q$2=ROW())</formula>
    </cfRule>
  </conditionalFormatting>
  <conditionalFormatting sqref="G545">
    <cfRule type="expression" dxfId="52" priority="6">
      <formula>NOT(_xlfn.ISFORMULA(G545))</formula>
    </cfRule>
  </conditionalFormatting>
  <conditionalFormatting sqref="G545">
    <cfRule type="expression" dxfId="51" priority="5">
      <formula>AND($R$4="Ya",$Q$2=ROW())</formula>
    </cfRule>
  </conditionalFormatting>
  <conditionalFormatting sqref="G542">
    <cfRule type="expression" dxfId="50" priority="4">
      <formula>NOT(_xlfn.ISFORMULA(G542))</formula>
    </cfRule>
  </conditionalFormatting>
  <conditionalFormatting sqref="G542">
    <cfRule type="expression" dxfId="49" priority="3">
      <formula>AND($R$4="Ya",$Q$2=ROW())</formula>
    </cfRule>
  </conditionalFormatting>
  <conditionalFormatting sqref="G539">
    <cfRule type="expression" dxfId="48" priority="2">
      <formula>NOT(_xlfn.ISFORMULA(G539))</formula>
    </cfRule>
  </conditionalFormatting>
  <conditionalFormatting sqref="G539">
    <cfRule type="expression" dxfId="47"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78" bestFit="1" customWidth="1"/>
    <col min="2" max="2" width="18" style="173" bestFit="1" customWidth="1"/>
    <col min="3" max="3" width="83.88671875" style="181" bestFit="1" customWidth="1"/>
    <col min="4" max="4" width="7" style="174" bestFit="1" customWidth="1"/>
    <col min="5" max="5" width="9.5546875" style="174" customWidth="1"/>
    <col min="6" max="6" width="14" style="182" bestFit="1" customWidth="1"/>
    <col min="7" max="7" width="15" style="182" bestFit="1" customWidth="1"/>
    <col min="8" max="8" width="7" style="182" bestFit="1" customWidth="1"/>
    <col min="9" max="10" width="16.88671875" style="182" customWidth="1"/>
    <col min="11" max="11" width="5" style="117" bestFit="1" customWidth="1"/>
    <col min="12" max="12" width="4.6640625" style="117" bestFit="1" customWidth="1"/>
    <col min="13" max="13" width="3.44140625" style="117" bestFit="1" customWidth="1"/>
    <col min="14" max="14" width="10.33203125" style="117" bestFit="1" customWidth="1"/>
    <col min="15" max="15" width="7.44140625" style="117" bestFit="1" customWidth="1"/>
    <col min="16" max="16" width="6.33203125" style="117" bestFit="1" customWidth="1"/>
    <col min="17" max="17" width="4.33203125" style="117" bestFit="1" customWidth="1"/>
    <col min="18" max="18" width="4.88671875" style="117" bestFit="1" customWidth="1"/>
    <col min="19" max="19" width="4.5546875" style="117" bestFit="1" customWidth="1"/>
    <col min="20" max="20" width="9.88671875" style="117" bestFit="1" customWidth="1"/>
    <col min="21" max="21" width="12.5546875" style="117" bestFit="1" customWidth="1"/>
    <col min="22" max="22" width="10" style="117" bestFit="1" customWidth="1"/>
    <col min="23" max="23" width="11.6640625" style="117" bestFit="1" customWidth="1"/>
    <col min="24" max="24" width="11.5546875" style="117" bestFit="1" customWidth="1"/>
    <col min="25" max="16384" width="9.109375" style="117"/>
  </cols>
  <sheetData>
    <row r="1" spans="1:24" ht="15.6" x14ac:dyDescent="0.25">
      <c r="B1" s="443" t="s">
        <v>598</v>
      </c>
      <c r="C1" s="443"/>
      <c r="D1" s="443"/>
      <c r="E1" s="443"/>
      <c r="F1" s="443"/>
      <c r="G1" s="451"/>
      <c r="H1" s="214"/>
      <c r="I1" s="233"/>
      <c r="J1" s="233"/>
    </row>
    <row r="2" spans="1:24" ht="15.6" x14ac:dyDescent="0.3">
      <c r="B2" s="452" t="s">
        <v>4628</v>
      </c>
      <c r="C2" s="452"/>
      <c r="D2" s="452"/>
      <c r="E2" s="452"/>
      <c r="F2" s="452"/>
      <c r="G2" s="453"/>
      <c r="H2" s="216"/>
      <c r="I2" s="234"/>
      <c r="J2" s="234"/>
    </row>
    <row r="3" spans="1:24" ht="15.6" x14ac:dyDescent="0.3">
      <c r="B3" s="215"/>
      <c r="C3" s="215"/>
      <c r="D3" s="215"/>
      <c r="E3" s="215"/>
      <c r="F3" s="215"/>
      <c r="G3" s="216"/>
      <c r="H3" s="216"/>
      <c r="I3" s="234"/>
      <c r="J3" s="234"/>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23.342.160.000</v>
      </c>
      <c r="D7" s="53"/>
      <c r="E7" s="53"/>
      <c r="F7" s="50"/>
      <c r="G7" s="143"/>
      <c r="H7" s="143"/>
      <c r="I7" s="143"/>
      <c r="J7" s="143"/>
    </row>
    <row r="8" spans="1:24" ht="15" x14ac:dyDescent="0.25">
      <c r="B8" s="189"/>
      <c r="C8" s="189"/>
      <c r="D8" s="189"/>
      <c r="E8" s="189"/>
      <c r="F8" s="189"/>
      <c r="G8" s="190"/>
      <c r="H8" s="190"/>
      <c r="I8" s="190"/>
      <c r="J8" s="190"/>
    </row>
    <row r="9" spans="1:24" ht="13.8" x14ac:dyDescent="0.25">
      <c r="B9" s="454" t="s">
        <v>606</v>
      </c>
      <c r="C9" s="455" t="s">
        <v>607</v>
      </c>
      <c r="D9" s="456" t="s">
        <v>608</v>
      </c>
      <c r="E9" s="454" t="s">
        <v>609</v>
      </c>
      <c r="F9" s="456" t="s">
        <v>610</v>
      </c>
      <c r="G9" s="450" t="s">
        <v>611</v>
      </c>
      <c r="H9" s="208"/>
      <c r="I9" s="208"/>
      <c r="J9" s="208"/>
      <c r="K9" s="457" t="s">
        <v>4629</v>
      </c>
      <c r="L9" s="457"/>
      <c r="M9" s="457"/>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46"/>
      <c r="C10" s="446"/>
      <c r="D10" s="449"/>
      <c r="E10" s="449"/>
      <c r="F10" s="446"/>
      <c r="G10" s="446"/>
      <c r="H10" s="217"/>
      <c r="I10" s="217"/>
      <c r="J10" s="217"/>
      <c r="K10" s="218" t="s">
        <v>4641</v>
      </c>
      <c r="L10" s="218" t="s">
        <v>4642</v>
      </c>
      <c r="M10" s="218"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23342160000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13.8"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13.8"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13.8"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13.8"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13.8"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13.8"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13.8"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13.8"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SUM(G115,G529)</f>
        <v>22342160000</v>
      </c>
      <c r="H114" s="210" t="b">
        <f t="shared" si="2"/>
        <v>1</v>
      </c>
      <c r="I114" s="210"/>
      <c r="J114" s="210"/>
    </row>
    <row r="115" spans="1:10" ht="26.4" x14ac:dyDescent="0.25">
      <c r="A115" s="21" t="s">
        <v>494</v>
      </c>
      <c r="B115" s="55">
        <v>2378</v>
      </c>
      <c r="C115" s="26" t="s">
        <v>71</v>
      </c>
      <c r="D115" s="68"/>
      <c r="E115" s="55"/>
      <c r="F115" s="27"/>
      <c r="G115" s="27">
        <f>SUM(G116,G122,G380,G386)</f>
        <v>13759660000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13.8"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11564936000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13.8"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13.8"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13.8"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13.8"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13.8"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13.8"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13.8"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13.8"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13.8"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13.8"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13.8"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13.8"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13.8"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13.8"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SUM(G264,G307)</f>
        <v>8674654000</v>
      </c>
      <c r="H263" s="210" t="b">
        <f t="shared" si="4"/>
        <v>1</v>
      </c>
      <c r="I263" s="210"/>
      <c r="J263" s="210"/>
    </row>
    <row r="264" spans="1:10" ht="13.8" x14ac:dyDescent="0.25">
      <c r="A264" s="7" t="s">
        <v>1702</v>
      </c>
      <c r="B264" s="58" t="s">
        <v>501</v>
      </c>
      <c r="C264" s="35" t="s">
        <v>76</v>
      </c>
      <c r="D264" s="58"/>
      <c r="E264" s="58"/>
      <c r="F264" s="36"/>
      <c r="G264" s="36">
        <f>SUM(G265,G304)</f>
        <v>6478996000</v>
      </c>
      <c r="H264" s="210" t="b">
        <f t="shared" si="4"/>
        <v>1</v>
      </c>
      <c r="I264" s="210"/>
      <c r="J264" s="210"/>
    </row>
    <row r="265" spans="1:10" ht="13.8" x14ac:dyDescent="0.25">
      <c r="A265" s="7" t="s">
        <v>1806</v>
      </c>
      <c r="B265" s="59" t="s">
        <v>1807</v>
      </c>
      <c r="C265" s="38" t="s">
        <v>1808</v>
      </c>
      <c r="D265" s="59"/>
      <c r="E265" s="59"/>
      <c r="F265" s="39"/>
      <c r="G265" s="39">
        <f>SUM(G266,G270,G274,G278,G282,G286,G290,G294,G296,G298,G302)</f>
        <v>6155047000</v>
      </c>
      <c r="H265" s="210" t="b">
        <f t="shared" si="4"/>
        <v>1</v>
      </c>
      <c r="I265" s="210"/>
      <c r="J265" s="210"/>
    </row>
    <row r="266" spans="1:10" ht="13.8" x14ac:dyDescent="0.25">
      <c r="A266" s="7" t="s">
        <v>1809</v>
      </c>
      <c r="B266" s="60">
        <v>511111</v>
      </c>
      <c r="C266" s="41" t="s">
        <v>77</v>
      </c>
      <c r="D266" s="60"/>
      <c r="E266" s="60"/>
      <c r="F266" s="42"/>
      <c r="G266" s="42">
        <f>SUM(G267:G269)</f>
        <v>2483477000</v>
      </c>
      <c r="H266" s="210" t="b">
        <f t="shared" si="4"/>
        <v>1</v>
      </c>
      <c r="I266" s="210"/>
      <c r="J266" s="210"/>
    </row>
    <row r="267" spans="1:10" ht="13.8" x14ac:dyDescent="0.25">
      <c r="A267" s="7" t="s">
        <v>1810</v>
      </c>
      <c r="B267" s="152"/>
      <c r="C267" s="151" t="s">
        <v>3987</v>
      </c>
      <c r="D267" s="152">
        <v>1</v>
      </c>
      <c r="E267" s="152" t="s">
        <v>97</v>
      </c>
      <c r="F267" s="153">
        <v>180000000</v>
      </c>
      <c r="G267" s="153">
        <f>ROUNDDOWN(D267*F267,-3)</f>
        <v>180000000</v>
      </c>
      <c r="H267" s="210" t="b">
        <f t="shared" si="4"/>
        <v>1</v>
      </c>
      <c r="I267" s="210"/>
      <c r="J267" s="210"/>
    </row>
    <row r="268" spans="1:10" ht="13.8" x14ac:dyDescent="0.25">
      <c r="A268" s="7" t="s">
        <v>1811</v>
      </c>
      <c r="B268" s="152"/>
      <c r="C268" s="151" t="s">
        <v>3988</v>
      </c>
      <c r="D268" s="152">
        <v>1</v>
      </c>
      <c r="E268" s="152" t="s">
        <v>60</v>
      </c>
      <c r="F268" s="153">
        <v>2123477000</v>
      </c>
      <c r="G268" s="153">
        <f>ROUNDDOWN(D268*F268,-3)</f>
        <v>2123477000</v>
      </c>
      <c r="H268" s="210" t="b">
        <f t="shared" si="4"/>
        <v>1</v>
      </c>
      <c r="I268" s="210"/>
      <c r="J268" s="210"/>
    </row>
    <row r="269" spans="1:10" ht="13.8" x14ac:dyDescent="0.25">
      <c r="A269" s="7" t="s">
        <v>1812</v>
      </c>
      <c r="B269" s="152"/>
      <c r="C269" s="151" t="s">
        <v>3989</v>
      </c>
      <c r="D269" s="152">
        <v>1</v>
      </c>
      <c r="E269" s="152" t="s">
        <v>97</v>
      </c>
      <c r="F269" s="153">
        <v>180000000</v>
      </c>
      <c r="G269" s="153">
        <f>ROUNDDOWN(D269*F269,-3)</f>
        <v>180000000</v>
      </c>
      <c r="H269" s="210" t="b">
        <f t="shared" si="4"/>
        <v>1</v>
      </c>
      <c r="I269" s="210"/>
      <c r="J269" s="210"/>
    </row>
    <row r="270" spans="1:10" ht="13.8" x14ac:dyDescent="0.25">
      <c r="A270" s="7" t="s">
        <v>1813</v>
      </c>
      <c r="B270" s="60">
        <v>511119</v>
      </c>
      <c r="C270" s="41" t="s">
        <v>79</v>
      </c>
      <c r="D270" s="60"/>
      <c r="E270" s="60"/>
      <c r="F270" s="42"/>
      <c r="G270" s="42">
        <f>SUM(G271:G273)</f>
        <v>38000</v>
      </c>
      <c r="H270" s="210" t="b">
        <f t="shared" ref="H270:H333" si="7">_xlfn.ISFORMULA(G270)</f>
        <v>1</v>
      </c>
      <c r="I270" s="210"/>
      <c r="J270" s="210"/>
    </row>
    <row r="271" spans="1:10" ht="13.8" x14ac:dyDescent="0.25">
      <c r="A271" s="7" t="s">
        <v>1814</v>
      </c>
      <c r="B271" s="152"/>
      <c r="C271" s="151" t="s">
        <v>3990</v>
      </c>
      <c r="D271" s="152">
        <v>1</v>
      </c>
      <c r="E271" s="152" t="s">
        <v>97</v>
      </c>
      <c r="F271" s="153">
        <v>3000</v>
      </c>
      <c r="G271" s="153">
        <f>ROUNDDOWN(D271*F271,-3)</f>
        <v>3000</v>
      </c>
      <c r="H271" s="210" t="b">
        <f t="shared" si="7"/>
        <v>1</v>
      </c>
      <c r="I271" s="210"/>
      <c r="J271" s="210"/>
    </row>
    <row r="272" spans="1:10" ht="13.8" x14ac:dyDescent="0.25">
      <c r="A272" s="7" t="s">
        <v>1815</v>
      </c>
      <c r="B272" s="152"/>
      <c r="C272" s="151" t="s">
        <v>3991</v>
      </c>
      <c r="D272" s="152">
        <v>1</v>
      </c>
      <c r="E272" s="152" t="s">
        <v>153</v>
      </c>
      <c r="F272" s="153">
        <v>32000</v>
      </c>
      <c r="G272" s="153">
        <f>ROUNDDOWN(D272*F272,-3)</f>
        <v>32000</v>
      </c>
      <c r="H272" s="210" t="b">
        <f t="shared" si="7"/>
        <v>1</v>
      </c>
      <c r="I272" s="210"/>
      <c r="J272" s="210"/>
    </row>
    <row r="273" spans="1:10" ht="13.8" x14ac:dyDescent="0.25">
      <c r="A273" s="7" t="s">
        <v>1816</v>
      </c>
      <c r="B273" s="152"/>
      <c r="C273" s="151" t="s">
        <v>3992</v>
      </c>
      <c r="D273" s="152">
        <v>1</v>
      </c>
      <c r="E273" s="152" t="s">
        <v>97</v>
      </c>
      <c r="F273" s="153">
        <v>3000</v>
      </c>
      <c r="G273" s="153">
        <f>ROUNDDOWN(D273*F273,-3)</f>
        <v>3000</v>
      </c>
      <c r="H273" s="210" t="b">
        <f t="shared" si="7"/>
        <v>1</v>
      </c>
      <c r="I273" s="210"/>
      <c r="J273" s="210"/>
    </row>
    <row r="274" spans="1:10" ht="13.8" x14ac:dyDescent="0.25">
      <c r="A274" s="7" t="s">
        <v>1817</v>
      </c>
      <c r="B274" s="60">
        <v>511121</v>
      </c>
      <c r="C274" s="41" t="s">
        <v>80</v>
      </c>
      <c r="D274" s="60"/>
      <c r="E274" s="60"/>
      <c r="F274" s="42"/>
      <c r="G274" s="42">
        <f>SUM(G275:G277)</f>
        <v>171959000</v>
      </c>
      <c r="H274" s="210" t="b">
        <f t="shared" si="7"/>
        <v>1</v>
      </c>
      <c r="I274" s="210"/>
      <c r="J274" s="210"/>
    </row>
    <row r="275" spans="1:10" ht="13.8" x14ac:dyDescent="0.25">
      <c r="A275" s="7" t="s">
        <v>1818</v>
      </c>
      <c r="B275" s="152"/>
      <c r="C275" s="151" t="s">
        <v>3993</v>
      </c>
      <c r="D275" s="152">
        <v>1</v>
      </c>
      <c r="E275" s="152" t="s">
        <v>153</v>
      </c>
      <c r="F275" s="153">
        <v>147267000</v>
      </c>
      <c r="G275" s="153">
        <f>ROUNDDOWN(D275*F275,-3)</f>
        <v>147267000</v>
      </c>
      <c r="H275" s="210" t="b">
        <f t="shared" si="7"/>
        <v>1</v>
      </c>
      <c r="I275" s="210"/>
      <c r="J275" s="210"/>
    </row>
    <row r="276" spans="1:10" ht="13.8" x14ac:dyDescent="0.25">
      <c r="A276" s="7" t="s">
        <v>1819</v>
      </c>
      <c r="B276" s="152"/>
      <c r="C276" s="151" t="s">
        <v>3994</v>
      </c>
      <c r="D276" s="152">
        <v>1</v>
      </c>
      <c r="E276" s="152" t="s">
        <v>97</v>
      </c>
      <c r="F276" s="153">
        <v>12494000</v>
      </c>
      <c r="G276" s="153">
        <f>ROUNDDOWN(D276*F276,-3)</f>
        <v>12494000</v>
      </c>
      <c r="H276" s="210" t="b">
        <f t="shared" si="7"/>
        <v>1</v>
      </c>
      <c r="I276" s="210"/>
      <c r="J276" s="210"/>
    </row>
    <row r="277" spans="1:10" ht="13.8" x14ac:dyDescent="0.25">
      <c r="A277" s="7" t="s">
        <v>1820</v>
      </c>
      <c r="B277" s="152"/>
      <c r="C277" s="151" t="s">
        <v>3995</v>
      </c>
      <c r="D277" s="152">
        <v>1</v>
      </c>
      <c r="E277" s="152" t="s">
        <v>97</v>
      </c>
      <c r="F277" s="153">
        <v>12198000</v>
      </c>
      <c r="G277" s="153">
        <f>ROUNDDOWN(D277*F277,-3)</f>
        <v>12198000</v>
      </c>
      <c r="H277" s="210" t="b">
        <f t="shared" si="7"/>
        <v>1</v>
      </c>
      <c r="I277" s="210"/>
      <c r="J277" s="210"/>
    </row>
    <row r="278" spans="1:10" ht="13.8" x14ac:dyDescent="0.25">
      <c r="A278" s="7" t="s">
        <v>1821</v>
      </c>
      <c r="B278" s="60">
        <v>511122</v>
      </c>
      <c r="C278" s="41" t="s">
        <v>81</v>
      </c>
      <c r="D278" s="60"/>
      <c r="E278" s="60"/>
      <c r="F278" s="42"/>
      <c r="G278" s="42">
        <f>SUM(G279:G281)</f>
        <v>46700000</v>
      </c>
      <c r="H278" s="210" t="b">
        <f t="shared" si="7"/>
        <v>1</v>
      </c>
      <c r="I278" s="210"/>
      <c r="J278" s="210"/>
    </row>
    <row r="279" spans="1:10" ht="13.8" x14ac:dyDescent="0.25">
      <c r="A279" s="7" t="s">
        <v>1822</v>
      </c>
      <c r="B279" s="152"/>
      <c r="C279" s="151" t="s">
        <v>3996</v>
      </c>
      <c r="D279" s="152">
        <v>1</v>
      </c>
      <c r="E279" s="152" t="s">
        <v>97</v>
      </c>
      <c r="F279" s="153">
        <v>3282000</v>
      </c>
      <c r="G279" s="153">
        <f>ROUNDDOWN(D279*F279,-3)</f>
        <v>3282000</v>
      </c>
      <c r="H279" s="210" t="b">
        <f t="shared" si="7"/>
        <v>1</v>
      </c>
      <c r="I279" s="210"/>
      <c r="J279" s="210"/>
    </row>
    <row r="280" spans="1:10" ht="13.8" x14ac:dyDescent="0.25">
      <c r="A280" s="7" t="s">
        <v>1823</v>
      </c>
      <c r="B280" s="152"/>
      <c r="C280" s="151" t="s">
        <v>3997</v>
      </c>
      <c r="D280" s="152">
        <v>1</v>
      </c>
      <c r="E280" s="152" t="s">
        <v>153</v>
      </c>
      <c r="F280" s="153">
        <v>40080000</v>
      </c>
      <c r="G280" s="153">
        <f>ROUNDDOWN(D280*F280,-3)</f>
        <v>40080000</v>
      </c>
      <c r="H280" s="210" t="b">
        <f t="shared" si="7"/>
        <v>1</v>
      </c>
      <c r="I280" s="210"/>
      <c r="J280" s="210"/>
    </row>
    <row r="281" spans="1:10" ht="13.8" x14ac:dyDescent="0.25">
      <c r="A281" s="7" t="s">
        <v>1824</v>
      </c>
      <c r="B281" s="152"/>
      <c r="C281" s="151" t="s">
        <v>3998</v>
      </c>
      <c r="D281" s="152">
        <v>1</v>
      </c>
      <c r="E281" s="152" t="s">
        <v>97</v>
      </c>
      <c r="F281" s="153">
        <v>3338000</v>
      </c>
      <c r="G281" s="153">
        <f>ROUNDDOWN(D281*F281,-3)</f>
        <v>3338000</v>
      </c>
      <c r="H281" s="210" t="b">
        <f t="shared" si="7"/>
        <v>1</v>
      </c>
      <c r="I281" s="210"/>
      <c r="J281" s="210"/>
    </row>
    <row r="282" spans="1:10" ht="13.8" x14ac:dyDescent="0.25">
      <c r="A282" s="7" t="s">
        <v>1825</v>
      </c>
      <c r="B282" s="60">
        <v>511123</v>
      </c>
      <c r="C282" s="41" t="s">
        <v>82</v>
      </c>
      <c r="D282" s="60"/>
      <c r="E282" s="60"/>
      <c r="F282" s="42"/>
      <c r="G282" s="42">
        <f>SUM(G283:G285)</f>
        <v>158000000</v>
      </c>
      <c r="H282" s="210" t="b">
        <f t="shared" si="7"/>
        <v>1</v>
      </c>
      <c r="I282" s="210"/>
      <c r="J282" s="210"/>
    </row>
    <row r="283" spans="1:10" ht="13.8" x14ac:dyDescent="0.25">
      <c r="A283" s="7" t="s">
        <v>1826</v>
      </c>
      <c r="B283" s="152"/>
      <c r="C283" s="151" t="s">
        <v>3999</v>
      </c>
      <c r="D283" s="152">
        <v>1</v>
      </c>
      <c r="E283" s="152" t="s">
        <v>97</v>
      </c>
      <c r="F283" s="153">
        <v>12070000</v>
      </c>
      <c r="G283" s="153">
        <f>ROUNDDOWN(D283*F283,-3)</f>
        <v>12070000</v>
      </c>
      <c r="H283" s="210" t="b">
        <f t="shared" si="7"/>
        <v>1</v>
      </c>
      <c r="I283" s="210"/>
      <c r="J283" s="210"/>
    </row>
    <row r="284" spans="1:10" ht="13.8" x14ac:dyDescent="0.25">
      <c r="A284" s="7" t="s">
        <v>1827</v>
      </c>
      <c r="B284" s="152"/>
      <c r="C284" s="151" t="s">
        <v>4000</v>
      </c>
      <c r="D284" s="152">
        <v>1</v>
      </c>
      <c r="E284" s="152" t="s">
        <v>60</v>
      </c>
      <c r="F284" s="153">
        <v>133860000</v>
      </c>
      <c r="G284" s="153">
        <f>ROUNDDOWN(D284*F284,-3)</f>
        <v>133860000</v>
      </c>
      <c r="H284" s="210" t="b">
        <f t="shared" si="7"/>
        <v>1</v>
      </c>
      <c r="I284" s="210"/>
      <c r="J284" s="210"/>
    </row>
    <row r="285" spans="1:10" ht="13.8" x14ac:dyDescent="0.25">
      <c r="A285" s="7" t="s">
        <v>1828</v>
      </c>
      <c r="B285" s="152"/>
      <c r="C285" s="151" t="s">
        <v>4001</v>
      </c>
      <c r="D285" s="152">
        <v>1</v>
      </c>
      <c r="E285" s="152" t="s">
        <v>97</v>
      </c>
      <c r="F285" s="153">
        <v>12070000</v>
      </c>
      <c r="G285" s="153">
        <f>ROUNDDOWN(D285*F285,-3)</f>
        <v>12070000</v>
      </c>
      <c r="H285" s="210" t="b">
        <f t="shared" si="7"/>
        <v>1</v>
      </c>
      <c r="I285" s="210"/>
      <c r="J285" s="210"/>
    </row>
    <row r="286" spans="1:10" ht="13.8" x14ac:dyDescent="0.25">
      <c r="A286" s="7" t="s">
        <v>1829</v>
      </c>
      <c r="B286" s="60">
        <v>511124</v>
      </c>
      <c r="C286" s="41" t="s">
        <v>83</v>
      </c>
      <c r="D286" s="60"/>
      <c r="E286" s="60"/>
      <c r="F286" s="42"/>
      <c r="G286" s="42">
        <f>SUM(G287:G289)</f>
        <v>48180000</v>
      </c>
      <c r="H286" s="210" t="b">
        <f t="shared" si="7"/>
        <v>1</v>
      </c>
      <c r="I286" s="210"/>
      <c r="J286" s="210"/>
    </row>
    <row r="287" spans="1:10" ht="13.8" x14ac:dyDescent="0.25">
      <c r="A287" s="7" t="s">
        <v>1830</v>
      </c>
      <c r="B287" s="152"/>
      <c r="C287" s="151" t="s">
        <v>4002</v>
      </c>
      <c r="D287" s="152">
        <v>1</v>
      </c>
      <c r="E287" s="152" t="s">
        <v>97</v>
      </c>
      <c r="F287" s="153">
        <v>2000000</v>
      </c>
      <c r="G287" s="153">
        <f>ROUNDDOWN(D287*F287,-3)</f>
        <v>2000000</v>
      </c>
      <c r="H287" s="210" t="b">
        <f t="shared" si="7"/>
        <v>1</v>
      </c>
      <c r="I287" s="210"/>
      <c r="J287" s="210"/>
    </row>
    <row r="288" spans="1:10" ht="13.8" x14ac:dyDescent="0.25">
      <c r="A288" s="7" t="s">
        <v>1831</v>
      </c>
      <c r="B288" s="152"/>
      <c r="C288" s="151" t="s">
        <v>4003</v>
      </c>
      <c r="D288" s="152">
        <v>1</v>
      </c>
      <c r="E288" s="152" t="s">
        <v>60</v>
      </c>
      <c r="F288" s="153">
        <v>44180000</v>
      </c>
      <c r="G288" s="153">
        <f>ROUNDDOWN(D288*F288,-3)</f>
        <v>44180000</v>
      </c>
      <c r="H288" s="210" t="b">
        <f t="shared" si="7"/>
        <v>1</v>
      </c>
      <c r="I288" s="210"/>
      <c r="J288" s="210"/>
    </row>
    <row r="289" spans="1:10" ht="13.8" x14ac:dyDescent="0.25">
      <c r="A289" s="7" t="s">
        <v>1832</v>
      </c>
      <c r="B289" s="152"/>
      <c r="C289" s="151" t="s">
        <v>4004</v>
      </c>
      <c r="D289" s="152">
        <v>1</v>
      </c>
      <c r="E289" s="152" t="s">
        <v>97</v>
      </c>
      <c r="F289" s="153">
        <v>2000000</v>
      </c>
      <c r="G289" s="153">
        <f>ROUNDDOWN(D289*F289,-3)</f>
        <v>2000000</v>
      </c>
      <c r="H289" s="210" t="b">
        <f t="shared" si="7"/>
        <v>1</v>
      </c>
      <c r="I289" s="210"/>
      <c r="J289" s="210"/>
    </row>
    <row r="290" spans="1:10" ht="13.8" x14ac:dyDescent="0.25">
      <c r="A290" s="7" t="s">
        <v>1833</v>
      </c>
      <c r="B290" s="60">
        <v>511125</v>
      </c>
      <c r="C290" s="41" t="s">
        <v>84</v>
      </c>
      <c r="D290" s="60"/>
      <c r="E290" s="60"/>
      <c r="F290" s="42"/>
      <c r="G290" s="42">
        <f>SUM(G291:G293)</f>
        <v>13133000</v>
      </c>
      <c r="H290" s="210" t="b">
        <f t="shared" si="7"/>
        <v>1</v>
      </c>
      <c r="I290" s="210"/>
      <c r="J290" s="210"/>
    </row>
    <row r="291" spans="1:10" ht="13.8" x14ac:dyDescent="0.25">
      <c r="A291" s="7" t="s">
        <v>1834</v>
      </c>
      <c r="B291" s="152"/>
      <c r="C291" s="151" t="s">
        <v>4005</v>
      </c>
      <c r="D291" s="152">
        <v>1</v>
      </c>
      <c r="E291" s="152" t="s">
        <v>97</v>
      </c>
      <c r="F291" s="153">
        <v>3360000</v>
      </c>
      <c r="G291" s="153">
        <f>ROUNDDOWN(D291*F291,-3)</f>
        <v>3360000</v>
      </c>
      <c r="H291" s="210" t="b">
        <f t="shared" si="7"/>
        <v>1</v>
      </c>
      <c r="I291" s="210"/>
      <c r="J291" s="210"/>
    </row>
    <row r="292" spans="1:10" ht="13.8" x14ac:dyDescent="0.25">
      <c r="A292" s="7" t="s">
        <v>1835</v>
      </c>
      <c r="B292" s="152"/>
      <c r="C292" s="151" t="s">
        <v>4006</v>
      </c>
      <c r="D292" s="152">
        <v>1</v>
      </c>
      <c r="E292" s="152" t="s">
        <v>153</v>
      </c>
      <c r="F292" s="153">
        <v>6407000</v>
      </c>
      <c r="G292" s="153">
        <f>ROUNDDOWN(D292*F292,-3)</f>
        <v>6407000</v>
      </c>
      <c r="H292" s="210" t="b">
        <f t="shared" si="7"/>
        <v>1</v>
      </c>
      <c r="I292" s="210"/>
      <c r="J292" s="210"/>
    </row>
    <row r="293" spans="1:10" ht="13.8" x14ac:dyDescent="0.25">
      <c r="A293" s="7" t="s">
        <v>1836</v>
      </c>
      <c r="B293" s="152"/>
      <c r="C293" s="151" t="s">
        <v>4007</v>
      </c>
      <c r="D293" s="152">
        <v>1</v>
      </c>
      <c r="E293" s="152" t="s">
        <v>97</v>
      </c>
      <c r="F293" s="153">
        <v>3366000</v>
      </c>
      <c r="G293" s="153">
        <f>ROUNDDOWN(D293*F293,-3)</f>
        <v>3366000</v>
      </c>
      <c r="H293" s="210" t="b">
        <f t="shared" si="7"/>
        <v>1</v>
      </c>
      <c r="I293" s="210"/>
      <c r="J293" s="210"/>
    </row>
    <row r="294" spans="1:10" ht="13.8" x14ac:dyDescent="0.25">
      <c r="A294" s="7" t="s">
        <v>1837</v>
      </c>
      <c r="B294" s="60">
        <v>511126</v>
      </c>
      <c r="C294" s="41" t="s">
        <v>85</v>
      </c>
      <c r="D294" s="60"/>
      <c r="E294" s="60"/>
      <c r="F294" s="42"/>
      <c r="G294" s="42">
        <f>G295</f>
        <v>130333000</v>
      </c>
      <c r="H294" s="210" t="b">
        <f t="shared" si="7"/>
        <v>1</v>
      </c>
      <c r="I294" s="210"/>
      <c r="J294" s="210"/>
    </row>
    <row r="295" spans="1:10" ht="13.8" x14ac:dyDescent="0.25">
      <c r="A295" s="7" t="s">
        <v>1838</v>
      </c>
      <c r="B295" s="152"/>
      <c r="C295" s="151" t="s">
        <v>4008</v>
      </c>
      <c r="D295" s="152">
        <v>1</v>
      </c>
      <c r="E295" s="152" t="s">
        <v>60</v>
      </c>
      <c r="F295" s="153">
        <v>130333000</v>
      </c>
      <c r="G295" s="153">
        <f>ROUNDDOWN(D295*F295,-3)</f>
        <v>130333000</v>
      </c>
      <c r="H295" s="210" t="b">
        <f t="shared" si="7"/>
        <v>1</v>
      </c>
      <c r="I295" s="210"/>
      <c r="J295" s="210"/>
    </row>
    <row r="296" spans="1:10" ht="13.8" x14ac:dyDescent="0.25">
      <c r="A296" s="7" t="s">
        <v>1839</v>
      </c>
      <c r="B296" s="60">
        <v>511129</v>
      </c>
      <c r="C296" s="41" t="s">
        <v>86</v>
      </c>
      <c r="D296" s="60"/>
      <c r="E296" s="60"/>
      <c r="F296" s="42"/>
      <c r="G296" s="42">
        <f>G297</f>
        <v>379379000</v>
      </c>
      <c r="H296" s="210" t="b">
        <f t="shared" si="7"/>
        <v>1</v>
      </c>
      <c r="I296" s="210"/>
      <c r="J296" s="210"/>
    </row>
    <row r="297" spans="1:10" ht="13.8" x14ac:dyDescent="0.25">
      <c r="A297" s="7" t="s">
        <v>1840</v>
      </c>
      <c r="B297" s="152"/>
      <c r="C297" s="151" t="s">
        <v>4009</v>
      </c>
      <c r="D297" s="152">
        <v>1</v>
      </c>
      <c r="E297" s="152" t="s">
        <v>153</v>
      </c>
      <c r="F297" s="153">
        <v>379379000</v>
      </c>
      <c r="G297" s="153">
        <f>ROUNDDOWN(D297*F297,-3)</f>
        <v>379379000</v>
      </c>
      <c r="H297" s="210" t="b">
        <f t="shared" si="7"/>
        <v>1</v>
      </c>
      <c r="I297" s="210"/>
      <c r="J297" s="210"/>
    </row>
    <row r="298" spans="1:10" ht="13.8" x14ac:dyDescent="0.25">
      <c r="A298" s="7" t="s">
        <v>1841</v>
      </c>
      <c r="B298" s="60">
        <v>511151</v>
      </c>
      <c r="C298" s="41" t="s">
        <v>87</v>
      </c>
      <c r="D298" s="60"/>
      <c r="E298" s="60"/>
      <c r="F298" s="42"/>
      <c r="G298" s="42">
        <f>SUM(G299:G301)</f>
        <v>88360000</v>
      </c>
      <c r="H298" s="210" t="b">
        <f t="shared" si="7"/>
        <v>1</v>
      </c>
      <c r="I298" s="210"/>
      <c r="J298" s="210"/>
    </row>
    <row r="299" spans="1:10" ht="13.8" x14ac:dyDescent="0.25">
      <c r="A299" s="7" t="s">
        <v>1842</v>
      </c>
      <c r="B299" s="152"/>
      <c r="C299" s="151" t="s">
        <v>4010</v>
      </c>
      <c r="D299" s="152">
        <v>1</v>
      </c>
      <c r="E299" s="152" t="s">
        <v>97</v>
      </c>
      <c r="F299" s="153">
        <v>6655000</v>
      </c>
      <c r="G299" s="153">
        <f>ROUNDDOWN(D299*F299,-3)</f>
        <v>6655000</v>
      </c>
      <c r="H299" s="210" t="b">
        <f t="shared" si="7"/>
        <v>1</v>
      </c>
      <c r="I299" s="210"/>
      <c r="J299" s="210"/>
    </row>
    <row r="300" spans="1:10" ht="13.8" x14ac:dyDescent="0.25">
      <c r="A300" s="7" t="s">
        <v>1843</v>
      </c>
      <c r="B300" s="152"/>
      <c r="C300" s="151" t="s">
        <v>4011</v>
      </c>
      <c r="D300" s="152">
        <v>1</v>
      </c>
      <c r="E300" s="152" t="s">
        <v>60</v>
      </c>
      <c r="F300" s="153">
        <v>75605000</v>
      </c>
      <c r="G300" s="153">
        <f>ROUNDDOWN(D300*F300,-3)</f>
        <v>75605000</v>
      </c>
      <c r="H300" s="210" t="b">
        <f t="shared" si="7"/>
        <v>1</v>
      </c>
      <c r="I300" s="210"/>
      <c r="J300" s="210"/>
    </row>
    <row r="301" spans="1:10" ht="13.8" x14ac:dyDescent="0.25">
      <c r="A301" s="7" t="s">
        <v>1844</v>
      </c>
      <c r="B301" s="152"/>
      <c r="C301" s="151" t="s">
        <v>4012</v>
      </c>
      <c r="D301" s="152">
        <v>1</v>
      </c>
      <c r="E301" s="152" t="s">
        <v>97</v>
      </c>
      <c r="F301" s="153">
        <v>6100000</v>
      </c>
      <c r="G301" s="153">
        <f>ROUNDDOWN(D301*F301,-3)</f>
        <v>6100000</v>
      </c>
      <c r="H301" s="210" t="b">
        <f t="shared" si="7"/>
        <v>1</v>
      </c>
      <c r="I301" s="210"/>
      <c r="J301" s="210"/>
    </row>
    <row r="302" spans="1:10" ht="13.8" x14ac:dyDescent="0.25">
      <c r="A302" s="7" t="s">
        <v>1845</v>
      </c>
      <c r="B302" s="60">
        <v>512411</v>
      </c>
      <c r="C302" s="41" t="s">
        <v>88</v>
      </c>
      <c r="D302" s="60"/>
      <c r="E302" s="60"/>
      <c r="F302" s="42"/>
      <c r="G302" s="42">
        <f>G303</f>
        <v>2635488000</v>
      </c>
      <c r="H302" s="210" t="b">
        <f t="shared" si="7"/>
        <v>1</v>
      </c>
      <c r="I302" s="210"/>
      <c r="J302" s="210"/>
    </row>
    <row r="303" spans="1:10" ht="13.8" x14ac:dyDescent="0.25">
      <c r="A303" s="7" t="s">
        <v>1846</v>
      </c>
      <c r="B303" s="152"/>
      <c r="C303" s="151" t="s">
        <v>4013</v>
      </c>
      <c r="D303" s="152">
        <v>1</v>
      </c>
      <c r="E303" s="152" t="s">
        <v>153</v>
      </c>
      <c r="F303" s="153">
        <v>2635488000</v>
      </c>
      <c r="G303" s="153">
        <f>ROUNDDOWN(D303*F303,-3)</f>
        <v>2635488000</v>
      </c>
      <c r="H303" s="210" t="b">
        <f t="shared" si="7"/>
        <v>1</v>
      </c>
      <c r="I303" s="210"/>
      <c r="J303" s="210"/>
    </row>
    <row r="304" spans="1:10" ht="13.8" x14ac:dyDescent="0.25">
      <c r="A304" s="7" t="s">
        <v>4041</v>
      </c>
      <c r="B304" s="59" t="s">
        <v>2208</v>
      </c>
      <c r="C304" s="38" t="s">
        <v>4042</v>
      </c>
      <c r="D304" s="59"/>
      <c r="E304" s="59"/>
      <c r="F304" s="39"/>
      <c r="G304" s="39">
        <f>G305</f>
        <v>323949000</v>
      </c>
      <c r="H304" s="210" t="b">
        <f t="shared" si="7"/>
        <v>1</v>
      </c>
      <c r="I304" s="210"/>
      <c r="J304" s="210"/>
    </row>
    <row r="305" spans="1:10" ht="13.8" x14ac:dyDescent="0.25">
      <c r="A305" s="7" t="s">
        <v>4043</v>
      </c>
      <c r="B305" s="60">
        <v>512411</v>
      </c>
      <c r="C305" s="41" t="s">
        <v>88</v>
      </c>
      <c r="D305" s="60"/>
      <c r="E305" s="60"/>
      <c r="F305" s="42"/>
      <c r="G305" s="42">
        <f>G306</f>
        <v>323949000</v>
      </c>
      <c r="H305" s="210" t="b">
        <f t="shared" si="7"/>
        <v>1</v>
      </c>
      <c r="I305" s="210"/>
      <c r="J305" s="210"/>
    </row>
    <row r="306" spans="1:10" ht="13.8" x14ac:dyDescent="0.25">
      <c r="A306" s="7" t="s">
        <v>4044</v>
      </c>
      <c r="B306" s="152"/>
      <c r="C306" s="151" t="s">
        <v>4045</v>
      </c>
      <c r="D306" s="152">
        <v>1</v>
      </c>
      <c r="E306" s="152" t="s">
        <v>4046</v>
      </c>
      <c r="F306" s="153">
        <v>323949000</v>
      </c>
      <c r="G306" s="153">
        <f>ROUNDDOWN(D306*F306,-3)</f>
        <v>323949000</v>
      </c>
      <c r="H306" s="210" t="b">
        <f t="shared" si="7"/>
        <v>1</v>
      </c>
      <c r="I306" s="210"/>
      <c r="J306" s="210"/>
    </row>
    <row r="307" spans="1:10" ht="13.8" x14ac:dyDescent="0.25">
      <c r="A307" s="7" t="s">
        <v>1847</v>
      </c>
      <c r="B307" s="58" t="s">
        <v>557</v>
      </c>
      <c r="C307" s="35" t="s">
        <v>89</v>
      </c>
      <c r="D307" s="58"/>
      <c r="E307" s="58"/>
      <c r="F307" s="36"/>
      <c r="G307" s="36">
        <f>SUM(G308,G329,G335,G348,G363)</f>
        <v>2195658000</v>
      </c>
      <c r="H307" s="210" t="b">
        <f t="shared" si="7"/>
        <v>1</v>
      </c>
      <c r="I307" s="210"/>
      <c r="J307" s="210"/>
    </row>
    <row r="308" spans="1:10" ht="13.8" x14ac:dyDescent="0.25">
      <c r="A308" s="7" t="s">
        <v>2170</v>
      </c>
      <c r="B308" s="59" t="s">
        <v>1807</v>
      </c>
      <c r="C308" s="38" t="s">
        <v>2171</v>
      </c>
      <c r="D308" s="59"/>
      <c r="E308" s="59"/>
      <c r="F308" s="39"/>
      <c r="G308" s="39">
        <f>SUM(G309,G319)</f>
        <v>1254380000</v>
      </c>
      <c r="H308" s="210" t="b">
        <f t="shared" si="7"/>
        <v>1</v>
      </c>
      <c r="I308" s="210"/>
      <c r="J308" s="210"/>
    </row>
    <row r="309" spans="1:10" ht="13.8" x14ac:dyDescent="0.25">
      <c r="A309" s="7" t="s">
        <v>2172</v>
      </c>
      <c r="B309" s="60">
        <v>521111</v>
      </c>
      <c r="C309" s="41" t="s">
        <v>90</v>
      </c>
      <c r="D309" s="60"/>
      <c r="E309" s="60"/>
      <c r="F309" s="42"/>
      <c r="G309" s="42">
        <f>SUM(G310:G318)</f>
        <v>1076220000</v>
      </c>
      <c r="H309" s="210" t="b">
        <f t="shared" si="7"/>
        <v>1</v>
      </c>
      <c r="I309" s="210"/>
      <c r="J309" s="210"/>
    </row>
    <row r="310" spans="1:10" ht="13.8" x14ac:dyDescent="0.25">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3.8" x14ac:dyDescent="0.25">
      <c r="A311" s="7" t="s">
        <v>2174</v>
      </c>
      <c r="B311" s="152"/>
      <c r="C311" s="151" t="s">
        <v>4182</v>
      </c>
      <c r="D311" s="152">
        <v>1</v>
      </c>
      <c r="E311" s="152" t="s">
        <v>60</v>
      </c>
      <c r="F311" s="153">
        <v>60000000</v>
      </c>
      <c r="G311" s="153">
        <f t="shared" si="8"/>
        <v>60000000</v>
      </c>
      <c r="H311" s="210" t="b">
        <f t="shared" si="7"/>
        <v>1</v>
      </c>
      <c r="I311" s="210"/>
      <c r="J311" s="210"/>
    </row>
    <row r="312" spans="1:10" ht="13.8" x14ac:dyDescent="0.25">
      <c r="A312" s="7" t="s">
        <v>2176</v>
      </c>
      <c r="B312" s="152"/>
      <c r="C312" s="151" t="s">
        <v>4183</v>
      </c>
      <c r="D312" s="152">
        <v>156</v>
      </c>
      <c r="E312" s="152" t="s">
        <v>21</v>
      </c>
      <c r="F312" s="153">
        <v>4858000</v>
      </c>
      <c r="G312" s="153">
        <f t="shared" si="8"/>
        <v>757848000</v>
      </c>
      <c r="H312" s="210" t="b">
        <f t="shared" si="7"/>
        <v>1</v>
      </c>
      <c r="I312" s="210"/>
      <c r="J312" s="210"/>
    </row>
    <row r="313" spans="1:10" ht="13.8" x14ac:dyDescent="0.25">
      <c r="A313" s="7" t="s">
        <v>2178</v>
      </c>
      <c r="B313" s="152"/>
      <c r="C313" s="151" t="s">
        <v>4184</v>
      </c>
      <c r="D313" s="152">
        <v>13</v>
      </c>
      <c r="E313" s="152" t="s">
        <v>32</v>
      </c>
      <c r="F313" s="153">
        <v>5344000</v>
      </c>
      <c r="G313" s="153">
        <f t="shared" si="8"/>
        <v>69472000</v>
      </c>
      <c r="H313" s="210" t="b">
        <f t="shared" si="7"/>
        <v>1</v>
      </c>
      <c r="I313" s="210"/>
      <c r="J313" s="210"/>
    </row>
    <row r="314" spans="1:10" ht="13.8" x14ac:dyDescent="0.25">
      <c r="A314" s="7" t="s">
        <v>2179</v>
      </c>
      <c r="B314" s="152"/>
      <c r="C314" s="151" t="s">
        <v>4185</v>
      </c>
      <c r="D314" s="152">
        <v>12</v>
      </c>
      <c r="E314" s="152" t="s">
        <v>78</v>
      </c>
      <c r="F314" s="153">
        <v>500000</v>
      </c>
      <c r="G314" s="153">
        <f t="shared" si="8"/>
        <v>6000000</v>
      </c>
      <c r="H314" s="210" t="b">
        <f t="shared" si="7"/>
        <v>1</v>
      </c>
      <c r="I314" s="210"/>
      <c r="J314" s="210"/>
    </row>
    <row r="315" spans="1:10" ht="13.8" x14ac:dyDescent="0.25">
      <c r="A315" s="7" t="s">
        <v>2181</v>
      </c>
      <c r="B315" s="152"/>
      <c r="C315" s="151" t="s">
        <v>4186</v>
      </c>
      <c r="D315" s="152">
        <v>100</v>
      </c>
      <c r="E315" s="152" t="s">
        <v>58</v>
      </c>
      <c r="F315" s="153">
        <v>500000</v>
      </c>
      <c r="G315" s="153">
        <f t="shared" si="8"/>
        <v>50000000</v>
      </c>
      <c r="H315" s="210" t="b">
        <f t="shared" si="7"/>
        <v>1</v>
      </c>
      <c r="I315" s="210"/>
      <c r="J315" s="210"/>
    </row>
    <row r="316" spans="1:10" ht="13.8" x14ac:dyDescent="0.25">
      <c r="A316" s="7" t="s">
        <v>2183</v>
      </c>
      <c r="B316" s="152"/>
      <c r="C316" s="151" t="s">
        <v>4187</v>
      </c>
      <c r="D316" s="152">
        <v>12</v>
      </c>
      <c r="E316" s="152" t="s">
        <v>115</v>
      </c>
      <c r="F316" s="153">
        <v>750000</v>
      </c>
      <c r="G316" s="153">
        <f t="shared" si="8"/>
        <v>9000000</v>
      </c>
      <c r="H316" s="210" t="b">
        <f t="shared" si="7"/>
        <v>1</v>
      </c>
      <c r="I316" s="210"/>
      <c r="J316" s="210"/>
    </row>
    <row r="317" spans="1:10" ht="13.8" x14ac:dyDescent="0.25">
      <c r="A317" s="7" t="s">
        <v>2185</v>
      </c>
      <c r="B317" s="152"/>
      <c r="C317" s="151" t="s">
        <v>4188</v>
      </c>
      <c r="D317" s="152">
        <v>12</v>
      </c>
      <c r="E317" s="152" t="s">
        <v>115</v>
      </c>
      <c r="F317" s="153">
        <v>1325000</v>
      </c>
      <c r="G317" s="153">
        <f t="shared" si="8"/>
        <v>15900000</v>
      </c>
      <c r="H317" s="210" t="b">
        <f t="shared" si="7"/>
        <v>1</v>
      </c>
      <c r="I317" s="210"/>
      <c r="J317" s="210"/>
    </row>
    <row r="318" spans="1:10" ht="13.8" x14ac:dyDescent="0.25">
      <c r="A318" s="7" t="s">
        <v>2187</v>
      </c>
      <c r="B318" s="152"/>
      <c r="C318" s="151" t="s">
        <v>4189</v>
      </c>
      <c r="D318" s="152">
        <v>12</v>
      </c>
      <c r="E318" s="152" t="s">
        <v>78</v>
      </c>
      <c r="F318" s="153">
        <v>2500000</v>
      </c>
      <c r="G318" s="153">
        <f t="shared" si="8"/>
        <v>30000000</v>
      </c>
      <c r="H318" s="210" t="b">
        <f t="shared" si="7"/>
        <v>1</v>
      </c>
      <c r="I318" s="210"/>
      <c r="J318" s="210"/>
    </row>
    <row r="319" spans="1:10" ht="13.8" x14ac:dyDescent="0.25">
      <c r="A319" s="7" t="s">
        <v>2189</v>
      </c>
      <c r="B319" s="60">
        <v>521811</v>
      </c>
      <c r="C319" s="41" t="s">
        <v>64</v>
      </c>
      <c r="D319" s="60"/>
      <c r="E319" s="60"/>
      <c r="F319" s="42"/>
      <c r="G319" s="42">
        <f>SUM(G320:G328)</f>
        <v>178160000</v>
      </c>
      <c r="H319" s="210" t="b">
        <f t="shared" si="7"/>
        <v>1</v>
      </c>
      <c r="I319" s="210"/>
      <c r="J319" s="210"/>
    </row>
    <row r="320" spans="1:10" ht="13.8" x14ac:dyDescent="0.25">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3.8" x14ac:dyDescent="0.25">
      <c r="A321" s="7" t="s">
        <v>2191</v>
      </c>
      <c r="B321" s="152"/>
      <c r="C321" s="151" t="s">
        <v>3626</v>
      </c>
      <c r="D321" s="152">
        <v>40</v>
      </c>
      <c r="E321" s="152" t="s">
        <v>9</v>
      </c>
      <c r="F321" s="153">
        <v>1500000</v>
      </c>
      <c r="G321" s="153">
        <f t="shared" si="9"/>
        <v>60000000</v>
      </c>
      <c r="H321" s="210" t="b">
        <f t="shared" si="7"/>
        <v>1</v>
      </c>
      <c r="I321" s="210"/>
      <c r="J321" s="210"/>
    </row>
    <row r="322" spans="1:10" ht="13.8" x14ac:dyDescent="0.25">
      <c r="A322" s="7" t="s">
        <v>2192</v>
      </c>
      <c r="B322" s="152"/>
      <c r="C322" s="151" t="s">
        <v>4190</v>
      </c>
      <c r="D322" s="152">
        <v>192</v>
      </c>
      <c r="E322" s="152" t="s">
        <v>9</v>
      </c>
      <c r="F322" s="153">
        <v>50000</v>
      </c>
      <c r="G322" s="153">
        <f t="shared" si="9"/>
        <v>9600000</v>
      </c>
      <c r="H322" s="210" t="b">
        <f t="shared" si="7"/>
        <v>1</v>
      </c>
      <c r="I322" s="210"/>
      <c r="J322" s="210"/>
    </row>
    <row r="323" spans="1:10" ht="13.8" x14ac:dyDescent="0.25">
      <c r="A323" s="7" t="s">
        <v>2194</v>
      </c>
      <c r="B323" s="152"/>
      <c r="C323" s="151" t="s">
        <v>4191</v>
      </c>
      <c r="D323" s="152">
        <v>192</v>
      </c>
      <c r="E323" s="152" t="s">
        <v>9</v>
      </c>
      <c r="F323" s="153">
        <v>55000</v>
      </c>
      <c r="G323" s="153">
        <f t="shared" si="9"/>
        <v>10560000</v>
      </c>
      <c r="H323" s="210" t="b">
        <f t="shared" si="7"/>
        <v>1</v>
      </c>
      <c r="I323" s="210"/>
      <c r="J323" s="210"/>
    </row>
    <row r="324" spans="1:10" ht="13.8" x14ac:dyDescent="0.25">
      <c r="A324" s="7" t="s">
        <v>2196</v>
      </c>
      <c r="B324" s="152"/>
      <c r="C324" s="151" t="s">
        <v>4192</v>
      </c>
      <c r="D324" s="152">
        <v>50</v>
      </c>
      <c r="E324" s="152" t="s">
        <v>2198</v>
      </c>
      <c r="F324" s="153">
        <v>220000</v>
      </c>
      <c r="G324" s="153">
        <f t="shared" si="9"/>
        <v>11000000</v>
      </c>
      <c r="H324" s="210" t="b">
        <f t="shared" si="7"/>
        <v>1</v>
      </c>
      <c r="I324" s="210"/>
      <c r="J324" s="210"/>
    </row>
    <row r="325" spans="1:10" ht="13.8" x14ac:dyDescent="0.25">
      <c r="A325" s="7" t="s">
        <v>2199</v>
      </c>
      <c r="B325" s="152"/>
      <c r="C325" s="151" t="s">
        <v>4193</v>
      </c>
      <c r="D325" s="152">
        <v>50</v>
      </c>
      <c r="E325" s="152" t="s">
        <v>2198</v>
      </c>
      <c r="F325" s="153">
        <v>240000</v>
      </c>
      <c r="G325" s="153">
        <f t="shared" si="9"/>
        <v>12000000</v>
      </c>
      <c r="H325" s="210" t="b">
        <f t="shared" si="7"/>
        <v>1</v>
      </c>
      <c r="I325" s="210"/>
      <c r="J325" s="210"/>
    </row>
    <row r="326" spans="1:10" ht="13.8" x14ac:dyDescent="0.25">
      <c r="A326" s="7" t="s">
        <v>2201</v>
      </c>
      <c r="B326" s="152"/>
      <c r="C326" s="151" t="s">
        <v>4194</v>
      </c>
      <c r="D326" s="152">
        <v>800</v>
      </c>
      <c r="E326" s="152" t="s">
        <v>120</v>
      </c>
      <c r="F326" s="153">
        <v>5000</v>
      </c>
      <c r="G326" s="153">
        <f t="shared" si="9"/>
        <v>4000000</v>
      </c>
      <c r="H326" s="210" t="b">
        <f t="shared" si="7"/>
        <v>1</v>
      </c>
      <c r="I326" s="210"/>
      <c r="J326" s="210"/>
    </row>
    <row r="327" spans="1:10" ht="13.8" x14ac:dyDescent="0.25">
      <c r="A327" s="7" t="s">
        <v>2203</v>
      </c>
      <c r="B327" s="152"/>
      <c r="C327" s="151" t="s">
        <v>4195</v>
      </c>
      <c r="D327" s="152">
        <v>50</v>
      </c>
      <c r="E327" s="152" t="s">
        <v>1422</v>
      </c>
      <c r="F327" s="153">
        <v>220000</v>
      </c>
      <c r="G327" s="153">
        <f t="shared" si="9"/>
        <v>11000000</v>
      </c>
      <c r="H327" s="210" t="b">
        <f t="shared" si="7"/>
        <v>1</v>
      </c>
      <c r="I327" s="210"/>
      <c r="J327" s="210"/>
    </row>
    <row r="328" spans="1:10" ht="13.8" x14ac:dyDescent="0.25">
      <c r="A328" s="7" t="s">
        <v>2205</v>
      </c>
      <c r="B328" s="152"/>
      <c r="C328" s="151" t="s">
        <v>4196</v>
      </c>
      <c r="D328" s="152">
        <v>800</v>
      </c>
      <c r="E328" s="152" t="s">
        <v>120</v>
      </c>
      <c r="F328" s="153">
        <v>25000</v>
      </c>
      <c r="G328" s="153">
        <f t="shared" si="9"/>
        <v>20000000</v>
      </c>
      <c r="H328" s="210" t="b">
        <f t="shared" si="7"/>
        <v>1</v>
      </c>
      <c r="I328" s="210"/>
      <c r="J328" s="210"/>
    </row>
    <row r="329" spans="1:10" ht="13.8" x14ac:dyDescent="0.25">
      <c r="A329" s="7" t="s">
        <v>2207</v>
      </c>
      <c r="B329" s="59" t="s">
        <v>2208</v>
      </c>
      <c r="C329" s="38" t="s">
        <v>2209</v>
      </c>
      <c r="D329" s="59"/>
      <c r="E329" s="59"/>
      <c r="F329" s="39"/>
      <c r="G329" s="39">
        <f>SUM(G330,G332)</f>
        <v>148852000</v>
      </c>
      <c r="H329" s="210" t="b">
        <f t="shared" si="7"/>
        <v>1</v>
      </c>
      <c r="I329" s="210"/>
      <c r="J329" s="210"/>
    </row>
    <row r="330" spans="1:10" ht="13.8" x14ac:dyDescent="0.25">
      <c r="A330" s="7" t="s">
        <v>2210</v>
      </c>
      <c r="B330" s="60">
        <v>521114</v>
      </c>
      <c r="C330" s="41" t="s">
        <v>94</v>
      </c>
      <c r="D330" s="60"/>
      <c r="E330" s="60"/>
      <c r="F330" s="42"/>
      <c r="G330" s="42">
        <f>G331</f>
        <v>30000000</v>
      </c>
      <c r="H330" s="210" t="b">
        <f>_xlfn.ISFORMULA(G330)</f>
        <v>1</v>
      </c>
      <c r="I330" s="210"/>
      <c r="J330" s="210"/>
    </row>
    <row r="331" spans="1:10" ht="13.8" x14ac:dyDescent="0.25">
      <c r="A331" s="7" t="s">
        <v>2211</v>
      </c>
      <c r="B331" s="152"/>
      <c r="C331" s="151" t="s">
        <v>4197</v>
      </c>
      <c r="D331" s="152">
        <v>12</v>
      </c>
      <c r="E331" s="152" t="s">
        <v>78</v>
      </c>
      <c r="F331" s="153">
        <v>2500000</v>
      </c>
      <c r="G331" s="153">
        <f>ROUNDDOWN(D331*F331,-3)</f>
        <v>30000000</v>
      </c>
      <c r="H331" s="210" t="b">
        <f t="shared" si="7"/>
        <v>1</v>
      </c>
      <c r="I331" s="210"/>
      <c r="J331" s="210"/>
    </row>
    <row r="332" spans="1:10" ht="13.8" x14ac:dyDescent="0.25">
      <c r="A332" s="7" t="s">
        <v>2213</v>
      </c>
      <c r="B332" s="60">
        <v>522141</v>
      </c>
      <c r="C332" s="41" t="s">
        <v>95</v>
      </c>
      <c r="D332" s="60"/>
      <c r="E332" s="60"/>
      <c r="F332" s="42"/>
      <c r="G332" s="42">
        <f>SUM(G333:G334)</f>
        <v>118852000</v>
      </c>
      <c r="H332" s="210" t="b">
        <f t="shared" si="7"/>
        <v>1</v>
      </c>
      <c r="I332" s="210"/>
      <c r="J332" s="210"/>
    </row>
    <row r="333" spans="1:10" ht="13.8" x14ac:dyDescent="0.25">
      <c r="A333" s="7" t="s">
        <v>2214</v>
      </c>
      <c r="B333" s="152"/>
      <c r="C333" s="151" t="s">
        <v>4198</v>
      </c>
      <c r="D333" s="152">
        <v>12</v>
      </c>
      <c r="E333" s="152" t="s">
        <v>78</v>
      </c>
      <c r="F333" s="153">
        <v>5000000</v>
      </c>
      <c r="G333" s="153">
        <f>ROUNDDOWN(D333*F333,-3)</f>
        <v>60000000</v>
      </c>
      <c r="H333" s="210" t="b">
        <f t="shared" si="7"/>
        <v>1</v>
      </c>
      <c r="I333" s="210"/>
      <c r="J333" s="210"/>
    </row>
    <row r="334" spans="1:10" ht="13.8" x14ac:dyDescent="0.25">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3.8" x14ac:dyDescent="0.25">
      <c r="A335" s="7" t="s">
        <v>2218</v>
      </c>
      <c r="B335" s="59" t="s">
        <v>2219</v>
      </c>
      <c r="C335" s="38" t="s">
        <v>2220</v>
      </c>
      <c r="D335" s="59"/>
      <c r="E335" s="59"/>
      <c r="F335" s="39"/>
      <c r="G335" s="39">
        <f>SUM(G336,G346)</f>
        <v>533050000</v>
      </c>
      <c r="H335" s="210" t="b">
        <f t="shared" si="10"/>
        <v>1</v>
      </c>
      <c r="I335" s="210"/>
      <c r="J335" s="210"/>
    </row>
    <row r="336" spans="1:10" ht="13.8" x14ac:dyDescent="0.25">
      <c r="A336" s="7" t="s">
        <v>2221</v>
      </c>
      <c r="B336" s="60">
        <v>523121</v>
      </c>
      <c r="C336" s="41" t="s">
        <v>99</v>
      </c>
      <c r="D336" s="60"/>
      <c r="E336" s="60"/>
      <c r="F336" s="42"/>
      <c r="G336" s="42">
        <f>SUM(G337:G345)</f>
        <v>497050000</v>
      </c>
      <c r="H336" s="210" t="b">
        <f t="shared" si="10"/>
        <v>1</v>
      </c>
      <c r="I336" s="210"/>
      <c r="J336" s="210"/>
    </row>
    <row r="337" spans="1:10" ht="13.8" x14ac:dyDescent="0.25">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3.8" x14ac:dyDescent="0.25">
      <c r="A338" s="7" t="s">
        <v>2224</v>
      </c>
      <c r="B338" s="152"/>
      <c r="C338" s="151" t="s">
        <v>4201</v>
      </c>
      <c r="D338" s="152">
        <v>9</v>
      </c>
      <c r="E338" s="152" t="s">
        <v>4202</v>
      </c>
      <c r="F338" s="153">
        <v>32850000</v>
      </c>
      <c r="G338" s="153">
        <f t="shared" si="11"/>
        <v>295650000</v>
      </c>
      <c r="H338" s="210" t="b">
        <f t="shared" si="10"/>
        <v>1</v>
      </c>
      <c r="I338" s="210"/>
      <c r="J338" s="210"/>
    </row>
    <row r="339" spans="1:10" ht="13.8" x14ac:dyDescent="0.25">
      <c r="A339" s="7" t="s">
        <v>2226</v>
      </c>
      <c r="B339" s="152"/>
      <c r="C339" s="151" t="s">
        <v>4203</v>
      </c>
      <c r="D339" s="152">
        <v>5</v>
      </c>
      <c r="E339" s="152" t="s">
        <v>42</v>
      </c>
      <c r="F339" s="153">
        <v>3640000</v>
      </c>
      <c r="G339" s="153">
        <f t="shared" si="11"/>
        <v>18200000</v>
      </c>
      <c r="H339" s="210" t="b">
        <f t="shared" si="10"/>
        <v>1</v>
      </c>
      <c r="I339" s="210"/>
      <c r="J339" s="210"/>
    </row>
    <row r="340" spans="1:10" ht="13.8" x14ac:dyDescent="0.25">
      <c r="A340" s="7" t="s">
        <v>2228</v>
      </c>
      <c r="B340" s="152"/>
      <c r="C340" s="151" t="s">
        <v>4204</v>
      </c>
      <c r="D340" s="152">
        <v>40</v>
      </c>
      <c r="E340" s="152" t="s">
        <v>42</v>
      </c>
      <c r="F340" s="153">
        <v>730000</v>
      </c>
      <c r="G340" s="153">
        <f t="shared" si="11"/>
        <v>29200000</v>
      </c>
      <c r="H340" s="210" t="b">
        <f t="shared" si="10"/>
        <v>1</v>
      </c>
      <c r="I340" s="210"/>
      <c r="J340" s="210"/>
    </row>
    <row r="341" spans="1:10" ht="13.8" x14ac:dyDescent="0.25">
      <c r="A341" s="7" t="s">
        <v>2229</v>
      </c>
      <c r="B341" s="152"/>
      <c r="C341" s="151" t="s">
        <v>4205</v>
      </c>
      <c r="D341" s="152">
        <v>35</v>
      </c>
      <c r="E341" s="152" t="s">
        <v>44</v>
      </c>
      <c r="F341" s="153">
        <v>730000</v>
      </c>
      <c r="G341" s="153">
        <f t="shared" si="11"/>
        <v>25550000</v>
      </c>
      <c r="H341" s="210" t="b">
        <f t="shared" si="10"/>
        <v>1</v>
      </c>
      <c r="I341" s="210"/>
      <c r="J341" s="210"/>
    </row>
    <row r="342" spans="1:10" ht="13.8" x14ac:dyDescent="0.25">
      <c r="A342" s="7" t="s">
        <v>2230</v>
      </c>
      <c r="B342" s="152"/>
      <c r="C342" s="151" t="s">
        <v>4206</v>
      </c>
      <c r="D342" s="152">
        <v>35</v>
      </c>
      <c r="E342" s="152" t="s">
        <v>44</v>
      </c>
      <c r="F342" s="153">
        <v>690000</v>
      </c>
      <c r="G342" s="153">
        <f t="shared" si="11"/>
        <v>24150000</v>
      </c>
      <c r="H342" s="210" t="b">
        <f t="shared" si="10"/>
        <v>1</v>
      </c>
      <c r="I342" s="210"/>
      <c r="J342" s="210"/>
    </row>
    <row r="343" spans="1:10" ht="13.8" x14ac:dyDescent="0.25">
      <c r="A343" s="7" t="s">
        <v>2231</v>
      </c>
      <c r="B343" s="152"/>
      <c r="C343" s="151" t="s">
        <v>4207</v>
      </c>
      <c r="D343" s="152">
        <v>3</v>
      </c>
      <c r="E343" s="152" t="s">
        <v>44</v>
      </c>
      <c r="F343" s="153">
        <v>3500000</v>
      </c>
      <c r="G343" s="153">
        <f t="shared" si="11"/>
        <v>10500000</v>
      </c>
      <c r="H343" s="210" t="b">
        <f t="shared" si="10"/>
        <v>1</v>
      </c>
      <c r="I343" s="210"/>
      <c r="J343" s="210"/>
    </row>
    <row r="344" spans="1:10" ht="13.8" x14ac:dyDescent="0.25">
      <c r="A344" s="7" t="s">
        <v>2232</v>
      </c>
      <c r="B344" s="152"/>
      <c r="C344" s="151" t="s">
        <v>4208</v>
      </c>
      <c r="D344" s="152">
        <v>6</v>
      </c>
      <c r="E344" s="152" t="s">
        <v>44</v>
      </c>
      <c r="F344" s="153">
        <v>470000</v>
      </c>
      <c r="G344" s="153">
        <f t="shared" si="11"/>
        <v>2820000</v>
      </c>
      <c r="H344" s="210" t="b">
        <f t="shared" si="10"/>
        <v>1</v>
      </c>
      <c r="I344" s="210"/>
      <c r="J344" s="210"/>
    </row>
    <row r="345" spans="1:10" ht="13.8" x14ac:dyDescent="0.25">
      <c r="A345" s="7" t="s">
        <v>2234</v>
      </c>
      <c r="B345" s="152"/>
      <c r="C345" s="151" t="s">
        <v>4209</v>
      </c>
      <c r="D345" s="152">
        <v>1</v>
      </c>
      <c r="E345" s="152" t="s">
        <v>60</v>
      </c>
      <c r="F345" s="153">
        <v>52250000</v>
      </c>
      <c r="G345" s="153">
        <f t="shared" si="11"/>
        <v>52250000</v>
      </c>
      <c r="H345" s="210" t="b">
        <f t="shared" si="10"/>
        <v>1</v>
      </c>
      <c r="I345" s="210"/>
      <c r="J345" s="210"/>
    </row>
    <row r="346" spans="1:10" ht="13.8" x14ac:dyDescent="0.25">
      <c r="A346" s="7" t="s">
        <v>2235</v>
      </c>
      <c r="B346" s="60">
        <v>523199</v>
      </c>
      <c r="C346" s="41" t="s">
        <v>102</v>
      </c>
      <c r="D346" s="60"/>
      <c r="E346" s="60"/>
      <c r="F346" s="42"/>
      <c r="G346" s="42">
        <f>G347</f>
        <v>36000000</v>
      </c>
      <c r="H346" s="210" t="b">
        <f t="shared" si="10"/>
        <v>1</v>
      </c>
      <c r="I346" s="210"/>
      <c r="J346" s="210"/>
    </row>
    <row r="347" spans="1:10" ht="13.8" x14ac:dyDescent="0.25">
      <c r="A347" s="7" t="s">
        <v>2236</v>
      </c>
      <c r="B347" s="152"/>
      <c r="C347" s="151" t="s">
        <v>4210</v>
      </c>
      <c r="D347" s="152">
        <v>24</v>
      </c>
      <c r="E347" s="152" t="s">
        <v>96</v>
      </c>
      <c r="F347" s="153">
        <v>1500000</v>
      </c>
      <c r="G347" s="153">
        <f>ROUNDDOWN(D347*F347,-3)</f>
        <v>36000000</v>
      </c>
      <c r="H347" s="210" t="b">
        <f t="shared" si="10"/>
        <v>1</v>
      </c>
      <c r="I347" s="210"/>
      <c r="J347" s="210"/>
    </row>
    <row r="348" spans="1:10" ht="13.8" x14ac:dyDescent="0.25">
      <c r="A348" s="7" t="s">
        <v>2238</v>
      </c>
      <c r="B348" s="59" t="s">
        <v>2239</v>
      </c>
      <c r="C348" s="38" t="s">
        <v>2240</v>
      </c>
      <c r="D348" s="59"/>
      <c r="E348" s="59"/>
      <c r="F348" s="39"/>
      <c r="G348" s="39">
        <f>SUM(G349,G352)</f>
        <v>159376000</v>
      </c>
      <c r="H348" s="210" t="b">
        <f t="shared" si="10"/>
        <v>1</v>
      </c>
      <c r="I348" s="210"/>
      <c r="J348" s="210"/>
    </row>
    <row r="349" spans="1:10" ht="13.8" x14ac:dyDescent="0.25">
      <c r="A349" s="7" t="s">
        <v>2241</v>
      </c>
      <c r="B349" s="60">
        <v>521111</v>
      </c>
      <c r="C349" s="41" t="s">
        <v>90</v>
      </c>
      <c r="D349" s="60"/>
      <c r="E349" s="60"/>
      <c r="F349" s="42"/>
      <c r="G349" s="42">
        <f>SUM(G350:G351)</f>
        <v>101040000</v>
      </c>
      <c r="H349" s="210" t="b">
        <f t="shared" si="10"/>
        <v>1</v>
      </c>
      <c r="I349" s="210"/>
      <c r="J349" s="210"/>
    </row>
    <row r="350" spans="1:10" s="212" customFormat="1" ht="13.8" x14ac:dyDescent="0.25">
      <c r="A350" s="211" t="s">
        <v>2242</v>
      </c>
      <c r="B350" s="152"/>
      <c r="C350" s="151" t="s">
        <v>4211</v>
      </c>
      <c r="D350" s="152">
        <v>100</v>
      </c>
      <c r="E350" s="152" t="s">
        <v>2244</v>
      </c>
      <c r="F350" s="153">
        <v>857000</v>
      </c>
      <c r="G350" s="153">
        <f>ROUNDDOWN(D350*F350,-3)</f>
        <v>85700000</v>
      </c>
      <c r="H350" s="210" t="b">
        <f t="shared" si="10"/>
        <v>1</v>
      </c>
      <c r="I350" s="210"/>
      <c r="J350" s="210"/>
    </row>
    <row r="351" spans="1:10" ht="13.8" x14ac:dyDescent="0.25">
      <c r="A351" s="7" t="s">
        <v>2245</v>
      </c>
      <c r="B351" s="152"/>
      <c r="C351" s="151" t="s">
        <v>4212</v>
      </c>
      <c r="D351" s="152">
        <v>26</v>
      </c>
      <c r="E351" s="152" t="s">
        <v>121</v>
      </c>
      <c r="F351" s="153">
        <v>590000</v>
      </c>
      <c r="G351" s="153">
        <f>ROUNDDOWN(D351*F351,-3)</f>
        <v>15340000</v>
      </c>
      <c r="H351" s="210" t="b">
        <f t="shared" si="10"/>
        <v>1</v>
      </c>
      <c r="I351" s="210"/>
      <c r="J351" s="210"/>
    </row>
    <row r="352" spans="1:10" ht="13.8" x14ac:dyDescent="0.25">
      <c r="A352" s="7" t="s">
        <v>2247</v>
      </c>
      <c r="B352" s="60">
        <v>521115</v>
      </c>
      <c r="C352" s="41" t="s">
        <v>104</v>
      </c>
      <c r="D352" s="60"/>
      <c r="E352" s="60"/>
      <c r="F352" s="42"/>
      <c r="G352" s="42">
        <f>SUM(G353:G362)</f>
        <v>58336000</v>
      </c>
      <c r="H352" s="210" t="b">
        <f t="shared" si="10"/>
        <v>1</v>
      </c>
      <c r="I352" s="210"/>
      <c r="J352" s="210"/>
    </row>
    <row r="353" spans="1:10" ht="13.8" x14ac:dyDescent="0.25">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3.8" x14ac:dyDescent="0.25">
      <c r="A354" s="7" t="s">
        <v>2250</v>
      </c>
      <c r="B354" s="152"/>
      <c r="C354" s="151" t="s">
        <v>4214</v>
      </c>
      <c r="D354" s="152">
        <v>12</v>
      </c>
      <c r="E354" s="152" t="s">
        <v>32</v>
      </c>
      <c r="F354" s="153">
        <v>324000</v>
      </c>
      <c r="G354" s="153">
        <f t="shared" si="12"/>
        <v>3888000</v>
      </c>
      <c r="H354" s="210" t="b">
        <f t="shared" si="10"/>
        <v>1</v>
      </c>
      <c r="I354" s="210"/>
      <c r="J354" s="210"/>
    </row>
    <row r="355" spans="1:10" ht="13.8" x14ac:dyDescent="0.25">
      <c r="A355" s="7" t="s">
        <v>2252</v>
      </c>
      <c r="B355" s="152"/>
      <c r="C355" s="151" t="s">
        <v>4215</v>
      </c>
      <c r="D355" s="152">
        <v>12</v>
      </c>
      <c r="E355" s="152" t="s">
        <v>32</v>
      </c>
      <c r="F355" s="153">
        <v>324000</v>
      </c>
      <c r="G355" s="153">
        <f t="shared" si="12"/>
        <v>3888000</v>
      </c>
      <c r="H355" s="210" t="b">
        <f t="shared" si="10"/>
        <v>1</v>
      </c>
      <c r="I355" s="210"/>
      <c r="J355" s="210"/>
    </row>
    <row r="356" spans="1:10" s="212" customFormat="1" ht="13.8" x14ac:dyDescent="0.25">
      <c r="A356" s="211" t="s">
        <v>2254</v>
      </c>
      <c r="B356" s="152"/>
      <c r="C356" s="151" t="s">
        <v>4216</v>
      </c>
      <c r="D356" s="152">
        <v>12</v>
      </c>
      <c r="E356" s="152" t="s">
        <v>32</v>
      </c>
      <c r="F356" s="153">
        <v>680000</v>
      </c>
      <c r="G356" s="153">
        <f t="shared" si="12"/>
        <v>8160000</v>
      </c>
      <c r="H356" s="210" t="b">
        <f t="shared" si="10"/>
        <v>1</v>
      </c>
      <c r="I356" s="210"/>
      <c r="J356" s="210"/>
    </row>
    <row r="357" spans="1:10" ht="13.8" x14ac:dyDescent="0.25">
      <c r="A357" s="7" t="s">
        <v>2256</v>
      </c>
      <c r="B357" s="152"/>
      <c r="C357" s="151" t="s">
        <v>4217</v>
      </c>
      <c r="D357" s="152">
        <v>12</v>
      </c>
      <c r="E357" s="152" t="s">
        <v>32</v>
      </c>
      <c r="F357" s="153">
        <v>200000</v>
      </c>
      <c r="G357" s="153">
        <f t="shared" si="12"/>
        <v>2400000</v>
      </c>
      <c r="H357" s="210" t="b">
        <f t="shared" si="10"/>
        <v>1</v>
      </c>
      <c r="I357" s="210"/>
      <c r="J357" s="210"/>
    </row>
    <row r="358" spans="1:10" ht="13.8" x14ac:dyDescent="0.25">
      <c r="A358" s="7" t="s">
        <v>2258</v>
      </c>
      <c r="B358" s="152"/>
      <c r="C358" s="151" t="s">
        <v>4218</v>
      </c>
      <c r="D358" s="152">
        <v>12</v>
      </c>
      <c r="E358" s="152" t="s">
        <v>32</v>
      </c>
      <c r="F358" s="153">
        <v>80000</v>
      </c>
      <c r="G358" s="153">
        <f t="shared" si="12"/>
        <v>960000</v>
      </c>
      <c r="H358" s="210" t="b">
        <f t="shared" si="10"/>
        <v>1</v>
      </c>
      <c r="I358" s="210"/>
      <c r="J358" s="210"/>
    </row>
    <row r="359" spans="1:10" ht="13.8" x14ac:dyDescent="0.25">
      <c r="A359" s="7" t="s">
        <v>2260</v>
      </c>
      <c r="B359" s="152"/>
      <c r="C359" s="151" t="s">
        <v>4219</v>
      </c>
      <c r="D359" s="152">
        <v>12</v>
      </c>
      <c r="E359" s="152" t="s">
        <v>32</v>
      </c>
      <c r="F359" s="153">
        <v>200000</v>
      </c>
      <c r="G359" s="153">
        <f t="shared" si="12"/>
        <v>2400000</v>
      </c>
      <c r="H359" s="210" t="b">
        <f t="shared" si="10"/>
        <v>1</v>
      </c>
      <c r="I359" s="210"/>
      <c r="J359" s="210"/>
    </row>
    <row r="360" spans="1:10" ht="13.8" x14ac:dyDescent="0.25">
      <c r="A360" s="7" t="s">
        <v>2262</v>
      </c>
      <c r="B360" s="152"/>
      <c r="C360" s="151" t="s">
        <v>4220</v>
      </c>
      <c r="D360" s="152">
        <v>1</v>
      </c>
      <c r="E360" s="152" t="s">
        <v>776</v>
      </c>
      <c r="F360" s="153">
        <v>400000</v>
      </c>
      <c r="G360" s="153">
        <f t="shared" si="12"/>
        <v>400000</v>
      </c>
      <c r="H360" s="210" t="b">
        <f t="shared" si="10"/>
        <v>1</v>
      </c>
      <c r="I360" s="210"/>
      <c r="J360" s="210"/>
    </row>
    <row r="361" spans="1:10" s="212" customFormat="1" ht="13.8" x14ac:dyDescent="0.25">
      <c r="A361" s="211" t="s">
        <v>2264</v>
      </c>
      <c r="B361" s="152"/>
      <c r="C361" s="151" t="s">
        <v>4221</v>
      </c>
      <c r="D361" s="152">
        <v>1</v>
      </c>
      <c r="E361" s="152" t="s">
        <v>25</v>
      </c>
      <c r="F361" s="153">
        <v>300000</v>
      </c>
      <c r="G361" s="153">
        <f t="shared" si="12"/>
        <v>300000</v>
      </c>
      <c r="H361" s="210" t="b">
        <f t="shared" si="10"/>
        <v>1</v>
      </c>
      <c r="I361" s="210"/>
      <c r="J361" s="210"/>
    </row>
    <row r="362" spans="1:10" ht="13.8" x14ac:dyDescent="0.25">
      <c r="A362" s="7" t="s">
        <v>2266</v>
      </c>
      <c r="B362" s="152"/>
      <c r="C362" s="151" t="s">
        <v>4222</v>
      </c>
      <c r="D362" s="152">
        <v>3</v>
      </c>
      <c r="E362" s="152" t="s">
        <v>25</v>
      </c>
      <c r="F362" s="153">
        <v>300000</v>
      </c>
      <c r="G362" s="153">
        <f t="shared" si="12"/>
        <v>900000</v>
      </c>
      <c r="H362" s="210" t="b">
        <f t="shared" si="10"/>
        <v>1</v>
      </c>
      <c r="I362" s="210"/>
      <c r="J362" s="210"/>
    </row>
    <row r="363" spans="1:10" ht="13.8" x14ac:dyDescent="0.25">
      <c r="A363" s="7" t="s">
        <v>4223</v>
      </c>
      <c r="B363" s="59" t="s">
        <v>4224</v>
      </c>
      <c r="C363" s="38" t="s">
        <v>4225</v>
      </c>
      <c r="D363" s="59"/>
      <c r="E363" s="59"/>
      <c r="F363" s="39"/>
      <c r="G363" s="39">
        <f>SUM(G364,G369,G374)</f>
        <v>100000000</v>
      </c>
      <c r="H363" s="210" t="b">
        <f t="shared" si="10"/>
        <v>1</v>
      </c>
      <c r="I363" s="210"/>
      <c r="J363" s="210"/>
    </row>
    <row r="364" spans="1:10" ht="13.8" x14ac:dyDescent="0.25">
      <c r="A364" s="7" t="s">
        <v>4226</v>
      </c>
      <c r="B364" s="60">
        <v>521111</v>
      </c>
      <c r="C364" s="41" t="s">
        <v>90</v>
      </c>
      <c r="D364" s="60"/>
      <c r="E364" s="60"/>
      <c r="F364" s="42"/>
      <c r="G364" s="42">
        <f>SUM(G365:G368)</f>
        <v>45000000</v>
      </c>
      <c r="H364" s="210" t="b">
        <f t="shared" si="10"/>
        <v>1</v>
      </c>
      <c r="I364" s="210"/>
      <c r="J364" s="210"/>
    </row>
    <row r="365" spans="1:10" ht="13.8" x14ac:dyDescent="0.25">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3.8" x14ac:dyDescent="0.25">
      <c r="A366" s="211" t="s">
        <v>4229</v>
      </c>
      <c r="B366" s="152"/>
      <c r="C366" s="151" t="s">
        <v>4230</v>
      </c>
      <c r="D366" s="152">
        <v>48</v>
      </c>
      <c r="E366" s="152" t="s">
        <v>58</v>
      </c>
      <c r="F366" s="153">
        <v>500000</v>
      </c>
      <c r="G366" s="153">
        <f>ROUNDDOWN(D366*F366,-3)</f>
        <v>24000000</v>
      </c>
      <c r="H366" s="210" t="b">
        <f t="shared" si="10"/>
        <v>1</v>
      </c>
      <c r="I366" s="210"/>
      <c r="J366" s="210"/>
    </row>
    <row r="367" spans="1:10" ht="13.8" x14ac:dyDescent="0.25">
      <c r="A367" s="7" t="s">
        <v>4231</v>
      </c>
      <c r="B367" s="152"/>
      <c r="C367" s="151" t="s">
        <v>4232</v>
      </c>
      <c r="D367" s="152">
        <v>12</v>
      </c>
      <c r="E367" s="152" t="s">
        <v>78</v>
      </c>
      <c r="F367" s="153">
        <v>500000</v>
      </c>
      <c r="G367" s="153">
        <f>ROUNDDOWN(D367*F367,-3)</f>
        <v>6000000</v>
      </c>
      <c r="H367" s="210" t="b">
        <f t="shared" si="10"/>
        <v>1</v>
      </c>
      <c r="I367" s="210"/>
      <c r="J367" s="210"/>
    </row>
    <row r="368" spans="1:10" ht="13.8" x14ac:dyDescent="0.25">
      <c r="A368" s="7" t="s">
        <v>4233</v>
      </c>
      <c r="B368" s="152"/>
      <c r="C368" s="151" t="s">
        <v>4234</v>
      </c>
      <c r="D368" s="152">
        <v>60</v>
      </c>
      <c r="E368" s="152" t="s">
        <v>116</v>
      </c>
      <c r="F368" s="153">
        <v>200000</v>
      </c>
      <c r="G368" s="153">
        <f>ROUNDDOWN(D368*F368,-3)</f>
        <v>12000000</v>
      </c>
      <c r="H368" s="210" t="b">
        <f t="shared" si="10"/>
        <v>1</v>
      </c>
      <c r="I368" s="210"/>
      <c r="J368" s="210"/>
    </row>
    <row r="369" spans="1:10" ht="13.8" x14ac:dyDescent="0.25">
      <c r="A369" s="7" t="s">
        <v>4235</v>
      </c>
      <c r="B369" s="60">
        <v>521811</v>
      </c>
      <c r="C369" s="41" t="s">
        <v>64</v>
      </c>
      <c r="D369" s="60"/>
      <c r="E369" s="60"/>
      <c r="F369" s="42"/>
      <c r="G369" s="42">
        <f>SUM(G370:G373)</f>
        <v>26000000</v>
      </c>
      <c r="H369" s="210" t="b">
        <f t="shared" si="10"/>
        <v>1</v>
      </c>
      <c r="I369" s="210"/>
      <c r="J369" s="210"/>
    </row>
    <row r="370" spans="1:10" ht="13.8" x14ac:dyDescent="0.25">
      <c r="A370" s="7" t="s">
        <v>4236</v>
      </c>
      <c r="B370" s="152"/>
      <c r="C370" s="151" t="s">
        <v>3625</v>
      </c>
      <c r="D370" s="152">
        <v>8</v>
      </c>
      <c r="E370" s="152" t="s">
        <v>9</v>
      </c>
      <c r="F370" s="153">
        <v>1000000</v>
      </c>
      <c r="G370" s="153">
        <f>ROUNDDOWN(D370*F370,-3)</f>
        <v>8000000</v>
      </c>
      <c r="H370" s="210" t="b">
        <f t="shared" si="10"/>
        <v>1</v>
      </c>
      <c r="I370" s="210"/>
      <c r="J370" s="210"/>
    </row>
    <row r="371" spans="1:10" ht="13.8" x14ac:dyDescent="0.25">
      <c r="A371" s="7" t="s">
        <v>4237</v>
      </c>
      <c r="B371" s="152"/>
      <c r="C371" s="151" t="s">
        <v>3626</v>
      </c>
      <c r="D371" s="152">
        <v>8</v>
      </c>
      <c r="E371" s="152" t="s">
        <v>9</v>
      </c>
      <c r="F371" s="153">
        <v>1500000</v>
      </c>
      <c r="G371" s="153">
        <f>ROUNDDOWN(D371*F371,-3)</f>
        <v>12000000</v>
      </c>
      <c r="H371" s="210" t="b">
        <f t="shared" si="10"/>
        <v>1</v>
      </c>
      <c r="I371" s="210"/>
      <c r="J371" s="210"/>
    </row>
    <row r="372" spans="1:10" ht="13.8" x14ac:dyDescent="0.25">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3.8" x14ac:dyDescent="0.25">
      <c r="A373" s="211" t="s">
        <v>4240</v>
      </c>
      <c r="B373" s="152"/>
      <c r="C373" s="151" t="s">
        <v>4241</v>
      </c>
      <c r="D373" s="152">
        <v>200</v>
      </c>
      <c r="E373" s="152" t="s">
        <v>120</v>
      </c>
      <c r="F373" s="153">
        <v>25000</v>
      </c>
      <c r="G373" s="153">
        <f>ROUNDDOWN(D373*F373,-3)</f>
        <v>5000000</v>
      </c>
      <c r="H373" s="210" t="b">
        <f t="shared" si="10"/>
        <v>1</v>
      </c>
      <c r="I373" s="210"/>
      <c r="J373" s="210"/>
    </row>
    <row r="374" spans="1:10" ht="13.8" x14ac:dyDescent="0.25">
      <c r="A374" s="7" t="s">
        <v>4242</v>
      </c>
      <c r="B374" s="60">
        <v>523121</v>
      </c>
      <c r="C374" s="41" t="s">
        <v>99</v>
      </c>
      <c r="D374" s="60"/>
      <c r="E374" s="60"/>
      <c r="F374" s="42"/>
      <c r="G374" s="42">
        <f>SUM(G375:G379)</f>
        <v>29000000</v>
      </c>
      <c r="H374" s="210" t="b">
        <f t="shared" si="10"/>
        <v>1</v>
      </c>
      <c r="I374" s="210"/>
      <c r="J374" s="210"/>
    </row>
    <row r="375" spans="1:10" s="212" customFormat="1" ht="13.8" x14ac:dyDescent="0.25">
      <c r="A375" s="211" t="s">
        <v>4243</v>
      </c>
      <c r="B375" s="152"/>
      <c r="C375" s="151" t="s">
        <v>4244</v>
      </c>
      <c r="D375" s="152">
        <v>1</v>
      </c>
      <c r="E375" s="152" t="s">
        <v>42</v>
      </c>
      <c r="F375" s="153">
        <v>7200000</v>
      </c>
      <c r="G375" s="153">
        <f>ROUNDDOWN(D375*F375,-3)</f>
        <v>7200000</v>
      </c>
      <c r="H375" s="210" t="b">
        <f t="shared" si="10"/>
        <v>1</v>
      </c>
      <c r="I375" s="210"/>
      <c r="J375" s="210"/>
    </row>
    <row r="376" spans="1:10" ht="13.8" x14ac:dyDescent="0.25">
      <c r="A376" s="7" t="s">
        <v>4245</v>
      </c>
      <c r="B376" s="152"/>
      <c r="C376" s="151" t="s">
        <v>4246</v>
      </c>
      <c r="D376" s="152">
        <v>10</v>
      </c>
      <c r="E376" s="152" t="s">
        <v>42</v>
      </c>
      <c r="F376" s="153">
        <v>730000</v>
      </c>
      <c r="G376" s="153">
        <f>ROUNDDOWN(D376*F376,-3)</f>
        <v>7300000</v>
      </c>
      <c r="H376" s="210" t="b">
        <f t="shared" si="10"/>
        <v>1</v>
      </c>
      <c r="I376" s="210"/>
      <c r="J376" s="210"/>
    </row>
    <row r="377" spans="1:10" ht="13.8" x14ac:dyDescent="0.25">
      <c r="A377" s="7" t="s">
        <v>4247</v>
      </c>
      <c r="B377" s="152"/>
      <c r="C377" s="151" t="s">
        <v>4248</v>
      </c>
      <c r="D377" s="152">
        <v>10</v>
      </c>
      <c r="E377" s="152" t="s">
        <v>44</v>
      </c>
      <c r="F377" s="153">
        <v>730000</v>
      </c>
      <c r="G377" s="153">
        <f>ROUNDDOWN(D377*F377,-3)</f>
        <v>7300000</v>
      </c>
      <c r="H377" s="210" t="b">
        <f t="shared" si="10"/>
        <v>1</v>
      </c>
      <c r="I377" s="210"/>
      <c r="J377" s="210"/>
    </row>
    <row r="378" spans="1:10" ht="13.8" x14ac:dyDescent="0.25">
      <c r="A378" s="7" t="s">
        <v>4249</v>
      </c>
      <c r="B378" s="152"/>
      <c r="C378" s="151" t="s">
        <v>4250</v>
      </c>
      <c r="D378" s="152">
        <v>10</v>
      </c>
      <c r="E378" s="152" t="s">
        <v>44</v>
      </c>
      <c r="F378" s="153">
        <v>690000</v>
      </c>
      <c r="G378" s="153">
        <f>ROUNDDOWN(D378*F378,-3)</f>
        <v>6900000</v>
      </c>
      <c r="H378" s="210" t="b">
        <f t="shared" si="10"/>
        <v>1</v>
      </c>
      <c r="I378" s="210"/>
      <c r="J378" s="210"/>
    </row>
    <row r="379" spans="1:10" ht="13.8" x14ac:dyDescent="0.25">
      <c r="A379" s="7" t="s">
        <v>4251</v>
      </c>
      <c r="B379" s="152"/>
      <c r="C379" s="151" t="s">
        <v>4252</v>
      </c>
      <c r="D379" s="152">
        <v>1</v>
      </c>
      <c r="E379" s="152" t="s">
        <v>60</v>
      </c>
      <c r="F379" s="153">
        <v>300000</v>
      </c>
      <c r="G379" s="153">
        <f>ROUNDDOWN(D379*F379,-3)</f>
        <v>300000</v>
      </c>
      <c r="H379" s="210" t="b">
        <f t="shared" si="10"/>
        <v>1</v>
      </c>
      <c r="I379" s="210"/>
      <c r="J379" s="210"/>
    </row>
    <row r="380" spans="1:10" ht="13.8" x14ac:dyDescent="0.25">
      <c r="A380" s="7" t="s">
        <v>2268</v>
      </c>
      <c r="B380" s="135" t="s">
        <v>2269</v>
      </c>
      <c r="C380" s="133" t="s">
        <v>2270</v>
      </c>
      <c r="D380" s="135">
        <v>2</v>
      </c>
      <c r="E380" s="135" t="s">
        <v>42</v>
      </c>
      <c r="F380" s="136"/>
      <c r="G380" s="136">
        <f>G381</f>
        <v>540934000</v>
      </c>
      <c r="H380" s="210" t="b">
        <f t="shared" si="10"/>
        <v>1</v>
      </c>
      <c r="I380" s="210"/>
      <c r="J380" s="210"/>
    </row>
    <row r="381" spans="1:10" ht="13.8" x14ac:dyDescent="0.25">
      <c r="A381" s="7" t="s">
        <v>2271</v>
      </c>
      <c r="B381" s="138" t="s">
        <v>4253</v>
      </c>
      <c r="C381" s="137" t="s">
        <v>2273</v>
      </c>
      <c r="D381" s="138">
        <v>1</v>
      </c>
      <c r="E381" s="138" t="s">
        <v>42</v>
      </c>
      <c r="F381" s="139"/>
      <c r="G381" s="139">
        <f>G382</f>
        <v>540934000</v>
      </c>
      <c r="H381" s="210" t="b">
        <f t="shared" si="10"/>
        <v>1</v>
      </c>
      <c r="I381" s="210"/>
      <c r="J381" s="210"/>
    </row>
    <row r="382" spans="1:10" ht="13.8" x14ac:dyDescent="0.25">
      <c r="A382" s="7" t="s">
        <v>2289</v>
      </c>
      <c r="B382" s="58">
        <v>301</v>
      </c>
      <c r="C382" s="35" t="s">
        <v>2290</v>
      </c>
      <c r="D382" s="58"/>
      <c r="E382" s="58"/>
      <c r="F382" s="36"/>
      <c r="G382" s="36">
        <f>G383</f>
        <v>540934000</v>
      </c>
      <c r="H382" s="210" t="b">
        <f t="shared" si="10"/>
        <v>1</v>
      </c>
      <c r="I382" s="210"/>
      <c r="J382" s="210"/>
    </row>
    <row r="383" spans="1:10" ht="13.8" x14ac:dyDescent="0.25">
      <c r="A383" s="7" t="s">
        <v>2291</v>
      </c>
      <c r="B383" s="59" t="s">
        <v>8</v>
      </c>
      <c r="C383" s="38" t="s">
        <v>2292</v>
      </c>
      <c r="D383" s="59"/>
      <c r="E383" s="59"/>
      <c r="F383" s="39"/>
      <c r="G383" s="39">
        <f>G384</f>
        <v>540934000</v>
      </c>
      <c r="H383" s="210" t="b">
        <f t="shared" si="10"/>
        <v>1</v>
      </c>
      <c r="I383" s="210"/>
      <c r="J383" s="210"/>
    </row>
    <row r="384" spans="1:10" ht="13.8" x14ac:dyDescent="0.25">
      <c r="A384" s="7" t="s">
        <v>2293</v>
      </c>
      <c r="B384" s="60">
        <v>532111</v>
      </c>
      <c r="C384" s="41" t="s">
        <v>43</v>
      </c>
      <c r="D384" s="60"/>
      <c r="E384" s="60"/>
      <c r="F384" s="42"/>
      <c r="G384" s="42">
        <f>G385</f>
        <v>540934000</v>
      </c>
      <c r="H384" s="210" t="b">
        <f t="shared" si="10"/>
        <v>1</v>
      </c>
      <c r="I384" s="210"/>
      <c r="J384" s="210"/>
    </row>
    <row r="385" spans="1:10" ht="13.8" x14ac:dyDescent="0.25">
      <c r="A385" s="7" t="s">
        <v>2294</v>
      </c>
      <c r="B385" s="152"/>
      <c r="C385" s="151" t="s">
        <v>4258</v>
      </c>
      <c r="D385" s="152">
        <v>1</v>
      </c>
      <c r="E385" s="152" t="s">
        <v>42</v>
      </c>
      <c r="F385" s="153">
        <v>540934000</v>
      </c>
      <c r="G385" s="153">
        <f>ROUNDDOWN(D385*F385,-3)</f>
        <v>540934000</v>
      </c>
      <c r="H385" s="210" t="b">
        <f t="shared" si="10"/>
        <v>1</v>
      </c>
      <c r="I385" s="210"/>
      <c r="J385" s="210"/>
    </row>
    <row r="386" spans="1:10" ht="13.8" x14ac:dyDescent="0.25">
      <c r="A386" s="7" t="s">
        <v>2465</v>
      </c>
      <c r="B386" s="135" t="s">
        <v>2466</v>
      </c>
      <c r="C386" s="133" t="s">
        <v>2467</v>
      </c>
      <c r="D386" s="135">
        <v>5</v>
      </c>
      <c r="E386" s="135" t="s">
        <v>4315</v>
      </c>
      <c r="F386" s="136"/>
      <c r="G386" s="136">
        <f>SUM(G387,G427,G469)</f>
        <v>1538790000</v>
      </c>
      <c r="H386" s="210" t="b">
        <f t="shared" si="10"/>
        <v>1</v>
      </c>
      <c r="I386" s="210"/>
      <c r="J386" s="210"/>
    </row>
    <row r="387" spans="1:10" ht="13.8" x14ac:dyDescent="0.25">
      <c r="A387" s="7" t="s">
        <v>2468</v>
      </c>
      <c r="B387" s="138" t="s">
        <v>4316</v>
      </c>
      <c r="C387" s="137" t="s">
        <v>2470</v>
      </c>
      <c r="D387" s="138">
        <v>1</v>
      </c>
      <c r="E387" s="138" t="s">
        <v>4315</v>
      </c>
      <c r="F387" s="139"/>
      <c r="G387" s="139">
        <f>G388</f>
        <v>615138000</v>
      </c>
      <c r="H387" s="210" t="b">
        <f t="shared" si="10"/>
        <v>1</v>
      </c>
      <c r="I387" s="210"/>
      <c r="J387" s="210"/>
    </row>
    <row r="388" spans="1:10" ht="13.8" x14ac:dyDescent="0.25">
      <c r="A388" s="7" t="s">
        <v>2739</v>
      </c>
      <c r="B388" s="58">
        <v>301</v>
      </c>
      <c r="C388" s="35" t="s">
        <v>2740</v>
      </c>
      <c r="D388" s="58"/>
      <c r="E388" s="58"/>
      <c r="F388" s="36"/>
      <c r="G388" s="36">
        <f>SUM(G389,G401,G415)</f>
        <v>615138000</v>
      </c>
      <c r="H388" s="210" t="b">
        <f t="shared" si="10"/>
        <v>1</v>
      </c>
      <c r="I388" s="210"/>
      <c r="J388" s="210"/>
    </row>
    <row r="389" spans="1:10" ht="13.8" x14ac:dyDescent="0.25">
      <c r="A389" s="7" t="s">
        <v>2741</v>
      </c>
      <c r="B389" s="59" t="s">
        <v>8</v>
      </c>
      <c r="C389" s="38" t="s">
        <v>129</v>
      </c>
      <c r="D389" s="59"/>
      <c r="E389" s="59"/>
      <c r="F389" s="39"/>
      <c r="G389" s="39">
        <f>SUM(G390,G394,G396,G399)</f>
        <v>101050000</v>
      </c>
      <c r="H389" s="210" t="b">
        <f t="shared" si="10"/>
        <v>1</v>
      </c>
      <c r="I389" s="210"/>
      <c r="J389" s="210"/>
    </row>
    <row r="390" spans="1:10" ht="13.8" x14ac:dyDescent="0.25">
      <c r="A390" s="7" t="s">
        <v>2742</v>
      </c>
      <c r="B390" s="60">
        <v>521211</v>
      </c>
      <c r="C390" s="41" t="s">
        <v>7</v>
      </c>
      <c r="D390" s="60"/>
      <c r="E390" s="60"/>
      <c r="F390" s="42"/>
      <c r="G390" s="42">
        <f>SUM(G391:G393)</f>
        <v>22650000</v>
      </c>
      <c r="H390" s="210" t="b">
        <f t="shared" si="10"/>
        <v>1</v>
      </c>
      <c r="I390" s="210"/>
      <c r="J390" s="210"/>
    </row>
    <row r="391" spans="1:10" ht="13.8" x14ac:dyDescent="0.25">
      <c r="A391" s="7" t="s">
        <v>2743</v>
      </c>
      <c r="B391" s="152"/>
      <c r="C391" s="151" t="s">
        <v>3598</v>
      </c>
      <c r="D391" s="152">
        <v>6</v>
      </c>
      <c r="E391" s="152" t="s">
        <v>9</v>
      </c>
      <c r="F391" s="153">
        <v>1500000</v>
      </c>
      <c r="G391" s="153">
        <f>ROUNDDOWN(D391*F391,-3)</f>
        <v>9000000</v>
      </c>
      <c r="H391" s="210" t="b">
        <f t="shared" si="10"/>
        <v>1</v>
      </c>
      <c r="I391" s="210"/>
      <c r="J391" s="210"/>
    </row>
    <row r="392" spans="1:10" ht="13.8" x14ac:dyDescent="0.25">
      <c r="A392" s="7" t="s">
        <v>2744</v>
      </c>
      <c r="B392" s="152"/>
      <c r="C392" s="151" t="s">
        <v>4420</v>
      </c>
      <c r="D392" s="152">
        <v>70</v>
      </c>
      <c r="E392" s="152" t="s">
        <v>10</v>
      </c>
      <c r="F392" s="153">
        <v>70000</v>
      </c>
      <c r="G392" s="153">
        <f>ROUNDDOWN(D392*F392,-3)</f>
        <v>4900000</v>
      </c>
      <c r="H392" s="210" t="b">
        <f t="shared" si="10"/>
        <v>1</v>
      </c>
      <c r="I392" s="210"/>
      <c r="J392" s="210"/>
    </row>
    <row r="393" spans="1:10" ht="13.8" x14ac:dyDescent="0.25">
      <c r="A393" s="7" t="s">
        <v>2746</v>
      </c>
      <c r="B393" s="152"/>
      <c r="C393" s="151" t="s">
        <v>4421</v>
      </c>
      <c r="D393" s="152">
        <v>25</v>
      </c>
      <c r="E393" s="152" t="s">
        <v>176</v>
      </c>
      <c r="F393" s="153">
        <v>350000</v>
      </c>
      <c r="G393" s="153">
        <f>ROUNDDOWN(D393*F393,-3)</f>
        <v>8750000</v>
      </c>
      <c r="H393" s="210" t="b">
        <f t="shared" si="10"/>
        <v>1</v>
      </c>
      <c r="I393" s="210"/>
      <c r="J393" s="210"/>
    </row>
    <row r="394" spans="1:10" ht="13.8" x14ac:dyDescent="0.25">
      <c r="A394" s="7" t="s">
        <v>2747</v>
      </c>
      <c r="B394" s="60">
        <v>521219</v>
      </c>
      <c r="C394" s="41" t="s">
        <v>53</v>
      </c>
      <c r="D394" s="60"/>
      <c r="E394" s="60"/>
      <c r="F394" s="42"/>
      <c r="G394" s="42">
        <f>G395</f>
        <v>1000000</v>
      </c>
      <c r="H394" s="210" t="b">
        <f t="shared" si="10"/>
        <v>1</v>
      </c>
      <c r="I394" s="210"/>
      <c r="J394" s="210"/>
    </row>
    <row r="395" spans="1:10" ht="13.8" x14ac:dyDescent="0.25">
      <c r="A395" s="7" t="s">
        <v>2748</v>
      </c>
      <c r="B395" s="152"/>
      <c r="C395" s="151" t="s">
        <v>3722</v>
      </c>
      <c r="D395" s="152">
        <v>4</v>
      </c>
      <c r="E395" s="152" t="s">
        <v>2749</v>
      </c>
      <c r="F395" s="153">
        <v>250000</v>
      </c>
      <c r="G395" s="153">
        <f>ROUNDDOWN(D395*F395,-3)</f>
        <v>1000000</v>
      </c>
      <c r="H395" s="210" t="b">
        <f t="shared" si="10"/>
        <v>1</v>
      </c>
      <c r="I395" s="210"/>
      <c r="J395" s="210"/>
    </row>
    <row r="396" spans="1:10" ht="13.8" x14ac:dyDescent="0.25">
      <c r="A396" s="7" t="s">
        <v>2750</v>
      </c>
      <c r="B396" s="60">
        <v>521811</v>
      </c>
      <c r="C396" s="41" t="s">
        <v>64</v>
      </c>
      <c r="D396" s="60"/>
      <c r="E396" s="60"/>
      <c r="F396" s="42"/>
      <c r="G396" s="42">
        <f>SUM(G397:G398)</f>
        <v>15000000</v>
      </c>
      <c r="H396" s="210" t="b">
        <f t="shared" si="10"/>
        <v>1</v>
      </c>
      <c r="I396" s="210"/>
      <c r="J396" s="210"/>
    </row>
    <row r="397" spans="1:10" ht="13.8" x14ac:dyDescent="0.25">
      <c r="A397" s="7" t="s">
        <v>2751</v>
      </c>
      <c r="B397" s="152"/>
      <c r="C397" s="151" t="s">
        <v>3625</v>
      </c>
      <c r="D397" s="152">
        <v>6</v>
      </c>
      <c r="E397" s="152" t="s">
        <v>106</v>
      </c>
      <c r="F397" s="153">
        <v>1000000</v>
      </c>
      <c r="G397" s="153">
        <f>ROUNDDOWN(D397*F397,-3)</f>
        <v>6000000</v>
      </c>
      <c r="H397" s="210" t="b">
        <f t="shared" si="10"/>
        <v>1</v>
      </c>
      <c r="I397" s="210"/>
      <c r="J397" s="210"/>
    </row>
    <row r="398" spans="1:10" ht="13.8" x14ac:dyDescent="0.25">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3.8" x14ac:dyDescent="0.25">
      <c r="A399" s="7" t="s">
        <v>2753</v>
      </c>
      <c r="B399" s="60">
        <v>524111</v>
      </c>
      <c r="C399" s="41" t="s">
        <v>19</v>
      </c>
      <c r="D399" s="60"/>
      <c r="E399" s="60"/>
      <c r="F399" s="42"/>
      <c r="G399" s="42">
        <f>G400</f>
        <v>62400000</v>
      </c>
      <c r="H399" s="210" t="b">
        <f t="shared" si="13"/>
        <v>1</v>
      </c>
      <c r="I399" s="210"/>
      <c r="J399" s="210"/>
    </row>
    <row r="400" spans="1:10" ht="13.8" x14ac:dyDescent="0.25">
      <c r="A400" s="7" t="s">
        <v>2754</v>
      </c>
      <c r="B400" s="152"/>
      <c r="C400" s="151" t="s">
        <v>4422</v>
      </c>
      <c r="D400" s="152">
        <v>12</v>
      </c>
      <c r="E400" s="152" t="s">
        <v>10</v>
      </c>
      <c r="F400" s="153">
        <v>5200000</v>
      </c>
      <c r="G400" s="153">
        <f>ROUNDDOWN(D400*F400,-3)</f>
        <v>62400000</v>
      </c>
      <c r="H400" s="210" t="b">
        <f t="shared" si="13"/>
        <v>1</v>
      </c>
      <c r="I400" s="210"/>
      <c r="J400" s="210"/>
    </row>
    <row r="401" spans="1:10" ht="13.8" x14ac:dyDescent="0.25">
      <c r="A401" s="7" t="s">
        <v>2756</v>
      </c>
      <c r="B401" s="59" t="s">
        <v>511</v>
      </c>
      <c r="C401" s="38" t="s">
        <v>130</v>
      </c>
      <c r="D401" s="59"/>
      <c r="E401" s="59"/>
      <c r="F401" s="39"/>
      <c r="G401" s="39">
        <f>SUM(G402,G406,G408,G411,G413)</f>
        <v>345988000</v>
      </c>
      <c r="H401" s="210" t="b">
        <f t="shared" si="13"/>
        <v>1</v>
      </c>
      <c r="I401" s="210"/>
      <c r="J401" s="210"/>
    </row>
    <row r="402" spans="1:10" ht="13.8" x14ac:dyDescent="0.25">
      <c r="A402" s="7" t="s">
        <v>2757</v>
      </c>
      <c r="B402" s="60">
        <v>521211</v>
      </c>
      <c r="C402" s="41" t="s">
        <v>7</v>
      </c>
      <c r="D402" s="60"/>
      <c r="E402" s="60"/>
      <c r="F402" s="42"/>
      <c r="G402" s="42">
        <f>SUM(G403:G405)</f>
        <v>49300000</v>
      </c>
      <c r="H402" s="210" t="b">
        <f t="shared" si="13"/>
        <v>1</v>
      </c>
      <c r="I402" s="210"/>
      <c r="J402" s="210"/>
    </row>
    <row r="403" spans="1:10" ht="13.8" x14ac:dyDescent="0.25">
      <c r="A403" s="7" t="s">
        <v>2758</v>
      </c>
      <c r="B403" s="152"/>
      <c r="C403" s="151" t="s">
        <v>3598</v>
      </c>
      <c r="D403" s="152">
        <v>10</v>
      </c>
      <c r="E403" s="152" t="s">
        <v>9</v>
      </c>
      <c r="F403" s="153">
        <v>1500000</v>
      </c>
      <c r="G403" s="153">
        <f>ROUNDDOWN(D403*F403,-3)</f>
        <v>15000000</v>
      </c>
      <c r="H403" s="210" t="b">
        <f t="shared" si="13"/>
        <v>1</v>
      </c>
      <c r="I403" s="210"/>
      <c r="J403" s="210"/>
    </row>
    <row r="404" spans="1:10" ht="13.8" x14ac:dyDescent="0.25">
      <c r="A404" s="7" t="s">
        <v>2759</v>
      </c>
      <c r="B404" s="152"/>
      <c r="C404" s="151" t="s">
        <v>4420</v>
      </c>
      <c r="D404" s="152">
        <v>290</v>
      </c>
      <c r="E404" s="152" t="s">
        <v>10</v>
      </c>
      <c r="F404" s="153">
        <v>70000</v>
      </c>
      <c r="G404" s="153">
        <f>ROUNDDOWN(D404*F404,-3)</f>
        <v>20300000</v>
      </c>
      <c r="H404" s="210" t="b">
        <f t="shared" si="13"/>
        <v>1</v>
      </c>
      <c r="I404" s="210"/>
      <c r="J404" s="210"/>
    </row>
    <row r="405" spans="1:10" ht="13.8" x14ac:dyDescent="0.25">
      <c r="A405" s="7" t="s">
        <v>2760</v>
      </c>
      <c r="B405" s="152"/>
      <c r="C405" s="151" t="s">
        <v>4421</v>
      </c>
      <c r="D405" s="152">
        <v>40</v>
      </c>
      <c r="E405" s="152" t="s">
        <v>176</v>
      </c>
      <c r="F405" s="153">
        <v>350000</v>
      </c>
      <c r="G405" s="153">
        <f>ROUNDDOWN(D405*F405,-3)</f>
        <v>14000000</v>
      </c>
      <c r="H405" s="210" t="b">
        <f t="shared" si="13"/>
        <v>1</v>
      </c>
      <c r="I405" s="210"/>
      <c r="J405" s="210"/>
    </row>
    <row r="406" spans="1:10" ht="13.8" x14ac:dyDescent="0.25">
      <c r="A406" s="7" t="s">
        <v>2761</v>
      </c>
      <c r="B406" s="60">
        <v>521219</v>
      </c>
      <c r="C406" s="41" t="s">
        <v>53</v>
      </c>
      <c r="D406" s="60"/>
      <c r="E406" s="60"/>
      <c r="F406" s="42"/>
      <c r="G406" s="42">
        <f>G407</f>
        <v>1000000</v>
      </c>
      <c r="H406" s="210" t="b">
        <f t="shared" si="13"/>
        <v>1</v>
      </c>
      <c r="I406" s="210"/>
      <c r="J406" s="210"/>
    </row>
    <row r="407" spans="1:10" ht="13.8" x14ac:dyDescent="0.25">
      <c r="A407" s="7" t="s">
        <v>2762</v>
      </c>
      <c r="B407" s="152"/>
      <c r="C407" s="151" t="s">
        <v>3722</v>
      </c>
      <c r="D407" s="152">
        <v>4</v>
      </c>
      <c r="E407" s="152" t="s">
        <v>9</v>
      </c>
      <c r="F407" s="153">
        <v>250000</v>
      </c>
      <c r="G407" s="153">
        <f>ROUNDDOWN(D407*F407,-3)</f>
        <v>1000000</v>
      </c>
      <c r="H407" s="210" t="b">
        <f t="shared" si="13"/>
        <v>1</v>
      </c>
      <c r="I407" s="210"/>
      <c r="J407" s="210"/>
    </row>
    <row r="408" spans="1:10" ht="13.8" x14ac:dyDescent="0.25">
      <c r="A408" s="7" t="s">
        <v>2763</v>
      </c>
      <c r="B408" s="60">
        <v>521811</v>
      </c>
      <c r="C408" s="41" t="s">
        <v>64</v>
      </c>
      <c r="D408" s="60"/>
      <c r="E408" s="60"/>
      <c r="F408" s="42"/>
      <c r="G408" s="42">
        <f>SUM(G409:G410)</f>
        <v>25000000</v>
      </c>
      <c r="H408" s="210" t="b">
        <f t="shared" si="13"/>
        <v>1</v>
      </c>
      <c r="I408" s="210"/>
      <c r="J408" s="210"/>
    </row>
    <row r="409" spans="1:10" ht="13.8" x14ac:dyDescent="0.25">
      <c r="A409" s="7" t="s">
        <v>2764</v>
      </c>
      <c r="B409" s="152"/>
      <c r="C409" s="151" t="s">
        <v>3625</v>
      </c>
      <c r="D409" s="152">
        <v>10</v>
      </c>
      <c r="E409" s="152" t="s">
        <v>106</v>
      </c>
      <c r="F409" s="153">
        <v>1000000</v>
      </c>
      <c r="G409" s="153">
        <f>ROUNDDOWN(D409*F409,-3)</f>
        <v>10000000</v>
      </c>
      <c r="H409" s="210" t="b">
        <f t="shared" si="13"/>
        <v>1</v>
      </c>
      <c r="I409" s="210"/>
      <c r="J409" s="210"/>
    </row>
    <row r="410" spans="1:10" ht="13.8" x14ac:dyDescent="0.25">
      <c r="A410" s="7" t="s">
        <v>2765</v>
      </c>
      <c r="B410" s="152"/>
      <c r="C410" s="151" t="s">
        <v>3626</v>
      </c>
      <c r="D410" s="152">
        <v>10</v>
      </c>
      <c r="E410" s="152" t="s">
        <v>106</v>
      </c>
      <c r="F410" s="153">
        <v>1500000</v>
      </c>
      <c r="G410" s="153">
        <f>ROUNDDOWN(D410*F410,-3)</f>
        <v>15000000</v>
      </c>
      <c r="H410" s="210" t="b">
        <f t="shared" si="13"/>
        <v>1</v>
      </c>
      <c r="I410" s="210"/>
      <c r="J410" s="210"/>
    </row>
    <row r="411" spans="1:10" ht="13.8" x14ac:dyDescent="0.25">
      <c r="A411" s="7" t="s">
        <v>2766</v>
      </c>
      <c r="B411" s="60">
        <v>522151</v>
      </c>
      <c r="C411" s="41" t="s">
        <v>11</v>
      </c>
      <c r="D411" s="60"/>
      <c r="E411" s="60"/>
      <c r="F411" s="42"/>
      <c r="G411" s="42">
        <f>G412</f>
        <v>12000000</v>
      </c>
      <c r="H411" s="210" t="b">
        <f t="shared" si="13"/>
        <v>1</v>
      </c>
      <c r="I411" s="210"/>
      <c r="J411" s="210"/>
    </row>
    <row r="412" spans="1:10" ht="13.8" x14ac:dyDescent="0.25">
      <c r="A412" s="7" t="s">
        <v>2767</v>
      </c>
      <c r="B412" s="152"/>
      <c r="C412" s="151" t="s">
        <v>3715</v>
      </c>
      <c r="D412" s="152">
        <v>12</v>
      </c>
      <c r="E412" s="152" t="s">
        <v>54</v>
      </c>
      <c r="F412" s="153">
        <v>1000000</v>
      </c>
      <c r="G412" s="153">
        <f>ROUNDDOWN(D412*F412,-3)</f>
        <v>12000000</v>
      </c>
      <c r="H412" s="210" t="b">
        <f t="shared" si="13"/>
        <v>1</v>
      </c>
      <c r="I412" s="210"/>
      <c r="J412" s="210"/>
    </row>
    <row r="413" spans="1:10" ht="13.8" x14ac:dyDescent="0.25">
      <c r="A413" s="7" t="s">
        <v>2768</v>
      </c>
      <c r="B413" s="60">
        <v>524111</v>
      </c>
      <c r="C413" s="41" t="s">
        <v>19</v>
      </c>
      <c r="D413" s="60"/>
      <c r="E413" s="60"/>
      <c r="F413" s="42"/>
      <c r="G413" s="42">
        <f>G414</f>
        <v>258688000</v>
      </c>
      <c r="H413" s="210" t="b">
        <f t="shared" si="13"/>
        <v>1</v>
      </c>
      <c r="I413" s="210"/>
      <c r="J413" s="210"/>
    </row>
    <row r="414" spans="1:10" ht="13.8" x14ac:dyDescent="0.25">
      <c r="A414" s="7" t="s">
        <v>2769</v>
      </c>
      <c r="B414" s="152"/>
      <c r="C414" s="151" t="s">
        <v>4423</v>
      </c>
      <c r="D414" s="152">
        <v>40</v>
      </c>
      <c r="E414" s="152" t="s">
        <v>10</v>
      </c>
      <c r="F414" s="153">
        <v>6467200</v>
      </c>
      <c r="G414" s="153">
        <f>ROUNDDOWN(D414*F414,-3)</f>
        <v>258688000</v>
      </c>
      <c r="H414" s="210" t="b">
        <f t="shared" si="13"/>
        <v>1</v>
      </c>
      <c r="I414" s="210"/>
      <c r="J414" s="210"/>
    </row>
    <row r="415" spans="1:10" ht="13.8" x14ac:dyDescent="0.25">
      <c r="A415" s="7" t="s">
        <v>2771</v>
      </c>
      <c r="B415" s="59" t="s">
        <v>512</v>
      </c>
      <c r="C415" s="38" t="s">
        <v>131</v>
      </c>
      <c r="D415" s="59"/>
      <c r="E415" s="59"/>
      <c r="F415" s="39"/>
      <c r="G415" s="39">
        <f>SUM(G416,G420,G423,G425)</f>
        <v>168100000</v>
      </c>
      <c r="H415" s="210" t="b">
        <f t="shared" si="13"/>
        <v>1</v>
      </c>
      <c r="I415" s="210"/>
      <c r="J415" s="210"/>
    </row>
    <row r="416" spans="1:10" ht="13.8" x14ac:dyDescent="0.25">
      <c r="A416" s="7" t="s">
        <v>2772</v>
      </c>
      <c r="B416" s="60">
        <v>521211</v>
      </c>
      <c r="C416" s="41" t="s">
        <v>7</v>
      </c>
      <c r="D416" s="60"/>
      <c r="E416" s="60"/>
      <c r="F416" s="42"/>
      <c r="G416" s="42">
        <f>SUM(G417:G419)</f>
        <v>39500000</v>
      </c>
      <c r="H416" s="210" t="b">
        <f t="shared" si="13"/>
        <v>1</v>
      </c>
      <c r="I416" s="210"/>
      <c r="J416" s="210"/>
    </row>
    <row r="417" spans="1:10" ht="13.8" x14ac:dyDescent="0.25">
      <c r="A417" s="7" t="s">
        <v>2773</v>
      </c>
      <c r="B417" s="152"/>
      <c r="C417" s="151" t="s">
        <v>3598</v>
      </c>
      <c r="D417" s="152">
        <v>10</v>
      </c>
      <c r="E417" s="152" t="s">
        <v>9</v>
      </c>
      <c r="F417" s="153">
        <v>1500000</v>
      </c>
      <c r="G417" s="153">
        <f>ROUNDDOWN(D417*F417,-3)</f>
        <v>15000000</v>
      </c>
      <c r="H417" s="210" t="b">
        <f t="shared" si="13"/>
        <v>1</v>
      </c>
      <c r="I417" s="210"/>
      <c r="J417" s="210"/>
    </row>
    <row r="418" spans="1:10" ht="13.8" x14ac:dyDescent="0.25">
      <c r="A418" s="7" t="s">
        <v>2774</v>
      </c>
      <c r="B418" s="152"/>
      <c r="C418" s="151" t="s">
        <v>4420</v>
      </c>
      <c r="D418" s="152">
        <v>150</v>
      </c>
      <c r="E418" s="152" t="s">
        <v>10</v>
      </c>
      <c r="F418" s="153">
        <v>70000</v>
      </c>
      <c r="G418" s="153">
        <f>ROUNDDOWN(D418*F418,-3)</f>
        <v>10500000</v>
      </c>
      <c r="H418" s="210" t="b">
        <f t="shared" si="13"/>
        <v>1</v>
      </c>
      <c r="I418" s="210"/>
      <c r="J418" s="210"/>
    </row>
    <row r="419" spans="1:10" ht="13.8" x14ac:dyDescent="0.25">
      <c r="A419" s="7" t="s">
        <v>2775</v>
      </c>
      <c r="B419" s="152"/>
      <c r="C419" s="151" t="s">
        <v>4421</v>
      </c>
      <c r="D419" s="152">
        <v>40</v>
      </c>
      <c r="E419" s="152" t="s">
        <v>176</v>
      </c>
      <c r="F419" s="153">
        <v>350000</v>
      </c>
      <c r="G419" s="153">
        <f>ROUNDDOWN(D419*F419,-3)</f>
        <v>14000000</v>
      </c>
      <c r="H419" s="210" t="b">
        <f t="shared" si="13"/>
        <v>1</v>
      </c>
      <c r="I419" s="210"/>
      <c r="J419" s="210"/>
    </row>
    <row r="420" spans="1:10" ht="13.8" x14ac:dyDescent="0.25">
      <c r="A420" s="7" t="s">
        <v>2776</v>
      </c>
      <c r="B420" s="60">
        <v>521811</v>
      </c>
      <c r="C420" s="41" t="s">
        <v>64</v>
      </c>
      <c r="D420" s="60"/>
      <c r="E420" s="60"/>
      <c r="F420" s="42"/>
      <c r="G420" s="42">
        <f>SUM(G421:G422)</f>
        <v>25000000</v>
      </c>
      <c r="H420" s="210" t="b">
        <f t="shared" si="13"/>
        <v>1</v>
      </c>
      <c r="I420" s="210"/>
      <c r="J420" s="210"/>
    </row>
    <row r="421" spans="1:10" ht="13.8" x14ac:dyDescent="0.25">
      <c r="A421" s="7" t="s">
        <v>2777</v>
      </c>
      <c r="B421" s="152"/>
      <c r="C421" s="151" t="s">
        <v>3625</v>
      </c>
      <c r="D421" s="152">
        <v>10</v>
      </c>
      <c r="E421" s="152" t="s">
        <v>106</v>
      </c>
      <c r="F421" s="153">
        <v>1000000</v>
      </c>
      <c r="G421" s="153">
        <f>ROUNDDOWN(D421*F421,-3)</f>
        <v>10000000</v>
      </c>
      <c r="H421" s="210" t="b">
        <f t="shared" si="13"/>
        <v>1</v>
      </c>
      <c r="I421" s="210"/>
      <c r="J421" s="210"/>
    </row>
    <row r="422" spans="1:10" ht="13.8" x14ac:dyDescent="0.25">
      <c r="A422" s="7" t="s">
        <v>2778</v>
      </c>
      <c r="B422" s="152"/>
      <c r="C422" s="151" t="s">
        <v>3626</v>
      </c>
      <c r="D422" s="152">
        <v>10</v>
      </c>
      <c r="E422" s="152" t="s">
        <v>106</v>
      </c>
      <c r="F422" s="153">
        <v>1500000</v>
      </c>
      <c r="G422" s="153">
        <f>ROUNDDOWN(D422*F422,-3)</f>
        <v>15000000</v>
      </c>
      <c r="H422" s="210" t="b">
        <f t="shared" si="13"/>
        <v>1</v>
      </c>
      <c r="I422" s="210"/>
      <c r="J422" s="210"/>
    </row>
    <row r="423" spans="1:10" ht="13.8" x14ac:dyDescent="0.25">
      <c r="A423" s="7" t="s">
        <v>2779</v>
      </c>
      <c r="B423" s="60">
        <v>522151</v>
      </c>
      <c r="C423" s="41" t="s">
        <v>11</v>
      </c>
      <c r="D423" s="60"/>
      <c r="E423" s="60"/>
      <c r="F423" s="42"/>
      <c r="G423" s="42">
        <f>G424</f>
        <v>10000000</v>
      </c>
      <c r="H423" s="210" t="b">
        <f t="shared" si="13"/>
        <v>1</v>
      </c>
      <c r="I423" s="210"/>
      <c r="J423" s="210"/>
    </row>
    <row r="424" spans="1:10" ht="13.8" x14ac:dyDescent="0.25">
      <c r="A424" s="7" t="s">
        <v>2780</v>
      </c>
      <c r="B424" s="152"/>
      <c r="C424" s="151" t="s">
        <v>3715</v>
      </c>
      <c r="D424" s="152">
        <v>10</v>
      </c>
      <c r="E424" s="152" t="s">
        <v>54</v>
      </c>
      <c r="F424" s="153">
        <v>1000000</v>
      </c>
      <c r="G424" s="153">
        <f>ROUNDDOWN(D424*F424,-3)</f>
        <v>10000000</v>
      </c>
      <c r="H424" s="210" t="b">
        <f t="shared" si="13"/>
        <v>1</v>
      </c>
      <c r="I424" s="210"/>
      <c r="J424" s="210"/>
    </row>
    <row r="425" spans="1:10" ht="13.8" x14ac:dyDescent="0.25">
      <c r="A425" s="7" t="s">
        <v>2781</v>
      </c>
      <c r="B425" s="60">
        <v>524111</v>
      </c>
      <c r="C425" s="41" t="s">
        <v>19</v>
      </c>
      <c r="D425" s="60"/>
      <c r="E425" s="60"/>
      <c r="F425" s="42"/>
      <c r="G425" s="42">
        <f>G426</f>
        <v>93600000</v>
      </c>
      <c r="H425" s="210" t="b">
        <f t="shared" si="13"/>
        <v>1</v>
      </c>
      <c r="I425" s="210"/>
      <c r="J425" s="210"/>
    </row>
    <row r="426" spans="1:10" ht="13.8" x14ac:dyDescent="0.25">
      <c r="A426" s="7" t="s">
        <v>2782</v>
      </c>
      <c r="B426" s="152"/>
      <c r="C426" s="151" t="s">
        <v>4424</v>
      </c>
      <c r="D426" s="152">
        <v>18</v>
      </c>
      <c r="E426" s="152" t="s">
        <v>10</v>
      </c>
      <c r="F426" s="153">
        <v>5200000</v>
      </c>
      <c r="G426" s="153">
        <f>ROUNDDOWN(D426*F426,-3)</f>
        <v>93600000</v>
      </c>
      <c r="H426" s="210" t="b">
        <f t="shared" si="13"/>
        <v>1</v>
      </c>
      <c r="I426" s="210"/>
      <c r="J426" s="210"/>
    </row>
    <row r="427" spans="1:10" ht="13.8" x14ac:dyDescent="0.25">
      <c r="A427" s="7" t="s">
        <v>2784</v>
      </c>
      <c r="B427" s="138" t="s">
        <v>4425</v>
      </c>
      <c r="C427" s="137" t="s">
        <v>2786</v>
      </c>
      <c r="D427" s="138">
        <v>2</v>
      </c>
      <c r="E427" s="138" t="s">
        <v>4315</v>
      </c>
      <c r="F427" s="139"/>
      <c r="G427" s="139">
        <f>SUM(G428,G457)</f>
        <v>633732000</v>
      </c>
      <c r="H427" s="210" t="b">
        <f t="shared" si="13"/>
        <v>1</v>
      </c>
      <c r="I427" s="210"/>
      <c r="J427" s="210"/>
    </row>
    <row r="428" spans="1:10" ht="13.8" x14ac:dyDescent="0.25">
      <c r="A428" s="7" t="s">
        <v>3052</v>
      </c>
      <c r="B428" s="58">
        <v>301</v>
      </c>
      <c r="C428" s="35" t="s">
        <v>3053</v>
      </c>
      <c r="D428" s="58"/>
      <c r="E428" s="58"/>
      <c r="F428" s="36"/>
      <c r="G428" s="36">
        <f>SUM(G429,G440)</f>
        <v>507200000</v>
      </c>
      <c r="H428" s="210" t="b">
        <f t="shared" si="13"/>
        <v>1</v>
      </c>
      <c r="I428" s="210"/>
      <c r="J428" s="210"/>
    </row>
    <row r="429" spans="1:10" ht="13.8" x14ac:dyDescent="0.25">
      <c r="A429" s="7" t="s">
        <v>3054</v>
      </c>
      <c r="B429" s="59" t="s">
        <v>8</v>
      </c>
      <c r="C429" s="38" t="s">
        <v>174</v>
      </c>
      <c r="D429" s="59"/>
      <c r="E429" s="59"/>
      <c r="F429" s="39"/>
      <c r="G429" s="39">
        <f>SUM(G430,G436,G438)</f>
        <v>295200000</v>
      </c>
      <c r="H429" s="210" t="b">
        <f t="shared" si="13"/>
        <v>1</v>
      </c>
      <c r="I429" s="210"/>
      <c r="J429" s="210"/>
    </row>
    <row r="430" spans="1:10" ht="13.8" x14ac:dyDescent="0.25">
      <c r="A430" s="7" t="s">
        <v>3055</v>
      </c>
      <c r="B430" s="60">
        <v>521211</v>
      </c>
      <c r="C430" s="41" t="s">
        <v>7</v>
      </c>
      <c r="D430" s="60"/>
      <c r="E430" s="60"/>
      <c r="F430" s="42"/>
      <c r="G430" s="42">
        <f>SUM(G431:G435)</f>
        <v>46000000</v>
      </c>
      <c r="H430" s="210" t="b">
        <f t="shared" si="13"/>
        <v>1</v>
      </c>
      <c r="I430" s="210"/>
      <c r="J430" s="210"/>
    </row>
    <row r="431" spans="1:10" ht="13.8" x14ac:dyDescent="0.25">
      <c r="A431" s="7" t="s">
        <v>3056</v>
      </c>
      <c r="B431" s="152"/>
      <c r="C431" s="151" t="s">
        <v>3598</v>
      </c>
      <c r="D431" s="152">
        <v>5</v>
      </c>
      <c r="E431" s="152" t="s">
        <v>9</v>
      </c>
      <c r="F431" s="153">
        <v>1500000</v>
      </c>
      <c r="G431" s="153">
        <f>ROUNDDOWN(D431*F431,-3)</f>
        <v>7500000</v>
      </c>
      <c r="H431" s="210" t="b">
        <f t="shared" si="13"/>
        <v>1</v>
      </c>
      <c r="I431" s="210"/>
      <c r="J431" s="210"/>
    </row>
    <row r="432" spans="1:10" ht="13.8" x14ac:dyDescent="0.25">
      <c r="A432" s="7" t="s">
        <v>3057</v>
      </c>
      <c r="B432" s="152"/>
      <c r="C432" s="151" t="s">
        <v>4420</v>
      </c>
      <c r="D432" s="152">
        <v>280</v>
      </c>
      <c r="E432" s="152" t="s">
        <v>10</v>
      </c>
      <c r="F432" s="153">
        <v>75000</v>
      </c>
      <c r="G432" s="153">
        <f>ROUNDDOWN(D432*F432,-3)</f>
        <v>21000000</v>
      </c>
      <c r="H432" s="210" t="b">
        <f t="shared" si="13"/>
        <v>1</v>
      </c>
      <c r="I432" s="210"/>
      <c r="J432" s="210"/>
    </row>
    <row r="433" spans="1:10" ht="13.8" x14ac:dyDescent="0.25">
      <c r="A433" s="7" t="s">
        <v>3058</v>
      </c>
      <c r="B433" s="152"/>
      <c r="C433" s="151" t="s">
        <v>4421</v>
      </c>
      <c r="D433" s="152">
        <v>30</v>
      </c>
      <c r="E433" s="152" t="s">
        <v>176</v>
      </c>
      <c r="F433" s="153">
        <v>250000</v>
      </c>
      <c r="G433" s="153">
        <f>ROUNDDOWN(D433*F433,-3)</f>
        <v>7500000</v>
      </c>
      <c r="H433" s="210" t="b">
        <f t="shared" si="13"/>
        <v>1</v>
      </c>
      <c r="I433" s="210"/>
      <c r="J433" s="210"/>
    </row>
    <row r="434" spans="1:10" ht="13.8" x14ac:dyDescent="0.25">
      <c r="A434" s="7" t="s">
        <v>3059</v>
      </c>
      <c r="B434" s="152"/>
      <c r="C434" s="151" t="s">
        <v>3610</v>
      </c>
      <c r="D434" s="152">
        <v>4</v>
      </c>
      <c r="E434" s="152" t="s">
        <v>106</v>
      </c>
      <c r="F434" s="153">
        <v>1000000</v>
      </c>
      <c r="G434" s="153">
        <f>ROUNDDOWN(D434*F434,-3)</f>
        <v>4000000</v>
      </c>
      <c r="H434" s="210" t="b">
        <f t="shared" si="13"/>
        <v>1</v>
      </c>
      <c r="I434" s="210"/>
      <c r="J434" s="210"/>
    </row>
    <row r="435" spans="1:10" ht="13.8" x14ac:dyDescent="0.25">
      <c r="A435" s="7" t="s">
        <v>3060</v>
      </c>
      <c r="B435" s="152"/>
      <c r="C435" s="151" t="s">
        <v>3611</v>
      </c>
      <c r="D435" s="152">
        <v>4</v>
      </c>
      <c r="E435" s="152" t="s">
        <v>106</v>
      </c>
      <c r="F435" s="153">
        <v>1500000</v>
      </c>
      <c r="G435" s="153">
        <f>ROUNDDOWN(D435*F435,-3)</f>
        <v>6000000</v>
      </c>
      <c r="H435" s="210" t="b">
        <f t="shared" si="13"/>
        <v>1</v>
      </c>
      <c r="I435" s="210"/>
      <c r="J435" s="210"/>
    </row>
    <row r="436" spans="1:10" ht="13.8" x14ac:dyDescent="0.25">
      <c r="A436" s="7" t="s">
        <v>3061</v>
      </c>
      <c r="B436" s="60">
        <v>521219</v>
      </c>
      <c r="C436" s="41" t="s">
        <v>53</v>
      </c>
      <c r="D436" s="60"/>
      <c r="E436" s="60"/>
      <c r="F436" s="42"/>
      <c r="G436" s="42">
        <f>G437</f>
        <v>2000000</v>
      </c>
      <c r="H436" s="210" t="b">
        <f t="shared" si="13"/>
        <v>1</v>
      </c>
      <c r="I436" s="210"/>
      <c r="J436" s="210"/>
    </row>
    <row r="437" spans="1:10" ht="13.8" x14ac:dyDescent="0.25">
      <c r="A437" s="7" t="s">
        <v>3062</v>
      </c>
      <c r="B437" s="152"/>
      <c r="C437" s="151" t="s">
        <v>4508</v>
      </c>
      <c r="D437" s="152">
        <v>1</v>
      </c>
      <c r="E437" s="152" t="s">
        <v>153</v>
      </c>
      <c r="F437" s="153">
        <v>2000000</v>
      </c>
      <c r="G437" s="153">
        <f>ROUNDDOWN(D437*F437,-3)</f>
        <v>2000000</v>
      </c>
      <c r="H437" s="210" t="b">
        <f t="shared" si="13"/>
        <v>1</v>
      </c>
      <c r="I437" s="210"/>
      <c r="J437" s="210"/>
    </row>
    <row r="438" spans="1:10" ht="13.8" x14ac:dyDescent="0.25">
      <c r="A438" s="7" t="s">
        <v>3064</v>
      </c>
      <c r="B438" s="60">
        <v>524111</v>
      </c>
      <c r="C438" s="41" t="s">
        <v>19</v>
      </c>
      <c r="D438" s="60"/>
      <c r="E438" s="60"/>
      <c r="F438" s="42"/>
      <c r="G438" s="42">
        <f>G439</f>
        <v>247200000</v>
      </c>
      <c r="H438" s="210" t="b">
        <f t="shared" si="13"/>
        <v>1</v>
      </c>
      <c r="I438" s="210"/>
      <c r="J438" s="210"/>
    </row>
    <row r="439" spans="1:10" ht="13.8" x14ac:dyDescent="0.25">
      <c r="A439" s="7" t="s">
        <v>3065</v>
      </c>
      <c r="B439" s="152"/>
      <c r="C439" s="151" t="s">
        <v>4509</v>
      </c>
      <c r="D439" s="152">
        <v>40</v>
      </c>
      <c r="E439" s="152" t="s">
        <v>10</v>
      </c>
      <c r="F439" s="153">
        <v>6180000</v>
      </c>
      <c r="G439" s="153">
        <f>ROUNDDOWN(D439*F439,-3)</f>
        <v>247200000</v>
      </c>
      <c r="H439" s="210" t="b">
        <f t="shared" si="13"/>
        <v>1</v>
      </c>
      <c r="I439" s="210"/>
      <c r="J439" s="210"/>
    </row>
    <row r="440" spans="1:10" ht="13.8" x14ac:dyDescent="0.25">
      <c r="A440" s="7" t="s">
        <v>3067</v>
      </c>
      <c r="B440" s="59" t="s">
        <v>511</v>
      </c>
      <c r="C440" s="38" t="s">
        <v>175</v>
      </c>
      <c r="D440" s="59"/>
      <c r="E440" s="59"/>
      <c r="F440" s="39"/>
      <c r="G440" s="39">
        <f>SUM(G441,G448,G451,G453,G455)</f>
        <v>212000000</v>
      </c>
      <c r="H440" s="210" t="b">
        <f t="shared" si="13"/>
        <v>1</v>
      </c>
      <c r="I440" s="210"/>
      <c r="J440" s="210"/>
    </row>
    <row r="441" spans="1:10" ht="13.8" x14ac:dyDescent="0.25">
      <c r="A441" s="7" t="s">
        <v>3068</v>
      </c>
      <c r="B441" s="60">
        <v>521211</v>
      </c>
      <c r="C441" s="41" t="s">
        <v>7</v>
      </c>
      <c r="D441" s="60"/>
      <c r="E441" s="60"/>
      <c r="F441" s="42"/>
      <c r="G441" s="42">
        <f>SUM(G442:G447)</f>
        <v>41000000</v>
      </c>
      <c r="H441" s="210" t="b">
        <f t="shared" si="13"/>
        <v>1</v>
      </c>
      <c r="I441" s="210"/>
      <c r="J441" s="210"/>
    </row>
    <row r="442" spans="1:10" ht="13.8" x14ac:dyDescent="0.25">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3.8" x14ac:dyDescent="0.25">
      <c r="A443" s="7" t="s">
        <v>3070</v>
      </c>
      <c r="B443" s="152"/>
      <c r="C443" s="151" t="s">
        <v>4420</v>
      </c>
      <c r="D443" s="152">
        <v>180</v>
      </c>
      <c r="E443" s="152" t="s">
        <v>10</v>
      </c>
      <c r="F443" s="153">
        <v>75000</v>
      </c>
      <c r="G443" s="153">
        <f t="shared" si="14"/>
        <v>13500000</v>
      </c>
      <c r="H443" s="210" t="b">
        <f t="shared" si="13"/>
        <v>1</v>
      </c>
      <c r="I443" s="210"/>
      <c r="J443" s="210"/>
    </row>
    <row r="444" spans="1:10" ht="13.8" x14ac:dyDescent="0.25">
      <c r="A444" s="7" t="s">
        <v>3071</v>
      </c>
      <c r="B444" s="152"/>
      <c r="C444" s="151" t="s">
        <v>4510</v>
      </c>
      <c r="D444" s="152">
        <v>15</v>
      </c>
      <c r="E444" s="152" t="s">
        <v>176</v>
      </c>
      <c r="F444" s="153">
        <v>500000</v>
      </c>
      <c r="G444" s="153">
        <f t="shared" si="14"/>
        <v>7500000</v>
      </c>
      <c r="H444" s="210" t="b">
        <f t="shared" si="13"/>
        <v>1</v>
      </c>
      <c r="I444" s="210"/>
      <c r="J444" s="210"/>
    </row>
    <row r="445" spans="1:10" ht="13.8" x14ac:dyDescent="0.25">
      <c r="A445" s="7" t="s">
        <v>3073</v>
      </c>
      <c r="B445" s="152"/>
      <c r="C445" s="151" t="s">
        <v>3610</v>
      </c>
      <c r="D445" s="152">
        <v>4</v>
      </c>
      <c r="E445" s="152" t="s">
        <v>106</v>
      </c>
      <c r="F445" s="153">
        <v>1000000</v>
      </c>
      <c r="G445" s="153">
        <f t="shared" si="14"/>
        <v>4000000</v>
      </c>
      <c r="H445" s="210" t="b">
        <f t="shared" si="13"/>
        <v>1</v>
      </c>
      <c r="I445" s="210"/>
      <c r="J445" s="210"/>
    </row>
    <row r="446" spans="1:10" ht="13.8" x14ac:dyDescent="0.25">
      <c r="A446" s="7" t="s">
        <v>3074</v>
      </c>
      <c r="B446" s="152"/>
      <c r="C446" s="151" t="s">
        <v>3611</v>
      </c>
      <c r="D446" s="152">
        <v>4</v>
      </c>
      <c r="E446" s="152" t="s">
        <v>106</v>
      </c>
      <c r="F446" s="153">
        <v>1500000</v>
      </c>
      <c r="G446" s="153">
        <f t="shared" si="14"/>
        <v>6000000</v>
      </c>
      <c r="H446" s="210" t="b">
        <f t="shared" si="13"/>
        <v>1</v>
      </c>
      <c r="I446" s="210"/>
      <c r="J446" s="210"/>
    </row>
    <row r="447" spans="1:10" ht="13.8" x14ac:dyDescent="0.25">
      <c r="A447" s="7" t="s">
        <v>3075</v>
      </c>
      <c r="B447" s="152"/>
      <c r="C447" s="151" t="s">
        <v>4511</v>
      </c>
      <c r="D447" s="152">
        <v>8</v>
      </c>
      <c r="E447" s="152" t="s">
        <v>58</v>
      </c>
      <c r="F447" s="153">
        <v>500000</v>
      </c>
      <c r="G447" s="153">
        <f t="shared" si="14"/>
        <v>4000000</v>
      </c>
      <c r="H447" s="210" t="b">
        <f t="shared" si="13"/>
        <v>1</v>
      </c>
      <c r="I447" s="210"/>
      <c r="J447" s="210"/>
    </row>
    <row r="448" spans="1:10" ht="13.8" x14ac:dyDescent="0.25">
      <c r="A448" s="7" t="s">
        <v>3077</v>
      </c>
      <c r="B448" s="60">
        <v>521219</v>
      </c>
      <c r="C448" s="41" t="s">
        <v>53</v>
      </c>
      <c r="D448" s="60"/>
      <c r="E448" s="60"/>
      <c r="F448" s="42"/>
      <c r="G448" s="42">
        <f>SUM(G449:G450)</f>
        <v>32000000</v>
      </c>
      <c r="H448" s="210" t="b">
        <f t="shared" si="13"/>
        <v>1</v>
      </c>
      <c r="I448" s="210"/>
      <c r="J448" s="210"/>
    </row>
    <row r="449" spans="1:10" ht="13.8" x14ac:dyDescent="0.25">
      <c r="A449" s="7" t="s">
        <v>3078</v>
      </c>
      <c r="B449" s="152"/>
      <c r="C449" s="151" t="s">
        <v>4512</v>
      </c>
      <c r="D449" s="152">
        <v>2</v>
      </c>
      <c r="E449" s="152" t="s">
        <v>177</v>
      </c>
      <c r="F449" s="153">
        <v>15000000</v>
      </c>
      <c r="G449" s="153">
        <f>ROUNDDOWN(D449*F449,-3)</f>
        <v>30000000</v>
      </c>
      <c r="H449" s="210" t="b">
        <f t="shared" si="13"/>
        <v>1</v>
      </c>
      <c r="I449" s="210"/>
      <c r="J449" s="210"/>
    </row>
    <row r="450" spans="1:10" ht="13.8" x14ac:dyDescent="0.25">
      <c r="A450" s="7" t="s">
        <v>3080</v>
      </c>
      <c r="B450" s="152"/>
      <c r="C450" s="151" t="s">
        <v>4513</v>
      </c>
      <c r="D450" s="152">
        <v>1</v>
      </c>
      <c r="E450" s="152" t="s">
        <v>60</v>
      </c>
      <c r="F450" s="153">
        <v>2000000</v>
      </c>
      <c r="G450" s="153">
        <f>ROUNDDOWN(D450*F450,-3)</f>
        <v>2000000</v>
      </c>
      <c r="H450" s="210" t="b">
        <f t="shared" si="13"/>
        <v>1</v>
      </c>
      <c r="I450" s="210"/>
      <c r="J450" s="210"/>
    </row>
    <row r="451" spans="1:10" ht="13.8" x14ac:dyDescent="0.25">
      <c r="A451" s="7" t="s">
        <v>3082</v>
      </c>
      <c r="B451" s="60">
        <v>522151</v>
      </c>
      <c r="C451" s="41" t="s">
        <v>11</v>
      </c>
      <c r="D451" s="60"/>
      <c r="E451" s="60"/>
      <c r="F451" s="42"/>
      <c r="G451" s="42">
        <f>G452</f>
        <v>10000000</v>
      </c>
      <c r="H451" s="210" t="b">
        <f t="shared" si="13"/>
        <v>1</v>
      </c>
      <c r="I451" s="210"/>
      <c r="J451" s="210"/>
    </row>
    <row r="452" spans="1:10" ht="13.8" x14ac:dyDescent="0.25">
      <c r="A452" s="7" t="s">
        <v>3083</v>
      </c>
      <c r="B452" s="152"/>
      <c r="C452" s="151" t="s">
        <v>3715</v>
      </c>
      <c r="D452" s="152">
        <v>10</v>
      </c>
      <c r="E452" s="152" t="s">
        <v>54</v>
      </c>
      <c r="F452" s="153">
        <v>1000000</v>
      </c>
      <c r="G452" s="153">
        <f>ROUNDDOWN(D452*F452,-3)</f>
        <v>10000000</v>
      </c>
      <c r="H452" s="210" t="b">
        <f t="shared" si="13"/>
        <v>1</v>
      </c>
      <c r="I452" s="210"/>
      <c r="J452" s="210"/>
    </row>
    <row r="453" spans="1:10" ht="13.8" x14ac:dyDescent="0.25">
      <c r="A453" s="7" t="s">
        <v>3084</v>
      </c>
      <c r="B453" s="60">
        <v>524111</v>
      </c>
      <c r="C453" s="41" t="s">
        <v>19</v>
      </c>
      <c r="D453" s="60"/>
      <c r="E453" s="60"/>
      <c r="F453" s="42"/>
      <c r="G453" s="42">
        <f>G454</f>
        <v>120000000</v>
      </c>
      <c r="H453" s="210" t="b">
        <f t="shared" si="13"/>
        <v>1</v>
      </c>
      <c r="I453" s="210"/>
      <c r="J453" s="210"/>
    </row>
    <row r="454" spans="1:10" ht="13.8" x14ac:dyDescent="0.25">
      <c r="A454" s="7" t="s">
        <v>3085</v>
      </c>
      <c r="B454" s="152"/>
      <c r="C454" s="151" t="s">
        <v>4514</v>
      </c>
      <c r="D454" s="152">
        <v>30</v>
      </c>
      <c r="E454" s="152" t="s">
        <v>10</v>
      </c>
      <c r="F454" s="153">
        <v>4000000</v>
      </c>
      <c r="G454" s="153">
        <f>ROUNDDOWN(D454*F454,-3)</f>
        <v>120000000</v>
      </c>
      <c r="H454" s="210" t="b">
        <f t="shared" si="13"/>
        <v>1</v>
      </c>
      <c r="I454" s="210"/>
      <c r="J454" s="210"/>
    </row>
    <row r="455" spans="1:10" ht="13.8" x14ac:dyDescent="0.25">
      <c r="A455" s="7" t="s">
        <v>3087</v>
      </c>
      <c r="B455" s="60">
        <v>524113</v>
      </c>
      <c r="C455" s="41" t="s">
        <v>13</v>
      </c>
      <c r="D455" s="60"/>
      <c r="E455" s="60"/>
      <c r="F455" s="42"/>
      <c r="G455" s="42">
        <f>G456</f>
        <v>9000000</v>
      </c>
      <c r="H455" s="210" t="b">
        <f t="shared" si="13"/>
        <v>1</v>
      </c>
      <c r="I455" s="210"/>
      <c r="J455" s="210"/>
    </row>
    <row r="456" spans="1:10" ht="13.8" x14ac:dyDescent="0.25">
      <c r="A456" s="7" t="s">
        <v>3088</v>
      </c>
      <c r="B456" s="152"/>
      <c r="C456" s="151" t="s">
        <v>3613</v>
      </c>
      <c r="D456" s="152">
        <v>60</v>
      </c>
      <c r="E456" s="152" t="s">
        <v>25</v>
      </c>
      <c r="F456" s="153">
        <v>150000</v>
      </c>
      <c r="G456" s="153">
        <f>ROUNDDOWN(D456*F456,-3)</f>
        <v>9000000</v>
      </c>
      <c r="H456" s="210" t="b">
        <f t="shared" si="13"/>
        <v>1</v>
      </c>
      <c r="I456" s="210"/>
      <c r="J456" s="210"/>
    </row>
    <row r="457" spans="1:10" ht="13.8" x14ac:dyDescent="0.25">
      <c r="A457" s="7" t="s">
        <v>3089</v>
      </c>
      <c r="B457" s="58">
        <v>302</v>
      </c>
      <c r="C457" s="35" t="s">
        <v>3091</v>
      </c>
      <c r="D457" s="58"/>
      <c r="E457" s="58"/>
      <c r="F457" s="36"/>
      <c r="G457" s="36">
        <f>G458</f>
        <v>126532000</v>
      </c>
      <c r="H457" s="210" t="b">
        <f t="shared" si="13"/>
        <v>1</v>
      </c>
      <c r="I457" s="210"/>
      <c r="J457" s="210"/>
    </row>
    <row r="458" spans="1:10" ht="13.8" x14ac:dyDescent="0.25">
      <c r="A458" s="7" t="s">
        <v>3092</v>
      </c>
      <c r="B458" s="59" t="s">
        <v>8</v>
      </c>
      <c r="C458" s="38" t="s">
        <v>178</v>
      </c>
      <c r="D458" s="59"/>
      <c r="E458" s="59"/>
      <c r="F458" s="39"/>
      <c r="G458" s="39">
        <f>SUM(G459,G465,G467)</f>
        <v>126532000</v>
      </c>
      <c r="H458" s="210" t="b">
        <f t="shared" si="13"/>
        <v>1</v>
      </c>
      <c r="I458" s="210"/>
      <c r="J458" s="210"/>
    </row>
    <row r="459" spans="1:10" ht="13.8" x14ac:dyDescent="0.25">
      <c r="A459" s="7" t="s">
        <v>3093</v>
      </c>
      <c r="B459" s="60">
        <v>521211</v>
      </c>
      <c r="C459" s="41" t="s">
        <v>7</v>
      </c>
      <c r="D459" s="60"/>
      <c r="E459" s="60"/>
      <c r="F459" s="42"/>
      <c r="G459" s="42">
        <f>SUM(G460:G464)</f>
        <v>35500000</v>
      </c>
      <c r="H459" s="210" t="b">
        <f t="shared" si="13"/>
        <v>1</v>
      </c>
      <c r="I459" s="210"/>
      <c r="J459" s="210"/>
    </row>
    <row r="460" spans="1:10" ht="13.8" x14ac:dyDescent="0.25">
      <c r="A460" s="7" t="s">
        <v>3094</v>
      </c>
      <c r="B460" s="152"/>
      <c r="C460" s="151" t="s">
        <v>3598</v>
      </c>
      <c r="D460" s="152">
        <v>4</v>
      </c>
      <c r="E460" s="152" t="s">
        <v>9</v>
      </c>
      <c r="F460" s="153">
        <v>1500000</v>
      </c>
      <c r="G460" s="153">
        <f>ROUNDDOWN(D460*F460,-3)</f>
        <v>6000000</v>
      </c>
      <c r="H460" s="210" t="b">
        <f t="shared" si="13"/>
        <v>1</v>
      </c>
      <c r="I460" s="210"/>
      <c r="J460" s="210"/>
    </row>
    <row r="461" spans="1:10" ht="13.8" x14ac:dyDescent="0.25">
      <c r="A461" s="7" t="s">
        <v>3095</v>
      </c>
      <c r="B461" s="152"/>
      <c r="C461" s="151" t="s">
        <v>4420</v>
      </c>
      <c r="D461" s="152">
        <v>180</v>
      </c>
      <c r="E461" s="152" t="s">
        <v>10</v>
      </c>
      <c r="F461" s="153">
        <v>75000</v>
      </c>
      <c r="G461" s="153">
        <f>ROUNDDOWN(D461*F461,-3)</f>
        <v>13500000</v>
      </c>
      <c r="H461" s="210" t="b">
        <f t="shared" si="13"/>
        <v>1</v>
      </c>
      <c r="I461" s="210"/>
      <c r="J461" s="210"/>
    </row>
    <row r="462" spans="1:10" ht="13.8" x14ac:dyDescent="0.25">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3.8" x14ac:dyDescent="0.25">
      <c r="A463" s="7" t="s">
        <v>3097</v>
      </c>
      <c r="B463" s="152"/>
      <c r="C463" s="151" t="s">
        <v>3601</v>
      </c>
      <c r="D463" s="152">
        <v>4</v>
      </c>
      <c r="E463" s="152" t="s">
        <v>106</v>
      </c>
      <c r="F463" s="153">
        <v>1500000</v>
      </c>
      <c r="G463" s="153">
        <f>ROUNDDOWN(D463*F463,-3)</f>
        <v>6000000</v>
      </c>
      <c r="H463" s="210" t="b">
        <f t="shared" si="15"/>
        <v>1</v>
      </c>
      <c r="I463" s="210"/>
      <c r="J463" s="210"/>
    </row>
    <row r="464" spans="1:10" ht="13.8" x14ac:dyDescent="0.25">
      <c r="A464" s="7" t="s">
        <v>3098</v>
      </c>
      <c r="B464" s="152"/>
      <c r="C464" s="151" t="s">
        <v>4515</v>
      </c>
      <c r="D464" s="152">
        <v>12</v>
      </c>
      <c r="E464" s="152" t="s">
        <v>176</v>
      </c>
      <c r="F464" s="153">
        <v>500000</v>
      </c>
      <c r="G464" s="153">
        <f>ROUNDDOWN(D464*F464,-3)</f>
        <v>6000000</v>
      </c>
      <c r="H464" s="210" t="b">
        <f t="shared" si="15"/>
        <v>1</v>
      </c>
      <c r="I464" s="210"/>
      <c r="J464" s="210"/>
    </row>
    <row r="465" spans="1:10" ht="13.8" x14ac:dyDescent="0.25">
      <c r="A465" s="7" t="s">
        <v>3100</v>
      </c>
      <c r="B465" s="60">
        <v>521219</v>
      </c>
      <c r="C465" s="41" t="s">
        <v>53</v>
      </c>
      <c r="D465" s="60"/>
      <c r="E465" s="60"/>
      <c r="F465" s="42"/>
      <c r="G465" s="42">
        <f>G466</f>
        <v>2000000</v>
      </c>
      <c r="H465" s="210" t="b">
        <f t="shared" si="15"/>
        <v>1</v>
      </c>
      <c r="I465" s="210"/>
      <c r="J465" s="210"/>
    </row>
    <row r="466" spans="1:10" ht="13.8" x14ac:dyDescent="0.25">
      <c r="A466" s="7" t="s">
        <v>3101</v>
      </c>
      <c r="B466" s="152"/>
      <c r="C466" s="151" t="s">
        <v>4508</v>
      </c>
      <c r="D466" s="152">
        <v>1</v>
      </c>
      <c r="E466" s="152" t="s">
        <v>153</v>
      </c>
      <c r="F466" s="153">
        <v>2000000</v>
      </c>
      <c r="G466" s="153">
        <f>ROUNDDOWN(D466*F466,-3)</f>
        <v>2000000</v>
      </c>
      <c r="H466" s="210" t="b">
        <f t="shared" si="15"/>
        <v>1</v>
      </c>
      <c r="I466" s="210"/>
      <c r="J466" s="210"/>
    </row>
    <row r="467" spans="1:10" ht="13.8" x14ac:dyDescent="0.25">
      <c r="A467" s="7" t="s">
        <v>3102</v>
      </c>
      <c r="B467" s="60">
        <v>524111</v>
      </c>
      <c r="C467" s="41" t="s">
        <v>19</v>
      </c>
      <c r="D467" s="60"/>
      <c r="E467" s="60"/>
      <c r="F467" s="42"/>
      <c r="G467" s="42">
        <f>G468</f>
        <v>89032000</v>
      </c>
      <c r="H467" s="210" t="b">
        <f t="shared" si="15"/>
        <v>1</v>
      </c>
      <c r="I467" s="210"/>
      <c r="J467" s="210"/>
    </row>
    <row r="468" spans="1:10" ht="13.8" x14ac:dyDescent="0.25">
      <c r="A468" s="7" t="s">
        <v>3103</v>
      </c>
      <c r="B468" s="152"/>
      <c r="C468" s="151" t="s">
        <v>4514</v>
      </c>
      <c r="D468" s="152">
        <v>22</v>
      </c>
      <c r="E468" s="152" t="s">
        <v>10</v>
      </c>
      <c r="F468" s="153">
        <v>4046950</v>
      </c>
      <c r="G468" s="153">
        <f>ROUNDDOWN(D468*F468,-3)</f>
        <v>89032000</v>
      </c>
      <c r="H468" s="210" t="b">
        <f t="shared" si="15"/>
        <v>1</v>
      </c>
      <c r="I468" s="210"/>
      <c r="J468" s="210"/>
    </row>
    <row r="469" spans="1:10" ht="13.8" x14ac:dyDescent="0.25">
      <c r="A469" s="7" t="s">
        <v>3104</v>
      </c>
      <c r="B469" s="138" t="s">
        <v>4516</v>
      </c>
      <c r="C469" s="137" t="s">
        <v>3106</v>
      </c>
      <c r="D469" s="138">
        <v>1</v>
      </c>
      <c r="E469" s="138" t="s">
        <v>4315</v>
      </c>
      <c r="F469" s="139"/>
      <c r="G469" s="139">
        <f>G470</f>
        <v>289920000</v>
      </c>
      <c r="H469" s="210" t="b">
        <f t="shared" si="15"/>
        <v>1</v>
      </c>
      <c r="I469" s="210"/>
      <c r="J469" s="210"/>
    </row>
    <row r="470" spans="1:10" ht="13.8" x14ac:dyDescent="0.25">
      <c r="A470" s="7" t="s">
        <v>3318</v>
      </c>
      <c r="B470" s="58">
        <v>301</v>
      </c>
      <c r="C470" s="35" t="s">
        <v>3319</v>
      </c>
      <c r="D470" s="58"/>
      <c r="E470" s="58"/>
      <c r="F470" s="36"/>
      <c r="G470" s="36">
        <f>SUM(G471,G481,G490,G498,G511,G519)</f>
        <v>289920000</v>
      </c>
      <c r="H470" s="210" t="b">
        <f t="shared" si="15"/>
        <v>1</v>
      </c>
      <c r="I470" s="210"/>
      <c r="J470" s="210"/>
    </row>
    <row r="471" spans="1:10" ht="13.8" x14ac:dyDescent="0.25">
      <c r="A471" s="7" t="s">
        <v>3320</v>
      </c>
      <c r="B471" s="59" t="s">
        <v>8</v>
      </c>
      <c r="C471" s="38" t="s">
        <v>143</v>
      </c>
      <c r="D471" s="59"/>
      <c r="E471" s="59"/>
      <c r="F471" s="39"/>
      <c r="G471" s="39">
        <f>SUM(G472,G477,G479)</f>
        <v>40700000</v>
      </c>
      <c r="H471" s="210" t="b">
        <f t="shared" si="15"/>
        <v>1</v>
      </c>
      <c r="I471" s="210"/>
      <c r="J471" s="210"/>
    </row>
    <row r="472" spans="1:10" ht="13.8" x14ac:dyDescent="0.25">
      <c r="A472" s="7" t="s">
        <v>3321</v>
      </c>
      <c r="B472" s="60">
        <v>521211</v>
      </c>
      <c r="C472" s="41" t="s">
        <v>7</v>
      </c>
      <c r="D472" s="60"/>
      <c r="E472" s="60"/>
      <c r="F472" s="42"/>
      <c r="G472" s="42">
        <f>SUM(G473:G476)</f>
        <v>23900000</v>
      </c>
      <c r="H472" s="210" t="b">
        <f t="shared" si="15"/>
        <v>1</v>
      </c>
      <c r="I472" s="210"/>
      <c r="J472" s="210"/>
    </row>
    <row r="473" spans="1:10" ht="13.8" x14ac:dyDescent="0.25">
      <c r="A473" s="7" t="s">
        <v>3322</v>
      </c>
      <c r="B473" s="152"/>
      <c r="C473" s="151" t="s">
        <v>3598</v>
      </c>
      <c r="D473" s="152">
        <v>5</v>
      </c>
      <c r="E473" s="152" t="s">
        <v>9</v>
      </c>
      <c r="F473" s="153">
        <v>1500000</v>
      </c>
      <c r="G473" s="153">
        <f>ROUNDDOWN(D473*F473,-3)</f>
        <v>7500000</v>
      </c>
      <c r="H473" s="210" t="b">
        <f t="shared" si="15"/>
        <v>1</v>
      </c>
      <c r="I473" s="210"/>
      <c r="J473" s="210"/>
    </row>
    <row r="474" spans="1:10" ht="13.8" x14ac:dyDescent="0.25">
      <c r="A474" s="7" t="s">
        <v>3323</v>
      </c>
      <c r="B474" s="152"/>
      <c r="C474" s="151" t="s">
        <v>4420</v>
      </c>
      <c r="D474" s="152">
        <v>20</v>
      </c>
      <c r="E474" s="152" t="s">
        <v>10</v>
      </c>
      <c r="F474" s="153">
        <v>70000</v>
      </c>
      <c r="G474" s="153">
        <f>ROUNDDOWN(D474*F474,-3)</f>
        <v>1400000</v>
      </c>
      <c r="H474" s="210" t="b">
        <f t="shared" si="15"/>
        <v>1</v>
      </c>
      <c r="I474" s="210"/>
      <c r="J474" s="210"/>
    </row>
    <row r="475" spans="1:10" ht="13.8" x14ac:dyDescent="0.25">
      <c r="A475" s="7" t="s">
        <v>3324</v>
      </c>
      <c r="B475" s="152"/>
      <c r="C475" s="151" t="s">
        <v>3600</v>
      </c>
      <c r="D475" s="152">
        <v>6</v>
      </c>
      <c r="E475" s="152" t="s">
        <v>106</v>
      </c>
      <c r="F475" s="153">
        <v>1000000</v>
      </c>
      <c r="G475" s="153">
        <f>ROUNDDOWN(D475*F475,-3)</f>
        <v>6000000</v>
      </c>
      <c r="H475" s="210" t="b">
        <f t="shared" si="15"/>
        <v>1</v>
      </c>
      <c r="I475" s="210"/>
      <c r="J475" s="210"/>
    </row>
    <row r="476" spans="1:10" ht="13.8" x14ac:dyDescent="0.25">
      <c r="A476" s="7" t="s">
        <v>3325</v>
      </c>
      <c r="B476" s="152"/>
      <c r="C476" s="151" t="s">
        <v>3601</v>
      </c>
      <c r="D476" s="152">
        <v>6</v>
      </c>
      <c r="E476" s="152" t="s">
        <v>106</v>
      </c>
      <c r="F476" s="153">
        <v>1500000</v>
      </c>
      <c r="G476" s="153">
        <f>ROUNDDOWN(D476*F476,-3)</f>
        <v>9000000</v>
      </c>
      <c r="H476" s="210" t="b">
        <f t="shared" si="15"/>
        <v>1</v>
      </c>
      <c r="I476" s="210"/>
      <c r="J476" s="210"/>
    </row>
    <row r="477" spans="1:10" ht="13.8" x14ac:dyDescent="0.25">
      <c r="A477" s="7" t="s">
        <v>3326</v>
      </c>
      <c r="B477" s="60">
        <v>524111</v>
      </c>
      <c r="C477" s="41" t="s">
        <v>19</v>
      </c>
      <c r="D477" s="60"/>
      <c r="E477" s="60"/>
      <c r="F477" s="42"/>
      <c r="G477" s="42">
        <f>G478</f>
        <v>15000000</v>
      </c>
      <c r="H477" s="210" t="b">
        <f t="shared" si="15"/>
        <v>1</v>
      </c>
      <c r="I477" s="210"/>
      <c r="J477" s="210"/>
    </row>
    <row r="478" spans="1:10" ht="13.8" x14ac:dyDescent="0.25">
      <c r="A478" s="7" t="s">
        <v>3327</v>
      </c>
      <c r="B478" s="152"/>
      <c r="C478" s="151" t="s">
        <v>4582</v>
      </c>
      <c r="D478" s="152">
        <v>5</v>
      </c>
      <c r="E478" s="152" t="s">
        <v>10</v>
      </c>
      <c r="F478" s="153">
        <v>3000000</v>
      </c>
      <c r="G478" s="153">
        <f>ROUNDDOWN(D478*F478,-3)</f>
        <v>15000000</v>
      </c>
      <c r="H478" s="210" t="b">
        <f t="shared" si="15"/>
        <v>1</v>
      </c>
      <c r="I478" s="210"/>
      <c r="J478" s="210"/>
    </row>
    <row r="479" spans="1:10" ht="13.8" x14ac:dyDescent="0.25">
      <c r="A479" s="7" t="s">
        <v>3329</v>
      </c>
      <c r="B479" s="60">
        <v>524113</v>
      </c>
      <c r="C479" s="41" t="s">
        <v>13</v>
      </c>
      <c r="D479" s="60"/>
      <c r="E479" s="60"/>
      <c r="F479" s="42"/>
      <c r="G479" s="42">
        <f>G480</f>
        <v>1800000</v>
      </c>
      <c r="H479" s="210" t="b">
        <f t="shared" si="15"/>
        <v>1</v>
      </c>
      <c r="I479" s="210"/>
      <c r="J479" s="210"/>
    </row>
    <row r="480" spans="1:10" ht="13.8" x14ac:dyDescent="0.25">
      <c r="A480" s="7" t="s">
        <v>3330</v>
      </c>
      <c r="B480" s="152"/>
      <c r="C480" s="151" t="s">
        <v>3603</v>
      </c>
      <c r="D480" s="152">
        <v>12</v>
      </c>
      <c r="E480" s="152" t="s">
        <v>10</v>
      </c>
      <c r="F480" s="153">
        <v>150000</v>
      </c>
      <c r="G480" s="153">
        <f>ROUNDDOWN(D480*F480,-3)</f>
        <v>1800000</v>
      </c>
      <c r="H480" s="210" t="b">
        <f t="shared" si="15"/>
        <v>1</v>
      </c>
      <c r="I480" s="210"/>
      <c r="J480" s="210"/>
    </row>
    <row r="481" spans="1:10" ht="13.8" x14ac:dyDescent="0.25">
      <c r="A481" s="7" t="s">
        <v>3331</v>
      </c>
      <c r="B481" s="59" t="s">
        <v>511</v>
      </c>
      <c r="C481" s="38" t="s">
        <v>144</v>
      </c>
      <c r="D481" s="59"/>
      <c r="E481" s="59"/>
      <c r="F481" s="39"/>
      <c r="G481" s="39">
        <f>SUM(G482,G486,G488)</f>
        <v>30900000</v>
      </c>
      <c r="H481" s="210" t="b">
        <f t="shared" si="15"/>
        <v>1</v>
      </c>
      <c r="I481" s="210"/>
      <c r="J481" s="210"/>
    </row>
    <row r="482" spans="1:10" ht="13.8" x14ac:dyDescent="0.25">
      <c r="A482" s="7" t="s">
        <v>3332</v>
      </c>
      <c r="B482" s="60">
        <v>521211</v>
      </c>
      <c r="C482" s="41" t="s">
        <v>7</v>
      </c>
      <c r="D482" s="60"/>
      <c r="E482" s="60"/>
      <c r="F482" s="42"/>
      <c r="G482" s="42">
        <f>SUM(G483:G485)</f>
        <v>11400000</v>
      </c>
      <c r="H482" s="210" t="b">
        <f t="shared" si="15"/>
        <v>1</v>
      </c>
      <c r="I482" s="210"/>
      <c r="J482" s="210"/>
    </row>
    <row r="483" spans="1:10" ht="13.8" x14ac:dyDescent="0.25">
      <c r="A483" s="7" t="s">
        <v>3333</v>
      </c>
      <c r="B483" s="152"/>
      <c r="C483" s="151" t="s">
        <v>4269</v>
      </c>
      <c r="D483" s="152">
        <v>4</v>
      </c>
      <c r="E483" s="152" t="s">
        <v>9</v>
      </c>
      <c r="F483" s="153">
        <v>1500000</v>
      </c>
      <c r="G483" s="153">
        <f>ROUNDDOWN(D483*F483,-3)</f>
        <v>6000000</v>
      </c>
      <c r="H483" s="210" t="b">
        <f t="shared" si="15"/>
        <v>1</v>
      </c>
      <c r="I483" s="210"/>
      <c r="J483" s="210"/>
    </row>
    <row r="484" spans="1:10" ht="13.8" x14ac:dyDescent="0.25">
      <c r="A484" s="7" t="s">
        <v>3334</v>
      </c>
      <c r="B484" s="152"/>
      <c r="C484" s="151" t="s">
        <v>4420</v>
      </c>
      <c r="D484" s="152">
        <v>20</v>
      </c>
      <c r="E484" s="152" t="s">
        <v>10</v>
      </c>
      <c r="F484" s="153">
        <v>70000</v>
      </c>
      <c r="G484" s="153">
        <f>ROUNDDOWN(D484*F484,-3)</f>
        <v>1400000</v>
      </c>
      <c r="H484" s="210" t="b">
        <f t="shared" si="15"/>
        <v>1</v>
      </c>
      <c r="I484" s="210"/>
      <c r="J484" s="210"/>
    </row>
    <row r="485" spans="1:10" ht="13.8" x14ac:dyDescent="0.25">
      <c r="A485" s="7" t="s">
        <v>3335</v>
      </c>
      <c r="B485" s="152"/>
      <c r="C485" s="151" t="s">
        <v>3600</v>
      </c>
      <c r="D485" s="152">
        <v>4</v>
      </c>
      <c r="E485" s="152" t="s">
        <v>106</v>
      </c>
      <c r="F485" s="153">
        <v>1000000</v>
      </c>
      <c r="G485" s="153">
        <f>ROUNDDOWN(D485*F485,-3)</f>
        <v>4000000</v>
      </c>
      <c r="H485" s="210" t="b">
        <f t="shared" si="15"/>
        <v>1</v>
      </c>
      <c r="I485" s="210"/>
      <c r="J485" s="210"/>
    </row>
    <row r="486" spans="1:10" ht="13.8" x14ac:dyDescent="0.25">
      <c r="A486" s="7" t="s">
        <v>3336</v>
      </c>
      <c r="B486" s="60">
        <v>524111</v>
      </c>
      <c r="C486" s="41" t="s">
        <v>19</v>
      </c>
      <c r="D486" s="60"/>
      <c r="E486" s="60"/>
      <c r="F486" s="42"/>
      <c r="G486" s="42">
        <f>G487</f>
        <v>18000000</v>
      </c>
      <c r="H486" s="210" t="b">
        <f t="shared" si="15"/>
        <v>1</v>
      </c>
      <c r="I486" s="210"/>
      <c r="J486" s="210"/>
    </row>
    <row r="487" spans="1:10" ht="13.8" x14ac:dyDescent="0.25">
      <c r="A487" s="7" t="s">
        <v>3337</v>
      </c>
      <c r="B487" s="152"/>
      <c r="C487" s="151" t="s">
        <v>4582</v>
      </c>
      <c r="D487" s="152">
        <v>6</v>
      </c>
      <c r="E487" s="152" t="s">
        <v>10</v>
      </c>
      <c r="F487" s="153">
        <v>3000000</v>
      </c>
      <c r="G487" s="153">
        <f>ROUNDDOWN(D487*F487,-3)</f>
        <v>18000000</v>
      </c>
      <c r="H487" s="210" t="b">
        <f t="shared" si="15"/>
        <v>1</v>
      </c>
      <c r="I487" s="210"/>
      <c r="J487" s="210"/>
    </row>
    <row r="488" spans="1:10" ht="13.8" x14ac:dyDescent="0.25">
      <c r="A488" s="7" t="s">
        <v>3338</v>
      </c>
      <c r="B488" s="60">
        <v>524113</v>
      </c>
      <c r="C488" s="41" t="s">
        <v>13</v>
      </c>
      <c r="D488" s="60"/>
      <c r="E488" s="60"/>
      <c r="F488" s="42"/>
      <c r="G488" s="42">
        <f>G489</f>
        <v>1500000</v>
      </c>
      <c r="H488" s="210" t="b">
        <f t="shared" si="15"/>
        <v>1</v>
      </c>
      <c r="I488" s="210"/>
      <c r="J488" s="210"/>
    </row>
    <row r="489" spans="1:10" ht="13.8" x14ac:dyDescent="0.25">
      <c r="A489" s="7" t="s">
        <v>3339</v>
      </c>
      <c r="B489" s="152"/>
      <c r="C489" s="151" t="s">
        <v>3613</v>
      </c>
      <c r="D489" s="152">
        <v>10</v>
      </c>
      <c r="E489" s="152" t="s">
        <v>10</v>
      </c>
      <c r="F489" s="153">
        <v>150000</v>
      </c>
      <c r="G489" s="153">
        <f>ROUNDDOWN(D489*F489,-3)</f>
        <v>1500000</v>
      </c>
      <c r="H489" s="210" t="b">
        <f t="shared" si="15"/>
        <v>1</v>
      </c>
      <c r="I489" s="210"/>
      <c r="J489" s="210"/>
    </row>
    <row r="490" spans="1:10" ht="13.8" x14ac:dyDescent="0.25">
      <c r="A490" s="7" t="s">
        <v>3340</v>
      </c>
      <c r="B490" s="59" t="s">
        <v>512</v>
      </c>
      <c r="C490" s="38" t="s">
        <v>145</v>
      </c>
      <c r="D490" s="59"/>
      <c r="E490" s="59"/>
      <c r="F490" s="39"/>
      <c r="G490" s="39">
        <f>SUM(G491,G494,G496)</f>
        <v>26500000</v>
      </c>
      <c r="H490" s="210" t="b">
        <f t="shared" si="15"/>
        <v>1</v>
      </c>
      <c r="I490" s="210"/>
      <c r="J490" s="210"/>
    </row>
    <row r="491" spans="1:10" ht="13.8" x14ac:dyDescent="0.25">
      <c r="A491" s="7" t="s">
        <v>3341</v>
      </c>
      <c r="B491" s="60">
        <v>521211</v>
      </c>
      <c r="C491" s="41" t="s">
        <v>7</v>
      </c>
      <c r="D491" s="60"/>
      <c r="E491" s="60"/>
      <c r="F491" s="42"/>
      <c r="G491" s="42">
        <f>SUM(G492:G493)</f>
        <v>10000000</v>
      </c>
      <c r="H491" s="210" t="b">
        <f t="shared" si="15"/>
        <v>1</v>
      </c>
      <c r="I491" s="210"/>
      <c r="J491" s="210"/>
    </row>
    <row r="492" spans="1:10" ht="13.8" x14ac:dyDescent="0.25">
      <c r="A492" s="7" t="s">
        <v>3342</v>
      </c>
      <c r="B492" s="152"/>
      <c r="C492" s="151" t="s">
        <v>4269</v>
      </c>
      <c r="D492" s="152">
        <v>4</v>
      </c>
      <c r="E492" s="152" t="s">
        <v>9</v>
      </c>
      <c r="F492" s="153">
        <v>1500000</v>
      </c>
      <c r="G492" s="153">
        <f>ROUNDDOWN(D492*F492,-3)</f>
        <v>6000000</v>
      </c>
      <c r="H492" s="210" t="b">
        <f t="shared" si="15"/>
        <v>1</v>
      </c>
      <c r="I492" s="210"/>
      <c r="J492" s="210"/>
    </row>
    <row r="493" spans="1:10" ht="13.8" x14ac:dyDescent="0.25">
      <c r="A493" s="7" t="s">
        <v>3343</v>
      </c>
      <c r="B493" s="152"/>
      <c r="C493" s="151" t="s">
        <v>3632</v>
      </c>
      <c r="D493" s="152">
        <v>4</v>
      </c>
      <c r="E493" s="152" t="s">
        <v>106</v>
      </c>
      <c r="F493" s="153">
        <v>1000000</v>
      </c>
      <c r="G493" s="153">
        <f>ROUNDDOWN(D493*F493,-3)</f>
        <v>4000000</v>
      </c>
      <c r="H493" s="210" t="b">
        <f t="shared" si="15"/>
        <v>1</v>
      </c>
      <c r="I493" s="210"/>
      <c r="J493" s="210"/>
    </row>
    <row r="494" spans="1:10" ht="13.8" x14ac:dyDescent="0.25">
      <c r="A494" s="7" t="s">
        <v>3344</v>
      </c>
      <c r="B494" s="60">
        <v>524111</v>
      </c>
      <c r="C494" s="41" t="s">
        <v>19</v>
      </c>
      <c r="D494" s="60"/>
      <c r="E494" s="60"/>
      <c r="F494" s="42"/>
      <c r="G494" s="42">
        <f>G495</f>
        <v>15000000</v>
      </c>
      <c r="H494" s="210" t="b">
        <f t="shared" si="15"/>
        <v>1</v>
      </c>
      <c r="I494" s="210"/>
      <c r="J494" s="210"/>
    </row>
    <row r="495" spans="1:10" ht="13.8" x14ac:dyDescent="0.25">
      <c r="A495" s="7" t="s">
        <v>3345</v>
      </c>
      <c r="B495" s="152"/>
      <c r="C495" s="151" t="s">
        <v>4583</v>
      </c>
      <c r="D495" s="152">
        <v>5</v>
      </c>
      <c r="E495" s="152" t="s">
        <v>10</v>
      </c>
      <c r="F495" s="153">
        <v>3000000</v>
      </c>
      <c r="G495" s="153">
        <f>ROUNDDOWN(D495*F495,-3)</f>
        <v>15000000</v>
      </c>
      <c r="H495" s="210" t="b">
        <f t="shared" si="15"/>
        <v>1</v>
      </c>
      <c r="I495" s="210"/>
      <c r="J495" s="210"/>
    </row>
    <row r="496" spans="1:10" ht="13.8" x14ac:dyDescent="0.25">
      <c r="A496" s="7" t="s">
        <v>3347</v>
      </c>
      <c r="B496" s="60">
        <v>524113</v>
      </c>
      <c r="C496" s="41" t="s">
        <v>13</v>
      </c>
      <c r="D496" s="60"/>
      <c r="E496" s="60"/>
      <c r="F496" s="42"/>
      <c r="G496" s="42">
        <f>G497</f>
        <v>1500000</v>
      </c>
      <c r="H496" s="210" t="b">
        <f t="shared" si="15"/>
        <v>1</v>
      </c>
      <c r="I496" s="210"/>
      <c r="J496" s="210"/>
    </row>
    <row r="497" spans="1:10" ht="13.8" x14ac:dyDescent="0.25">
      <c r="A497" s="7" t="s">
        <v>3348</v>
      </c>
      <c r="B497" s="152"/>
      <c r="C497" s="151" t="s">
        <v>3613</v>
      </c>
      <c r="D497" s="152">
        <v>10</v>
      </c>
      <c r="E497" s="152" t="s">
        <v>10</v>
      </c>
      <c r="F497" s="153">
        <v>150000</v>
      </c>
      <c r="G497" s="153">
        <f>ROUNDDOWN(D497*F497,-3)</f>
        <v>1500000</v>
      </c>
      <c r="H497" s="210" t="b">
        <f t="shared" si="15"/>
        <v>1</v>
      </c>
      <c r="I497" s="210"/>
      <c r="J497" s="210"/>
    </row>
    <row r="498" spans="1:10" ht="13.8" x14ac:dyDescent="0.25">
      <c r="A498" s="7" t="s">
        <v>3349</v>
      </c>
      <c r="B498" s="59" t="s">
        <v>514</v>
      </c>
      <c r="C498" s="38" t="s">
        <v>3350</v>
      </c>
      <c r="D498" s="59"/>
      <c r="E498" s="59"/>
      <c r="F498" s="39"/>
      <c r="G498" s="39">
        <f>SUM(G499,G505,G507,G509)</f>
        <v>86700000</v>
      </c>
      <c r="H498" s="210" t="b">
        <f t="shared" si="15"/>
        <v>1</v>
      </c>
      <c r="I498" s="210"/>
      <c r="J498" s="210"/>
    </row>
    <row r="499" spans="1:10" ht="13.8" x14ac:dyDescent="0.25">
      <c r="A499" s="7" t="s">
        <v>3351</v>
      </c>
      <c r="B499" s="60">
        <v>521211</v>
      </c>
      <c r="C499" s="41" t="s">
        <v>7</v>
      </c>
      <c r="D499" s="60"/>
      <c r="E499" s="60"/>
      <c r="F499" s="42"/>
      <c r="G499" s="42">
        <f>SUM(G500:G504)</f>
        <v>32400000</v>
      </c>
      <c r="H499" s="210" t="b">
        <f t="shared" si="15"/>
        <v>1</v>
      </c>
      <c r="I499" s="210"/>
      <c r="J499" s="210"/>
    </row>
    <row r="500" spans="1:10" ht="13.8" x14ac:dyDescent="0.25">
      <c r="A500" s="7" t="s">
        <v>3352</v>
      </c>
      <c r="B500" s="152"/>
      <c r="C500" s="151" t="s">
        <v>4269</v>
      </c>
      <c r="D500" s="152">
        <v>6</v>
      </c>
      <c r="E500" s="152" t="s">
        <v>9</v>
      </c>
      <c r="F500" s="153">
        <v>1500000</v>
      </c>
      <c r="G500" s="153">
        <f>ROUNDDOWN(D500*F500,-3)</f>
        <v>9000000</v>
      </c>
      <c r="H500" s="210" t="b">
        <f t="shared" si="15"/>
        <v>1</v>
      </c>
      <c r="I500" s="210"/>
      <c r="J500" s="210"/>
    </row>
    <row r="501" spans="1:10" ht="13.8" x14ac:dyDescent="0.25">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3.8" x14ac:dyDescent="0.25">
      <c r="A502" s="211" t="s">
        <v>3354</v>
      </c>
      <c r="B502" s="152"/>
      <c r="C502" s="151" t="s">
        <v>4584</v>
      </c>
      <c r="D502" s="152">
        <v>28</v>
      </c>
      <c r="E502" s="152" t="s">
        <v>176</v>
      </c>
      <c r="F502" s="153">
        <v>500000</v>
      </c>
      <c r="G502" s="153">
        <f>ROUNDDOWN(D502*F502,-3)</f>
        <v>14000000</v>
      </c>
      <c r="H502" s="210" t="b">
        <f t="shared" si="15"/>
        <v>1</v>
      </c>
      <c r="I502" s="210"/>
      <c r="J502" s="210"/>
    </row>
    <row r="503" spans="1:10" ht="13.8" x14ac:dyDescent="0.25">
      <c r="A503" s="7" t="s">
        <v>3356</v>
      </c>
      <c r="B503" s="152"/>
      <c r="C503" s="151" t="s">
        <v>4585</v>
      </c>
      <c r="D503" s="152">
        <v>4</v>
      </c>
      <c r="E503" s="152" t="s">
        <v>58</v>
      </c>
      <c r="F503" s="153">
        <v>500000</v>
      </c>
      <c r="G503" s="153">
        <f>ROUNDDOWN(D503*F503,-3)</f>
        <v>2000000</v>
      </c>
      <c r="H503" s="210" t="b">
        <f t="shared" si="15"/>
        <v>1</v>
      </c>
      <c r="I503" s="210"/>
      <c r="J503" s="210"/>
    </row>
    <row r="504" spans="1:10" ht="13.8" x14ac:dyDescent="0.25">
      <c r="A504" s="7" t="s">
        <v>3358</v>
      </c>
      <c r="B504" s="152"/>
      <c r="C504" s="151" t="s">
        <v>4521</v>
      </c>
      <c r="D504" s="152">
        <v>6</v>
      </c>
      <c r="E504" s="152" t="s">
        <v>106</v>
      </c>
      <c r="F504" s="153">
        <v>1000000</v>
      </c>
      <c r="G504" s="153">
        <f>ROUNDDOWN(D504*F504,-3)</f>
        <v>6000000</v>
      </c>
      <c r="H504" s="210" t="b">
        <f t="shared" si="15"/>
        <v>1</v>
      </c>
      <c r="I504" s="210"/>
      <c r="J504" s="210"/>
    </row>
    <row r="505" spans="1:10" ht="13.8" x14ac:dyDescent="0.25">
      <c r="A505" s="7" t="s">
        <v>3359</v>
      </c>
      <c r="B505" s="60">
        <v>522151</v>
      </c>
      <c r="C505" s="41" t="s">
        <v>11</v>
      </c>
      <c r="D505" s="60"/>
      <c r="E505" s="60"/>
      <c r="F505" s="42"/>
      <c r="G505" s="42">
        <f>G506</f>
        <v>9000000</v>
      </c>
      <c r="H505" s="210" t="b">
        <f t="shared" si="15"/>
        <v>1</v>
      </c>
      <c r="I505" s="210"/>
      <c r="J505" s="210"/>
    </row>
    <row r="506" spans="1:10" ht="13.8" x14ac:dyDescent="0.25">
      <c r="A506" s="7" t="s">
        <v>3360</v>
      </c>
      <c r="B506" s="152"/>
      <c r="C506" s="151" t="s">
        <v>3715</v>
      </c>
      <c r="D506" s="152">
        <v>10</v>
      </c>
      <c r="E506" s="152" t="s">
        <v>12</v>
      </c>
      <c r="F506" s="153">
        <v>900000</v>
      </c>
      <c r="G506" s="153">
        <f>ROUNDDOWN(D506*F506,-3)</f>
        <v>9000000</v>
      </c>
      <c r="H506" s="210" t="b">
        <f t="shared" si="15"/>
        <v>1</v>
      </c>
      <c r="I506" s="210"/>
      <c r="J506" s="210"/>
    </row>
    <row r="507" spans="1:10" ht="13.8" x14ac:dyDescent="0.25">
      <c r="A507" s="7" t="s">
        <v>3361</v>
      </c>
      <c r="B507" s="60">
        <v>524111</v>
      </c>
      <c r="C507" s="41" t="s">
        <v>19</v>
      </c>
      <c r="D507" s="60"/>
      <c r="E507" s="60"/>
      <c r="F507" s="42"/>
      <c r="G507" s="42">
        <f>G508</f>
        <v>42000000</v>
      </c>
      <c r="H507" s="210" t="b">
        <f t="shared" si="15"/>
        <v>1</v>
      </c>
      <c r="I507" s="210"/>
      <c r="J507" s="210"/>
    </row>
    <row r="508" spans="1:10" ht="13.8" x14ac:dyDescent="0.25">
      <c r="A508" s="7" t="s">
        <v>3362</v>
      </c>
      <c r="B508" s="152"/>
      <c r="C508" s="151" t="s">
        <v>4586</v>
      </c>
      <c r="D508" s="152">
        <v>14</v>
      </c>
      <c r="E508" s="152" t="s">
        <v>10</v>
      </c>
      <c r="F508" s="153">
        <v>3000000</v>
      </c>
      <c r="G508" s="153">
        <f>ROUNDDOWN(D508*F508,-3)</f>
        <v>42000000</v>
      </c>
      <c r="H508" s="210" t="b">
        <f t="shared" si="15"/>
        <v>1</v>
      </c>
      <c r="I508" s="210"/>
      <c r="J508" s="210"/>
    </row>
    <row r="509" spans="1:10" ht="13.8" x14ac:dyDescent="0.25">
      <c r="A509" s="7" t="s">
        <v>3364</v>
      </c>
      <c r="B509" s="60">
        <v>524113</v>
      </c>
      <c r="C509" s="41" t="s">
        <v>13</v>
      </c>
      <c r="D509" s="60"/>
      <c r="E509" s="60"/>
      <c r="F509" s="42"/>
      <c r="G509" s="42">
        <f>G510</f>
        <v>3300000</v>
      </c>
      <c r="H509" s="210" t="b">
        <f t="shared" si="15"/>
        <v>1</v>
      </c>
      <c r="I509" s="210"/>
      <c r="J509" s="210"/>
    </row>
    <row r="510" spans="1:10" ht="13.8" x14ac:dyDescent="0.25">
      <c r="A510" s="7" t="s">
        <v>3365</v>
      </c>
      <c r="B510" s="152"/>
      <c r="C510" s="151" t="s">
        <v>4587</v>
      </c>
      <c r="D510" s="152">
        <v>22</v>
      </c>
      <c r="E510" s="152" t="s">
        <v>10</v>
      </c>
      <c r="F510" s="153">
        <v>150000</v>
      </c>
      <c r="G510" s="153">
        <f>ROUNDDOWN(D510*F510,-3)</f>
        <v>3300000</v>
      </c>
      <c r="H510" s="210" t="b">
        <f t="shared" si="15"/>
        <v>1</v>
      </c>
      <c r="I510" s="210"/>
      <c r="J510" s="210"/>
    </row>
    <row r="511" spans="1:10" ht="13.8" x14ac:dyDescent="0.25">
      <c r="A511" s="7" t="s">
        <v>3367</v>
      </c>
      <c r="B511" s="59" t="s">
        <v>519</v>
      </c>
      <c r="C511" s="38" t="s">
        <v>146</v>
      </c>
      <c r="D511" s="59"/>
      <c r="E511" s="59"/>
      <c r="F511" s="39"/>
      <c r="G511" s="39">
        <f>SUM(G512,G515,G517)</f>
        <v>28800000</v>
      </c>
      <c r="H511" s="210" t="b">
        <f t="shared" si="15"/>
        <v>1</v>
      </c>
      <c r="I511" s="210"/>
      <c r="J511" s="210"/>
    </row>
    <row r="512" spans="1:10" ht="13.8" x14ac:dyDescent="0.25">
      <c r="A512" s="7" t="s">
        <v>3368</v>
      </c>
      <c r="B512" s="60">
        <v>521211</v>
      </c>
      <c r="C512" s="41" t="s">
        <v>7</v>
      </c>
      <c r="D512" s="60"/>
      <c r="E512" s="60"/>
      <c r="F512" s="42"/>
      <c r="G512" s="42">
        <f>SUM(G513:G514)</f>
        <v>15000000</v>
      </c>
      <c r="H512" s="210" t="b">
        <f t="shared" si="15"/>
        <v>1</v>
      </c>
      <c r="I512" s="210"/>
      <c r="J512" s="210"/>
    </row>
    <row r="513" spans="1:10" ht="13.8" x14ac:dyDescent="0.25">
      <c r="A513" s="7" t="s">
        <v>3369</v>
      </c>
      <c r="B513" s="152"/>
      <c r="C513" s="151" t="s">
        <v>4269</v>
      </c>
      <c r="D513" s="152">
        <v>6</v>
      </c>
      <c r="E513" s="152" t="s">
        <v>9</v>
      </c>
      <c r="F513" s="153">
        <v>1500000</v>
      </c>
      <c r="G513" s="153">
        <f>ROUNDDOWN(D513*F513,-3)</f>
        <v>9000000</v>
      </c>
      <c r="H513" s="210" t="b">
        <f t="shared" si="15"/>
        <v>1</v>
      </c>
      <c r="I513" s="210"/>
      <c r="J513" s="210"/>
    </row>
    <row r="514" spans="1:10" ht="13.8" x14ac:dyDescent="0.25">
      <c r="A514" s="7" t="s">
        <v>3370</v>
      </c>
      <c r="B514" s="152"/>
      <c r="C514" s="151" t="s">
        <v>3632</v>
      </c>
      <c r="D514" s="152">
        <v>6</v>
      </c>
      <c r="E514" s="152" t="s">
        <v>106</v>
      </c>
      <c r="F514" s="153">
        <v>1000000</v>
      </c>
      <c r="G514" s="153">
        <f>ROUNDDOWN(D514*F514,-3)</f>
        <v>6000000</v>
      </c>
      <c r="H514" s="210" t="b">
        <f t="shared" si="15"/>
        <v>1</v>
      </c>
      <c r="I514" s="210"/>
      <c r="J514" s="210"/>
    </row>
    <row r="515" spans="1:10" ht="13.8" x14ac:dyDescent="0.25">
      <c r="A515" s="7" t="s">
        <v>3371</v>
      </c>
      <c r="B515" s="60">
        <v>524111</v>
      </c>
      <c r="C515" s="41" t="s">
        <v>19</v>
      </c>
      <c r="D515" s="60"/>
      <c r="E515" s="60"/>
      <c r="F515" s="42"/>
      <c r="G515" s="42">
        <f>G516</f>
        <v>12000000</v>
      </c>
      <c r="H515" s="210" t="b">
        <f t="shared" si="15"/>
        <v>1</v>
      </c>
      <c r="I515" s="210"/>
      <c r="J515" s="210"/>
    </row>
    <row r="516" spans="1:10" ht="13.8" x14ac:dyDescent="0.25">
      <c r="A516" s="7" t="s">
        <v>3372</v>
      </c>
      <c r="B516" s="152"/>
      <c r="C516" s="151" t="s">
        <v>4588</v>
      </c>
      <c r="D516" s="152">
        <v>4</v>
      </c>
      <c r="E516" s="152" t="s">
        <v>10</v>
      </c>
      <c r="F516" s="153">
        <v>3000000</v>
      </c>
      <c r="G516" s="153">
        <f>ROUNDDOWN(D516*F516,-3)</f>
        <v>12000000</v>
      </c>
      <c r="H516" s="210" t="b">
        <f t="shared" si="15"/>
        <v>1</v>
      </c>
      <c r="I516" s="210"/>
      <c r="J516" s="210"/>
    </row>
    <row r="517" spans="1:10" ht="13.8" x14ac:dyDescent="0.25">
      <c r="A517" s="7" t="s">
        <v>3374</v>
      </c>
      <c r="B517" s="60">
        <v>524113</v>
      </c>
      <c r="C517" s="41" t="s">
        <v>13</v>
      </c>
      <c r="D517" s="60"/>
      <c r="E517" s="60"/>
      <c r="F517" s="42"/>
      <c r="G517" s="42">
        <f>G518</f>
        <v>1800000</v>
      </c>
      <c r="H517" s="210" t="b">
        <f t="shared" si="15"/>
        <v>1</v>
      </c>
      <c r="I517" s="210"/>
      <c r="J517" s="210"/>
    </row>
    <row r="518" spans="1:10" ht="13.8" x14ac:dyDescent="0.25">
      <c r="A518" s="7" t="s">
        <v>3375</v>
      </c>
      <c r="B518" s="152"/>
      <c r="C518" s="151" t="s">
        <v>4589</v>
      </c>
      <c r="D518" s="152">
        <v>12</v>
      </c>
      <c r="E518" s="152" t="s">
        <v>10</v>
      </c>
      <c r="F518" s="153">
        <v>150000</v>
      </c>
      <c r="G518" s="153">
        <f>ROUNDDOWN(D518*F518,-3)</f>
        <v>1800000</v>
      </c>
      <c r="H518" s="210" t="b">
        <f t="shared" si="15"/>
        <v>1</v>
      </c>
      <c r="I518" s="210"/>
      <c r="J518" s="210"/>
    </row>
    <row r="519" spans="1:10" ht="13.8" x14ac:dyDescent="0.25">
      <c r="A519" s="7" t="s">
        <v>3377</v>
      </c>
      <c r="B519" s="59" t="s">
        <v>578</v>
      </c>
      <c r="C519" s="38" t="s">
        <v>147</v>
      </c>
      <c r="D519" s="59"/>
      <c r="E519" s="59"/>
      <c r="F519" s="39"/>
      <c r="G519" s="39">
        <f>SUM(G520,G522,G525,G527)</f>
        <v>76320000</v>
      </c>
      <c r="H519" s="210" t="b">
        <f t="shared" si="15"/>
        <v>1</v>
      </c>
      <c r="I519" s="210"/>
      <c r="J519" s="210"/>
    </row>
    <row r="520" spans="1:10" ht="13.8" x14ac:dyDescent="0.25">
      <c r="A520" s="7" t="s">
        <v>3378</v>
      </c>
      <c r="B520" s="60">
        <v>521211</v>
      </c>
      <c r="C520" s="41" t="s">
        <v>7</v>
      </c>
      <c r="D520" s="60"/>
      <c r="E520" s="60"/>
      <c r="F520" s="42"/>
      <c r="G520" s="42">
        <f>G521</f>
        <v>4800000</v>
      </c>
      <c r="H520" s="210" t="b">
        <f t="shared" si="15"/>
        <v>1</v>
      </c>
      <c r="I520" s="210"/>
      <c r="J520" s="210"/>
    </row>
    <row r="521" spans="1:10" ht="13.8" x14ac:dyDescent="0.25">
      <c r="A521" s="7" t="s">
        <v>3379</v>
      </c>
      <c r="B521" s="152"/>
      <c r="C521" s="151" t="s">
        <v>4590</v>
      </c>
      <c r="D521" s="152">
        <v>24</v>
      </c>
      <c r="E521" s="152" t="s">
        <v>176</v>
      </c>
      <c r="F521" s="153">
        <v>200000</v>
      </c>
      <c r="G521" s="153">
        <f>ROUNDDOWN(D521*F521,-3)</f>
        <v>4800000</v>
      </c>
      <c r="H521" s="210" t="b">
        <f t="shared" si="15"/>
        <v>1</v>
      </c>
      <c r="I521" s="210"/>
      <c r="J521" s="210"/>
    </row>
    <row r="522" spans="1:10" ht="13.8" x14ac:dyDescent="0.25">
      <c r="A522" s="7" t="s">
        <v>3381</v>
      </c>
      <c r="B522" s="60">
        <v>521811</v>
      </c>
      <c r="C522" s="41" t="s">
        <v>64</v>
      </c>
      <c r="D522" s="60"/>
      <c r="E522" s="60"/>
      <c r="F522" s="42"/>
      <c r="G522" s="42">
        <f>SUM(G523:G524)</f>
        <v>25000000</v>
      </c>
      <c r="H522" s="210" t="b">
        <f t="shared" si="15"/>
        <v>1</v>
      </c>
      <c r="I522" s="210"/>
      <c r="J522" s="210"/>
    </row>
    <row r="523" spans="1:10" ht="13.8" x14ac:dyDescent="0.25">
      <c r="A523" s="7" t="s">
        <v>3382</v>
      </c>
      <c r="B523" s="152"/>
      <c r="C523" s="151" t="s">
        <v>4269</v>
      </c>
      <c r="D523" s="152">
        <v>10</v>
      </c>
      <c r="E523" s="152" t="s">
        <v>9</v>
      </c>
      <c r="F523" s="153">
        <v>1500000</v>
      </c>
      <c r="G523" s="153">
        <f>ROUNDDOWN(D523*F523,-3)</f>
        <v>15000000</v>
      </c>
      <c r="H523" s="210" t="b">
        <f t="shared" si="15"/>
        <v>1</v>
      </c>
      <c r="I523" s="210"/>
      <c r="J523" s="210"/>
    </row>
    <row r="524" spans="1:10" ht="13.8" x14ac:dyDescent="0.25">
      <c r="A524" s="7" t="s">
        <v>3383</v>
      </c>
      <c r="B524" s="152"/>
      <c r="C524" s="151" t="s">
        <v>3632</v>
      </c>
      <c r="D524" s="152">
        <v>10</v>
      </c>
      <c r="E524" s="152" t="s">
        <v>2749</v>
      </c>
      <c r="F524" s="153">
        <v>1000000</v>
      </c>
      <c r="G524" s="153">
        <f>ROUNDDOWN(D524*F524,-3)</f>
        <v>10000000</v>
      </c>
      <c r="H524" s="210" t="b">
        <f t="shared" si="15"/>
        <v>1</v>
      </c>
      <c r="I524" s="210"/>
      <c r="J524" s="210"/>
    </row>
    <row r="525" spans="1:10" ht="13.8" x14ac:dyDescent="0.25">
      <c r="A525" s="7" t="s">
        <v>3384</v>
      </c>
      <c r="B525" s="60">
        <v>524111</v>
      </c>
      <c r="C525" s="41" t="s">
        <v>19</v>
      </c>
      <c r="D525" s="60"/>
      <c r="E525" s="60"/>
      <c r="F525" s="42"/>
      <c r="G525" s="42">
        <f>G526</f>
        <v>42770000</v>
      </c>
      <c r="H525" s="210" t="b">
        <f t="shared" si="15"/>
        <v>1</v>
      </c>
      <c r="I525" s="210"/>
      <c r="J525" s="210"/>
    </row>
    <row r="526" spans="1:10" ht="13.8" x14ac:dyDescent="0.25">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3.8" x14ac:dyDescent="0.25">
      <c r="A527" s="7" t="s">
        <v>3387</v>
      </c>
      <c r="B527" s="60">
        <v>524113</v>
      </c>
      <c r="C527" s="41" t="s">
        <v>13</v>
      </c>
      <c r="D527" s="60"/>
      <c r="E527" s="60"/>
      <c r="F527" s="42"/>
      <c r="G527" s="42">
        <f>G528</f>
        <v>3750000</v>
      </c>
      <c r="H527" s="210" t="b">
        <f t="shared" si="16"/>
        <v>1</v>
      </c>
      <c r="I527" s="210"/>
      <c r="J527" s="210"/>
    </row>
    <row r="528" spans="1:10" ht="13.8" x14ac:dyDescent="0.25">
      <c r="A528" s="7" t="s">
        <v>3388</v>
      </c>
      <c r="B528" s="152"/>
      <c r="C528" s="151" t="s">
        <v>3618</v>
      </c>
      <c r="D528" s="152">
        <v>25</v>
      </c>
      <c r="E528" s="152" t="s">
        <v>10</v>
      </c>
      <c r="F528" s="153">
        <v>150000</v>
      </c>
      <c r="G528" s="153">
        <f>ROUNDDOWN(D528*F528,-3)</f>
        <v>3750000</v>
      </c>
      <c r="H528" s="210" t="b">
        <f t="shared" si="16"/>
        <v>1</v>
      </c>
      <c r="I528" s="210"/>
      <c r="J528" s="210"/>
    </row>
    <row r="529" spans="1:10" ht="13.8" x14ac:dyDescent="0.25">
      <c r="A529" s="7" t="s">
        <v>495</v>
      </c>
      <c r="B529" s="55">
        <v>4345</v>
      </c>
      <c r="C529" s="26" t="s">
        <v>188</v>
      </c>
      <c r="D529" s="55"/>
      <c r="E529" s="55"/>
      <c r="F529" s="27"/>
      <c r="G529" s="27">
        <f>G530</f>
        <v>8582500000</v>
      </c>
      <c r="H529" s="210" t="b">
        <f t="shared" si="16"/>
        <v>1</v>
      </c>
      <c r="I529" s="210"/>
      <c r="J529" s="210"/>
    </row>
    <row r="530" spans="1:10" ht="13.8" x14ac:dyDescent="0.25">
      <c r="A530" s="7" t="s">
        <v>3473</v>
      </c>
      <c r="B530" s="135" t="s">
        <v>3474</v>
      </c>
      <c r="C530" s="133" t="s">
        <v>2312</v>
      </c>
      <c r="D530" s="135">
        <v>4725</v>
      </c>
      <c r="E530" s="135" t="s">
        <v>155</v>
      </c>
      <c r="F530" s="136"/>
      <c r="G530" s="136">
        <f>G531</f>
        <v>8582500000</v>
      </c>
      <c r="H530" s="210" t="b">
        <f t="shared" si="16"/>
        <v>1</v>
      </c>
      <c r="I530" s="210"/>
      <c r="J530" s="210"/>
    </row>
    <row r="531" spans="1:10" ht="13.8" x14ac:dyDescent="0.25">
      <c r="A531" s="7" t="s">
        <v>3475</v>
      </c>
      <c r="B531" s="138" t="s">
        <v>4611</v>
      </c>
      <c r="C531" s="137" t="s">
        <v>3477</v>
      </c>
      <c r="D531" s="138">
        <v>4725</v>
      </c>
      <c r="E531" s="138" t="s">
        <v>155</v>
      </c>
      <c r="F531" s="139"/>
      <c r="G531" s="139">
        <f>SUM(G532,G580)</f>
        <v>8582500000</v>
      </c>
      <c r="H531" s="210" t="b">
        <f t="shared" si="16"/>
        <v>1</v>
      </c>
      <c r="I531" s="210"/>
      <c r="J531" s="210"/>
    </row>
    <row r="532" spans="1:10" ht="13.8" x14ac:dyDescent="0.25">
      <c r="A532" s="7" t="s">
        <v>3478</v>
      </c>
      <c r="B532" s="58">
        <v>301</v>
      </c>
      <c r="C532" s="35" t="s">
        <v>189</v>
      </c>
      <c r="D532" s="58"/>
      <c r="E532" s="58"/>
      <c r="F532" s="36"/>
      <c r="G532" s="36">
        <f>SUM(G533,G552,G568,G577)</f>
        <v>8473300000</v>
      </c>
      <c r="H532" s="210" t="b">
        <f t="shared" si="16"/>
        <v>1</v>
      </c>
      <c r="I532" s="210"/>
      <c r="J532" s="210"/>
    </row>
    <row r="533" spans="1:10" ht="13.8" x14ac:dyDescent="0.25">
      <c r="A533" s="7" t="s">
        <v>3479</v>
      </c>
      <c r="B533" s="59" t="s">
        <v>8</v>
      </c>
      <c r="C533" s="38" t="s">
        <v>190</v>
      </c>
      <c r="D533" s="59"/>
      <c r="E533" s="59"/>
      <c r="F533" s="39"/>
      <c r="G533" s="39">
        <f>SUM(G534,G539,G542,G545,G547,G549)</f>
        <v>1713564000</v>
      </c>
      <c r="H533" s="210" t="b">
        <f t="shared" si="16"/>
        <v>1</v>
      </c>
      <c r="I533" s="210"/>
      <c r="J533" s="210"/>
    </row>
    <row r="534" spans="1:10" ht="13.8" x14ac:dyDescent="0.25">
      <c r="A534" s="7" t="s">
        <v>3480</v>
      </c>
      <c r="B534" s="60">
        <v>521211</v>
      </c>
      <c r="C534" s="41" t="s">
        <v>7</v>
      </c>
      <c r="D534" s="60"/>
      <c r="E534" s="60"/>
      <c r="F534" s="42"/>
      <c r="G534" s="42">
        <f>SUM(G535:G538)</f>
        <v>99100000</v>
      </c>
      <c r="H534" s="210" t="b">
        <f t="shared" si="16"/>
        <v>1</v>
      </c>
      <c r="I534" s="210"/>
      <c r="J534" s="210"/>
    </row>
    <row r="535" spans="1:10" ht="13.8" x14ac:dyDescent="0.25">
      <c r="A535" s="7" t="s">
        <v>3481</v>
      </c>
      <c r="B535" s="152"/>
      <c r="C535" s="151" t="s">
        <v>4612</v>
      </c>
      <c r="D535" s="152">
        <v>400</v>
      </c>
      <c r="E535" s="152" t="s">
        <v>10</v>
      </c>
      <c r="F535" s="153">
        <v>70000</v>
      </c>
      <c r="G535" s="153">
        <f>ROUNDDOWN(D535*F535,-3)</f>
        <v>28000000</v>
      </c>
      <c r="H535" s="210" t="b">
        <f t="shared" si="16"/>
        <v>1</v>
      </c>
      <c r="I535" s="210"/>
      <c r="J535" s="210"/>
    </row>
    <row r="536" spans="1:10" ht="13.8" x14ac:dyDescent="0.25">
      <c r="A536" s="7" t="s">
        <v>3482</v>
      </c>
      <c r="B536" s="152"/>
      <c r="C536" s="151" t="s">
        <v>4613</v>
      </c>
      <c r="D536" s="152">
        <v>10</v>
      </c>
      <c r="E536" s="152" t="s">
        <v>9</v>
      </c>
      <c r="F536" s="153">
        <v>1500000</v>
      </c>
      <c r="G536" s="153">
        <f>ROUNDDOWN(D536*F536,-3)</f>
        <v>15000000</v>
      </c>
      <c r="H536" s="210" t="b">
        <f t="shared" si="16"/>
        <v>1</v>
      </c>
      <c r="I536" s="210"/>
      <c r="J536" s="210"/>
    </row>
    <row r="537" spans="1:10" ht="13.8" x14ac:dyDescent="0.25">
      <c r="A537" s="7" t="s">
        <v>3484</v>
      </c>
      <c r="B537" s="152"/>
      <c r="C537" s="151" t="s">
        <v>4614</v>
      </c>
      <c r="D537" s="152">
        <v>120</v>
      </c>
      <c r="E537" s="152" t="s">
        <v>25</v>
      </c>
      <c r="F537" s="153">
        <v>280000</v>
      </c>
      <c r="G537" s="153">
        <f>ROUNDDOWN(D537*F537,-3)</f>
        <v>33600000</v>
      </c>
      <c r="H537" s="210" t="b">
        <f t="shared" si="16"/>
        <v>1</v>
      </c>
      <c r="I537" s="210"/>
      <c r="J537" s="210"/>
    </row>
    <row r="538" spans="1:10" ht="13.8" x14ac:dyDescent="0.25">
      <c r="A538" s="7" t="s">
        <v>3486</v>
      </c>
      <c r="B538" s="152"/>
      <c r="C538" s="151" t="s">
        <v>4615</v>
      </c>
      <c r="D538" s="152">
        <v>150</v>
      </c>
      <c r="E538" s="152" t="s">
        <v>25</v>
      </c>
      <c r="F538" s="153">
        <v>150000</v>
      </c>
      <c r="G538" s="153">
        <f>ROUNDDOWN(D538*F538,-3)</f>
        <v>22500000</v>
      </c>
      <c r="H538" s="210" t="b">
        <f t="shared" si="16"/>
        <v>1</v>
      </c>
      <c r="I538" s="210"/>
      <c r="J538" s="210"/>
    </row>
    <row r="539" spans="1:10" ht="13.8" x14ac:dyDescent="0.25">
      <c r="A539" s="7" t="s">
        <v>3488</v>
      </c>
      <c r="B539" s="60">
        <v>521219</v>
      </c>
      <c r="C539" s="41" t="s">
        <v>53</v>
      </c>
      <c r="D539" s="60"/>
      <c r="E539" s="60"/>
      <c r="F539" s="42"/>
      <c r="G539" s="42">
        <f>SUM(G540:G541)</f>
        <v>1333864000</v>
      </c>
      <c r="H539" s="210" t="b">
        <f t="shared" si="16"/>
        <v>1</v>
      </c>
      <c r="I539" s="210"/>
      <c r="J539" s="210"/>
    </row>
    <row r="540" spans="1:10" ht="13.8" x14ac:dyDescent="0.25">
      <c r="A540" s="7" t="s">
        <v>3489</v>
      </c>
      <c r="B540" s="152"/>
      <c r="C540" s="151" t="s">
        <v>4616</v>
      </c>
      <c r="D540" s="152">
        <v>33</v>
      </c>
      <c r="E540" s="152" t="s">
        <v>155</v>
      </c>
      <c r="F540" s="153">
        <v>40412550</v>
      </c>
      <c r="G540" s="153">
        <f>ROUNDDOWN(D540*F540,-3)</f>
        <v>1333614000</v>
      </c>
      <c r="H540" s="210" t="b">
        <f t="shared" si="16"/>
        <v>1</v>
      </c>
      <c r="I540" s="210"/>
      <c r="J540" s="210"/>
    </row>
    <row r="541" spans="1:10" ht="13.8" x14ac:dyDescent="0.25">
      <c r="A541" s="7" t="s">
        <v>3491</v>
      </c>
      <c r="B541" s="152"/>
      <c r="C541" s="151" t="s">
        <v>4617</v>
      </c>
      <c r="D541" s="152">
        <v>1</v>
      </c>
      <c r="E541" s="152" t="s">
        <v>9</v>
      </c>
      <c r="F541" s="153">
        <v>250000</v>
      </c>
      <c r="G541" s="153">
        <f>ROUNDDOWN(D541*F541,-3)</f>
        <v>250000</v>
      </c>
      <c r="H541" s="210" t="b">
        <f t="shared" si="16"/>
        <v>1</v>
      </c>
      <c r="I541" s="210"/>
      <c r="J541" s="210"/>
    </row>
    <row r="542" spans="1:10" ht="13.8" x14ac:dyDescent="0.25">
      <c r="A542" s="7" t="s">
        <v>3492</v>
      </c>
      <c r="B542" s="60">
        <v>521811</v>
      </c>
      <c r="C542" s="41" t="s">
        <v>64</v>
      </c>
      <c r="D542" s="60"/>
      <c r="E542" s="60"/>
      <c r="F542" s="42"/>
      <c r="G542" s="42">
        <f>SUM(G543:G544)</f>
        <v>25000000</v>
      </c>
      <c r="H542" s="210" t="b">
        <f t="shared" si="16"/>
        <v>1</v>
      </c>
      <c r="I542" s="210"/>
      <c r="J542" s="210"/>
    </row>
    <row r="543" spans="1:10" ht="13.8" x14ac:dyDescent="0.25">
      <c r="A543" s="7" t="s">
        <v>3493</v>
      </c>
      <c r="B543" s="152"/>
      <c r="C543" s="151" t="s">
        <v>4269</v>
      </c>
      <c r="D543" s="152">
        <v>10</v>
      </c>
      <c r="E543" s="152" t="s">
        <v>9</v>
      </c>
      <c r="F543" s="153">
        <v>1000000</v>
      </c>
      <c r="G543" s="153">
        <f>ROUNDDOWN(D543*F543,-3)</f>
        <v>10000000</v>
      </c>
      <c r="H543" s="210" t="b">
        <f t="shared" si="16"/>
        <v>1</v>
      </c>
      <c r="I543" s="210"/>
      <c r="J543" s="210"/>
    </row>
    <row r="544" spans="1:10" ht="13.8" x14ac:dyDescent="0.25">
      <c r="A544" s="7" t="s">
        <v>3494</v>
      </c>
      <c r="B544" s="152"/>
      <c r="C544" s="151" t="s">
        <v>3632</v>
      </c>
      <c r="D544" s="152">
        <v>10</v>
      </c>
      <c r="E544" s="152" t="s">
        <v>9</v>
      </c>
      <c r="F544" s="153">
        <v>1500000</v>
      </c>
      <c r="G544" s="153">
        <f>ROUNDDOWN(D544*F544,-3)</f>
        <v>15000000</v>
      </c>
      <c r="H544" s="210" t="b">
        <f t="shared" si="16"/>
        <v>1</v>
      </c>
      <c r="I544" s="210"/>
      <c r="J544" s="210"/>
    </row>
    <row r="545" spans="1:10" ht="13.8" x14ac:dyDescent="0.25">
      <c r="A545" s="7" t="s">
        <v>3495</v>
      </c>
      <c r="B545" s="60">
        <v>522151</v>
      </c>
      <c r="C545" s="41" t="s">
        <v>11</v>
      </c>
      <c r="D545" s="60"/>
      <c r="E545" s="60"/>
      <c r="F545" s="42"/>
      <c r="G545" s="42">
        <f>G546</f>
        <v>15000000</v>
      </c>
      <c r="H545" s="210" t="b">
        <f t="shared" si="16"/>
        <v>1</v>
      </c>
      <c r="I545" s="210"/>
      <c r="J545" s="210"/>
    </row>
    <row r="546" spans="1:10" ht="13.8" x14ac:dyDescent="0.25">
      <c r="A546" s="7" t="s">
        <v>3496</v>
      </c>
      <c r="B546" s="152"/>
      <c r="C546" s="151" t="s">
        <v>3715</v>
      </c>
      <c r="D546" s="152">
        <v>15</v>
      </c>
      <c r="E546" s="152" t="s">
        <v>12</v>
      </c>
      <c r="F546" s="153">
        <v>1000000</v>
      </c>
      <c r="G546" s="153">
        <f>ROUNDDOWN(D546*F546,-3)</f>
        <v>15000000</v>
      </c>
      <c r="H546" s="210" t="b">
        <f t="shared" si="16"/>
        <v>1</v>
      </c>
      <c r="I546" s="210"/>
      <c r="J546" s="210"/>
    </row>
    <row r="547" spans="1:10" ht="13.8" x14ac:dyDescent="0.25">
      <c r="A547" s="7" t="s">
        <v>3497</v>
      </c>
      <c r="B547" s="60">
        <v>522191</v>
      </c>
      <c r="C547" s="41" t="s">
        <v>22</v>
      </c>
      <c r="D547" s="60"/>
      <c r="E547" s="60"/>
      <c r="F547" s="42"/>
      <c r="G547" s="42">
        <f>G548</f>
        <v>102600000</v>
      </c>
      <c r="H547" s="210" t="b">
        <f t="shared" si="16"/>
        <v>1</v>
      </c>
      <c r="I547" s="210"/>
      <c r="J547" s="210"/>
    </row>
    <row r="548" spans="1:10" ht="13.8" x14ac:dyDescent="0.25">
      <c r="A548" s="7" t="s">
        <v>3498</v>
      </c>
      <c r="B548" s="152"/>
      <c r="C548" s="151" t="s">
        <v>4618</v>
      </c>
      <c r="D548" s="152">
        <v>120</v>
      </c>
      <c r="E548" s="152" t="s">
        <v>155</v>
      </c>
      <c r="F548" s="153">
        <v>855000</v>
      </c>
      <c r="G548" s="153">
        <f>ROUNDDOWN(D548*F548,-3)</f>
        <v>102600000</v>
      </c>
      <c r="H548" s="210" t="b">
        <f t="shared" si="16"/>
        <v>1</v>
      </c>
      <c r="I548" s="210"/>
      <c r="J548" s="210"/>
    </row>
    <row r="549" spans="1:10" ht="13.8" x14ac:dyDescent="0.25">
      <c r="A549" s="7" t="s">
        <v>3500</v>
      </c>
      <c r="B549" s="60">
        <v>524111</v>
      </c>
      <c r="C549" s="41" t="s">
        <v>19</v>
      </c>
      <c r="D549" s="60"/>
      <c r="E549" s="60"/>
      <c r="F549" s="42"/>
      <c r="G549" s="42">
        <f>SUM(G550:G551)</f>
        <v>138000000</v>
      </c>
      <c r="H549" s="210" t="b">
        <f t="shared" si="16"/>
        <v>1</v>
      </c>
      <c r="I549" s="210"/>
      <c r="J549" s="210"/>
    </row>
    <row r="550" spans="1:10" ht="13.8" x14ac:dyDescent="0.25">
      <c r="A550" s="7" t="s">
        <v>3501</v>
      </c>
      <c r="B550" s="152"/>
      <c r="C550" s="151" t="s">
        <v>4619</v>
      </c>
      <c r="D550" s="152">
        <v>50</v>
      </c>
      <c r="E550" s="152" t="s">
        <v>10</v>
      </c>
      <c r="F550" s="153">
        <v>1200000</v>
      </c>
      <c r="G550" s="153">
        <f>ROUNDDOWN(D550*F550,-3)</f>
        <v>60000000</v>
      </c>
      <c r="H550" s="210" t="b">
        <f t="shared" si="16"/>
        <v>1</v>
      </c>
      <c r="I550" s="210"/>
      <c r="J550" s="210"/>
    </row>
    <row r="551" spans="1:10" ht="13.8" x14ac:dyDescent="0.25">
      <c r="A551" s="7" t="s">
        <v>3503</v>
      </c>
      <c r="B551" s="152"/>
      <c r="C551" s="151" t="s">
        <v>4620</v>
      </c>
      <c r="D551" s="152">
        <v>12</v>
      </c>
      <c r="E551" s="152" t="s">
        <v>10</v>
      </c>
      <c r="F551" s="153">
        <v>6500000</v>
      </c>
      <c r="G551" s="153">
        <f>ROUNDDOWN(D551*F551,-3)</f>
        <v>78000000</v>
      </c>
      <c r="H551" s="210" t="b">
        <f t="shared" si="16"/>
        <v>1</v>
      </c>
      <c r="I551" s="210"/>
      <c r="J551" s="210"/>
    </row>
    <row r="552" spans="1:10" ht="13.8" x14ac:dyDescent="0.25">
      <c r="A552" s="7" t="s">
        <v>3505</v>
      </c>
      <c r="B552" s="59" t="s">
        <v>511</v>
      </c>
      <c r="C552" s="38" t="s">
        <v>191</v>
      </c>
      <c r="D552" s="59"/>
      <c r="E552" s="59"/>
      <c r="F552" s="39"/>
      <c r="G552" s="39">
        <f>SUM(G553,G556,G560,G563,G565)</f>
        <v>6555695000</v>
      </c>
      <c r="H552" s="210" t="b">
        <f t="shared" si="16"/>
        <v>1</v>
      </c>
      <c r="I552" s="210"/>
      <c r="J552" s="210"/>
    </row>
    <row r="553" spans="1:10" ht="13.8" x14ac:dyDescent="0.25">
      <c r="A553" s="7" t="s">
        <v>3506</v>
      </c>
      <c r="B553" s="60">
        <v>521211</v>
      </c>
      <c r="C553" s="41" t="s">
        <v>7</v>
      </c>
      <c r="D553" s="60"/>
      <c r="E553" s="60"/>
      <c r="F553" s="42"/>
      <c r="G553" s="42">
        <f>SUM(G554:G555)</f>
        <v>25000000</v>
      </c>
      <c r="H553" s="210" t="b">
        <f t="shared" si="16"/>
        <v>1</v>
      </c>
      <c r="I553" s="210"/>
      <c r="J553" s="210"/>
    </row>
    <row r="554" spans="1:10" ht="13.8" x14ac:dyDescent="0.25">
      <c r="A554" s="7" t="s">
        <v>3507</v>
      </c>
      <c r="B554" s="152"/>
      <c r="C554" s="151" t="s">
        <v>4612</v>
      </c>
      <c r="D554" s="152">
        <v>100</v>
      </c>
      <c r="E554" s="152" t="s">
        <v>10</v>
      </c>
      <c r="F554" s="153">
        <v>70000</v>
      </c>
      <c r="G554" s="153">
        <f>ROUNDDOWN(D554*F554,-3)</f>
        <v>7000000</v>
      </c>
      <c r="H554" s="210" t="b">
        <f t="shared" si="16"/>
        <v>1</v>
      </c>
      <c r="I554" s="210"/>
      <c r="J554" s="210"/>
    </row>
    <row r="555" spans="1:10" ht="13.8" x14ac:dyDescent="0.25">
      <c r="A555" s="7" t="s">
        <v>3508</v>
      </c>
      <c r="B555" s="152"/>
      <c r="C555" s="151" t="s">
        <v>4613</v>
      </c>
      <c r="D555" s="152">
        <v>12</v>
      </c>
      <c r="E555" s="152" t="s">
        <v>9</v>
      </c>
      <c r="F555" s="153">
        <v>1500000</v>
      </c>
      <c r="G555" s="153">
        <f>ROUNDDOWN(D555*F555,-3)</f>
        <v>18000000</v>
      </c>
      <c r="H555" s="210" t="b">
        <f t="shared" si="16"/>
        <v>1</v>
      </c>
      <c r="I555" s="210"/>
      <c r="J555" s="210"/>
    </row>
    <row r="556" spans="1:10" ht="13.8" x14ac:dyDescent="0.25">
      <c r="A556" s="7" t="s">
        <v>3509</v>
      </c>
      <c r="B556" s="60">
        <v>521219</v>
      </c>
      <c r="C556" s="41" t="s">
        <v>53</v>
      </c>
      <c r="D556" s="60"/>
      <c r="E556" s="60"/>
      <c r="F556" s="42"/>
      <c r="G556" s="42">
        <f>SUM(G557:G559)</f>
        <v>6308695000</v>
      </c>
      <c r="H556" s="210" t="b">
        <f t="shared" si="16"/>
        <v>1</v>
      </c>
      <c r="I556" s="210"/>
      <c r="J556" s="210"/>
    </row>
    <row r="557" spans="1:10" ht="13.8" x14ac:dyDescent="0.25">
      <c r="A557" s="7" t="s">
        <v>3510</v>
      </c>
      <c r="B557" s="152"/>
      <c r="C557" s="151" t="s">
        <v>4616</v>
      </c>
      <c r="D557" s="152">
        <v>157</v>
      </c>
      <c r="E557" s="152" t="s">
        <v>155</v>
      </c>
      <c r="F557" s="153">
        <v>40130229</v>
      </c>
      <c r="G557" s="153">
        <f>ROUNDDOWN(D557*F557,-3)</f>
        <v>6300445000</v>
      </c>
      <c r="H557" s="210" t="b">
        <f t="shared" si="16"/>
        <v>1</v>
      </c>
      <c r="I557" s="210"/>
      <c r="J557" s="210"/>
    </row>
    <row r="558" spans="1:10" ht="13.8" x14ac:dyDescent="0.25">
      <c r="A558" s="7" t="s">
        <v>3511</v>
      </c>
      <c r="B558" s="152"/>
      <c r="C558" s="151" t="s">
        <v>4617</v>
      </c>
      <c r="D558" s="152">
        <v>3</v>
      </c>
      <c r="E558" s="152" t="s">
        <v>9</v>
      </c>
      <c r="F558" s="153">
        <v>250000</v>
      </c>
      <c r="G558" s="153">
        <f>ROUNDDOWN(D558*F558,-3)</f>
        <v>750000</v>
      </c>
      <c r="H558" s="210" t="b">
        <f t="shared" si="16"/>
        <v>1</v>
      </c>
      <c r="I558" s="210"/>
      <c r="J558" s="210"/>
    </row>
    <row r="559" spans="1:10" ht="13.8" x14ac:dyDescent="0.25">
      <c r="A559" s="7" t="s">
        <v>3512</v>
      </c>
      <c r="B559" s="152"/>
      <c r="C559" s="151" t="s">
        <v>4621</v>
      </c>
      <c r="D559" s="152">
        <v>15</v>
      </c>
      <c r="E559" s="152" t="s">
        <v>106</v>
      </c>
      <c r="F559" s="153">
        <v>500000</v>
      </c>
      <c r="G559" s="153">
        <f>ROUNDDOWN(D559*F559,-3)</f>
        <v>7500000</v>
      </c>
      <c r="H559" s="210" t="b">
        <f t="shared" si="16"/>
        <v>1</v>
      </c>
      <c r="I559" s="210"/>
      <c r="J559" s="210"/>
    </row>
    <row r="560" spans="1:10" ht="13.8" x14ac:dyDescent="0.25">
      <c r="A560" s="7" t="s">
        <v>3514</v>
      </c>
      <c r="B560" s="60">
        <v>521811</v>
      </c>
      <c r="C560" s="41" t="s">
        <v>64</v>
      </c>
      <c r="D560" s="60"/>
      <c r="E560" s="60"/>
      <c r="F560" s="42"/>
      <c r="G560" s="42">
        <f>SUM(G561:G562)</f>
        <v>30000000</v>
      </c>
      <c r="H560" s="210" t="b">
        <f t="shared" si="16"/>
        <v>1</v>
      </c>
      <c r="I560" s="210"/>
      <c r="J560" s="210"/>
    </row>
    <row r="561" spans="1:10" ht="13.8" x14ac:dyDescent="0.25">
      <c r="A561" s="7" t="s">
        <v>3515</v>
      </c>
      <c r="B561" s="152"/>
      <c r="C561" s="151" t="s">
        <v>4269</v>
      </c>
      <c r="D561" s="152">
        <v>12</v>
      </c>
      <c r="E561" s="152" t="s">
        <v>9</v>
      </c>
      <c r="F561" s="153">
        <v>1000000</v>
      </c>
      <c r="G561" s="153">
        <f>ROUNDDOWN(D561*F561,-3)</f>
        <v>12000000</v>
      </c>
      <c r="H561" s="210" t="b">
        <f t="shared" si="16"/>
        <v>1</v>
      </c>
      <c r="I561" s="210"/>
      <c r="J561" s="210"/>
    </row>
    <row r="562" spans="1:10" ht="13.8" x14ac:dyDescent="0.25">
      <c r="A562" s="7" t="s">
        <v>3516</v>
      </c>
      <c r="B562" s="152"/>
      <c r="C562" s="151" t="s">
        <v>3632</v>
      </c>
      <c r="D562" s="152">
        <v>12</v>
      </c>
      <c r="E562" s="152" t="s">
        <v>9</v>
      </c>
      <c r="F562" s="153">
        <v>1500000</v>
      </c>
      <c r="G562" s="153">
        <f>ROUNDDOWN(D562*F562,-3)</f>
        <v>18000000</v>
      </c>
      <c r="H562" s="210" t="b">
        <f t="shared" si="16"/>
        <v>1</v>
      </c>
      <c r="I562" s="210"/>
      <c r="J562" s="210"/>
    </row>
    <row r="563" spans="1:10" ht="13.8" x14ac:dyDescent="0.25">
      <c r="A563" s="7" t="s">
        <v>3517</v>
      </c>
      <c r="B563" s="60">
        <v>522151</v>
      </c>
      <c r="C563" s="41" t="s">
        <v>11</v>
      </c>
      <c r="D563" s="60"/>
      <c r="E563" s="60"/>
      <c r="F563" s="42"/>
      <c r="G563" s="42">
        <f>G564</f>
        <v>6000000</v>
      </c>
      <c r="H563" s="210" t="b">
        <f t="shared" si="16"/>
        <v>1</v>
      </c>
      <c r="I563" s="210"/>
      <c r="J563" s="210"/>
    </row>
    <row r="564" spans="1:10" ht="13.8" x14ac:dyDescent="0.25">
      <c r="A564" s="7" t="s">
        <v>3518</v>
      </c>
      <c r="B564" s="152"/>
      <c r="C564" s="151" t="s">
        <v>3715</v>
      </c>
      <c r="D564" s="152">
        <v>6</v>
      </c>
      <c r="E564" s="152" t="s">
        <v>12</v>
      </c>
      <c r="F564" s="153">
        <v>1000000</v>
      </c>
      <c r="G564" s="153">
        <f>ROUNDDOWN(D564*F564,-3)</f>
        <v>6000000</v>
      </c>
      <c r="H564" s="210" t="b">
        <f t="shared" si="16"/>
        <v>1</v>
      </c>
      <c r="I564" s="210"/>
      <c r="J564" s="210"/>
    </row>
    <row r="565" spans="1:10" ht="13.8" x14ac:dyDescent="0.25">
      <c r="A565" s="7" t="s">
        <v>3519</v>
      </c>
      <c r="B565" s="60">
        <v>524111</v>
      </c>
      <c r="C565" s="41" t="s">
        <v>19</v>
      </c>
      <c r="D565" s="60"/>
      <c r="E565" s="60"/>
      <c r="F565" s="42"/>
      <c r="G565" s="42">
        <f>SUM(G566:G567)</f>
        <v>186000000</v>
      </c>
      <c r="H565" s="210" t="b">
        <f t="shared" si="16"/>
        <v>1</v>
      </c>
      <c r="I565" s="210"/>
      <c r="J565" s="210"/>
    </row>
    <row r="566" spans="1:10" ht="13.8" x14ac:dyDescent="0.25">
      <c r="A566" s="7" t="s">
        <v>3520</v>
      </c>
      <c r="B566" s="152"/>
      <c r="C566" s="151" t="s">
        <v>4619</v>
      </c>
      <c r="D566" s="152">
        <v>20</v>
      </c>
      <c r="E566" s="152" t="s">
        <v>10</v>
      </c>
      <c r="F566" s="153">
        <v>1500000</v>
      </c>
      <c r="G566" s="153">
        <f>ROUNDDOWN(D566*F566,-3)</f>
        <v>30000000</v>
      </c>
      <c r="H566" s="210" t="b">
        <f t="shared" si="16"/>
        <v>1</v>
      </c>
      <c r="I566" s="210"/>
      <c r="J566" s="210"/>
    </row>
    <row r="567" spans="1:10" ht="13.8" x14ac:dyDescent="0.25">
      <c r="A567" s="7" t="s">
        <v>3521</v>
      </c>
      <c r="B567" s="152"/>
      <c r="C567" s="151" t="s">
        <v>4620</v>
      </c>
      <c r="D567" s="152">
        <v>24</v>
      </c>
      <c r="E567" s="152" t="s">
        <v>10</v>
      </c>
      <c r="F567" s="153">
        <v>6500000</v>
      </c>
      <c r="G567" s="153">
        <f>ROUNDDOWN(D567*F567,-3)</f>
        <v>156000000</v>
      </c>
      <c r="H567" s="210" t="b">
        <f t="shared" si="16"/>
        <v>1</v>
      </c>
      <c r="I567" s="210"/>
      <c r="J567" s="210"/>
    </row>
    <row r="568" spans="1:10" ht="13.8" x14ac:dyDescent="0.25">
      <c r="A568" s="7" t="s">
        <v>3522</v>
      </c>
      <c r="B568" s="59" t="s">
        <v>512</v>
      </c>
      <c r="C568" s="38" t="s">
        <v>192</v>
      </c>
      <c r="D568" s="59"/>
      <c r="E568" s="59"/>
      <c r="F568" s="39"/>
      <c r="G568" s="39">
        <f>SUM(G569,G573,G575)</f>
        <v>174041000</v>
      </c>
      <c r="H568" s="210" t="b">
        <f t="shared" si="16"/>
        <v>1</v>
      </c>
      <c r="I568" s="210"/>
      <c r="J568" s="210"/>
    </row>
    <row r="569" spans="1:10" ht="13.8" x14ac:dyDescent="0.25">
      <c r="A569" s="7" t="s">
        <v>3523</v>
      </c>
      <c r="B569" s="60">
        <v>521211</v>
      </c>
      <c r="C569" s="41" t="s">
        <v>7</v>
      </c>
      <c r="D569" s="60"/>
      <c r="E569" s="60"/>
      <c r="F569" s="42"/>
      <c r="G569" s="42">
        <f>SUM(G570:G572)</f>
        <v>12000000</v>
      </c>
      <c r="H569" s="210" t="b">
        <f t="shared" si="16"/>
        <v>1</v>
      </c>
      <c r="I569" s="210"/>
      <c r="J569" s="210"/>
    </row>
    <row r="570" spans="1:10" ht="13.8" x14ac:dyDescent="0.25">
      <c r="A570" s="7" t="s">
        <v>3524</v>
      </c>
      <c r="B570" s="152"/>
      <c r="C570" s="151" t="s">
        <v>4622</v>
      </c>
      <c r="D570" s="152">
        <v>3</v>
      </c>
      <c r="E570" s="152" t="s">
        <v>9</v>
      </c>
      <c r="F570" s="153">
        <v>1500000</v>
      </c>
      <c r="G570" s="153">
        <f>ROUNDDOWN(D570*F570,-3)</f>
        <v>4500000</v>
      </c>
      <c r="H570" s="210" t="b">
        <f t="shared" si="16"/>
        <v>1</v>
      </c>
      <c r="I570" s="210"/>
      <c r="J570" s="210"/>
    </row>
    <row r="571" spans="1:10" ht="13.8" x14ac:dyDescent="0.25">
      <c r="A571" s="7" t="s">
        <v>3525</v>
      </c>
      <c r="B571" s="152"/>
      <c r="C571" s="151" t="s">
        <v>3626</v>
      </c>
      <c r="D571" s="152">
        <v>3</v>
      </c>
      <c r="E571" s="152" t="s">
        <v>9</v>
      </c>
      <c r="F571" s="153">
        <v>1000000</v>
      </c>
      <c r="G571" s="153">
        <f>ROUNDDOWN(D571*F571,-3)</f>
        <v>3000000</v>
      </c>
      <c r="H571" s="210" t="b">
        <f t="shared" si="16"/>
        <v>1</v>
      </c>
      <c r="I571" s="210"/>
      <c r="J571" s="210"/>
    </row>
    <row r="572" spans="1:10" ht="13.8" x14ac:dyDescent="0.25">
      <c r="A572" s="7" t="s">
        <v>3526</v>
      </c>
      <c r="B572" s="152"/>
      <c r="C572" s="151" t="s">
        <v>3600</v>
      </c>
      <c r="D572" s="152">
        <v>3</v>
      </c>
      <c r="E572" s="152" t="s">
        <v>9</v>
      </c>
      <c r="F572" s="153">
        <v>1500000</v>
      </c>
      <c r="G572" s="153">
        <f>ROUNDDOWN(D572*F572,-3)</f>
        <v>4500000</v>
      </c>
      <c r="H572" s="210" t="b">
        <f t="shared" si="16"/>
        <v>1</v>
      </c>
      <c r="I572" s="210"/>
      <c r="J572" s="210"/>
    </row>
    <row r="573" spans="1:10" ht="13.8" x14ac:dyDescent="0.25">
      <c r="A573" s="7" t="s">
        <v>3527</v>
      </c>
      <c r="B573" s="60">
        <v>521219</v>
      </c>
      <c r="C573" s="41" t="s">
        <v>53</v>
      </c>
      <c r="D573" s="60"/>
      <c r="E573" s="60"/>
      <c r="F573" s="42"/>
      <c r="G573" s="42">
        <f>G574</f>
        <v>20000000</v>
      </c>
      <c r="H573" s="210" t="b">
        <f t="shared" si="16"/>
        <v>1</v>
      </c>
      <c r="I573" s="210"/>
      <c r="J573" s="210"/>
    </row>
    <row r="574" spans="1:10" ht="13.8" x14ac:dyDescent="0.25">
      <c r="A574" s="7" t="s">
        <v>3528</v>
      </c>
      <c r="B574" s="152"/>
      <c r="C574" s="151" t="s">
        <v>4623</v>
      </c>
      <c r="D574" s="152">
        <v>2</v>
      </c>
      <c r="E574" s="152" t="s">
        <v>155</v>
      </c>
      <c r="F574" s="153">
        <v>10000000</v>
      </c>
      <c r="G574" s="153">
        <f>ROUNDDOWN(D574*F574,-3)</f>
        <v>20000000</v>
      </c>
      <c r="H574" s="210" t="b">
        <f t="shared" si="16"/>
        <v>1</v>
      </c>
      <c r="I574" s="210"/>
      <c r="J574" s="210"/>
    </row>
    <row r="575" spans="1:10" ht="13.8" x14ac:dyDescent="0.25">
      <c r="A575" s="7" t="s">
        <v>3530</v>
      </c>
      <c r="B575" s="60">
        <v>524211</v>
      </c>
      <c r="C575" s="41" t="s">
        <v>1151</v>
      </c>
      <c r="D575" s="60"/>
      <c r="E575" s="60"/>
      <c r="F575" s="42"/>
      <c r="G575" s="42">
        <f>G576</f>
        <v>142041000</v>
      </c>
      <c r="H575" s="210" t="b">
        <f t="shared" si="16"/>
        <v>1</v>
      </c>
      <c r="I575" s="210"/>
      <c r="J575" s="210"/>
    </row>
    <row r="576" spans="1:10" ht="13.8" x14ac:dyDescent="0.25">
      <c r="A576" s="7" t="s">
        <v>3531</v>
      </c>
      <c r="B576" s="152"/>
      <c r="C576" s="151" t="s">
        <v>4624</v>
      </c>
      <c r="D576" s="152">
        <v>3</v>
      </c>
      <c r="E576" s="152" t="s">
        <v>10</v>
      </c>
      <c r="F576" s="153">
        <v>47347000</v>
      </c>
      <c r="G576" s="153">
        <f>ROUNDDOWN(D576*F576,-3)</f>
        <v>142041000</v>
      </c>
      <c r="H576" s="210" t="b">
        <f t="shared" si="16"/>
        <v>1</v>
      </c>
      <c r="I576" s="210"/>
      <c r="J576" s="210"/>
    </row>
    <row r="577" spans="1:10" ht="13.8" x14ac:dyDescent="0.25">
      <c r="A577" s="7" t="s">
        <v>3533</v>
      </c>
      <c r="B577" s="59" t="s">
        <v>514</v>
      </c>
      <c r="C577" s="38" t="s">
        <v>3534</v>
      </c>
      <c r="D577" s="59"/>
      <c r="E577" s="59"/>
      <c r="F577" s="39"/>
      <c r="G577" s="39">
        <f>G578</f>
        <v>30000000</v>
      </c>
      <c r="H577" s="210" t="b">
        <f t="shared" si="16"/>
        <v>1</v>
      </c>
      <c r="I577" s="210"/>
      <c r="J577" s="210"/>
    </row>
    <row r="578" spans="1:10" ht="13.8" x14ac:dyDescent="0.25">
      <c r="A578" s="7" t="s">
        <v>3535</v>
      </c>
      <c r="B578" s="60">
        <v>522192</v>
      </c>
      <c r="C578" s="41" t="s">
        <v>24</v>
      </c>
      <c r="D578" s="60"/>
      <c r="E578" s="60"/>
      <c r="F578" s="42"/>
      <c r="G578" s="42">
        <f>G579</f>
        <v>30000000</v>
      </c>
      <c r="H578" s="210" t="b">
        <f t="shared" si="16"/>
        <v>1</v>
      </c>
      <c r="I578" s="210"/>
      <c r="J578" s="210"/>
    </row>
    <row r="579" spans="1:10" ht="13.8" x14ac:dyDescent="0.25">
      <c r="A579" s="7" t="s">
        <v>3536</v>
      </c>
      <c r="B579" s="152"/>
      <c r="C579" s="151" t="s">
        <v>4625</v>
      </c>
      <c r="D579" s="152">
        <v>120</v>
      </c>
      <c r="E579" s="152" t="s">
        <v>776</v>
      </c>
      <c r="F579" s="153">
        <v>250000</v>
      </c>
      <c r="G579" s="153">
        <f>ROUNDDOWN(D579*F579,-3)</f>
        <v>30000000</v>
      </c>
      <c r="H579" s="210" t="b">
        <f t="shared" si="16"/>
        <v>1</v>
      </c>
      <c r="I579" s="210"/>
      <c r="J579" s="210"/>
    </row>
    <row r="580" spans="1:10" ht="13.8" x14ac:dyDescent="0.25">
      <c r="A580" s="7" t="s">
        <v>3538</v>
      </c>
      <c r="B580" s="58">
        <v>302</v>
      </c>
      <c r="C580" s="35" t="s">
        <v>193</v>
      </c>
      <c r="D580" s="58"/>
      <c r="E580" s="58"/>
      <c r="F580" s="36"/>
      <c r="G580" s="36">
        <f>G581</f>
        <v>109200000</v>
      </c>
      <c r="H580" s="210" t="b">
        <f t="shared" si="16"/>
        <v>1</v>
      </c>
      <c r="I580" s="210"/>
      <c r="J580" s="210"/>
    </row>
    <row r="581" spans="1:10" ht="13.8" x14ac:dyDescent="0.25">
      <c r="A581" s="7" t="s">
        <v>3539</v>
      </c>
      <c r="B581" s="59" t="s">
        <v>8</v>
      </c>
      <c r="C581" s="38" t="s">
        <v>193</v>
      </c>
      <c r="D581" s="59"/>
      <c r="E581" s="59"/>
      <c r="F581" s="39"/>
      <c r="G581" s="39">
        <f>SUM(G582,G585,G588)</f>
        <v>109200000</v>
      </c>
      <c r="H581" s="210" t="b">
        <f t="shared" si="16"/>
        <v>1</v>
      </c>
      <c r="I581" s="210"/>
      <c r="J581" s="210"/>
    </row>
    <row r="582" spans="1:10" ht="13.8" x14ac:dyDescent="0.25">
      <c r="A582" s="7" t="s">
        <v>3540</v>
      </c>
      <c r="B582" s="60">
        <v>521211</v>
      </c>
      <c r="C582" s="41" t="s">
        <v>7</v>
      </c>
      <c r="D582" s="60"/>
      <c r="E582" s="60"/>
      <c r="F582" s="42"/>
      <c r="G582" s="42">
        <f>SUM(G583:G584)</f>
        <v>25000000</v>
      </c>
      <c r="H582" s="210" t="b">
        <f t="shared" si="16"/>
        <v>1</v>
      </c>
      <c r="I582" s="210"/>
      <c r="J582" s="210"/>
    </row>
    <row r="583" spans="1:10" ht="13.8" x14ac:dyDescent="0.25">
      <c r="A583" s="7" t="s">
        <v>3541</v>
      </c>
      <c r="B583" s="152"/>
      <c r="C583" s="151" t="s">
        <v>4612</v>
      </c>
      <c r="D583" s="152">
        <v>100</v>
      </c>
      <c r="E583" s="152" t="s">
        <v>10</v>
      </c>
      <c r="F583" s="153">
        <v>70000</v>
      </c>
      <c r="G583" s="153">
        <f>ROUNDDOWN(D583*F583,-3)</f>
        <v>7000000</v>
      </c>
      <c r="H583" s="210" t="b">
        <f t="shared" si="16"/>
        <v>1</v>
      </c>
      <c r="I583" s="210"/>
      <c r="J583" s="210"/>
    </row>
    <row r="584" spans="1:10" ht="13.8" x14ac:dyDescent="0.25">
      <c r="A584" s="7" t="s">
        <v>3542</v>
      </c>
      <c r="B584" s="152"/>
      <c r="C584" s="151" t="s">
        <v>4613</v>
      </c>
      <c r="D584" s="152">
        <v>12</v>
      </c>
      <c r="E584" s="152" t="s">
        <v>9</v>
      </c>
      <c r="F584" s="153">
        <v>1500000</v>
      </c>
      <c r="G584" s="153">
        <f>ROUNDDOWN(D584*F584,-3)</f>
        <v>18000000</v>
      </c>
      <c r="H584" s="210" t="b">
        <f t="shared" si="16"/>
        <v>1</v>
      </c>
      <c r="I584" s="210"/>
      <c r="J584" s="210"/>
    </row>
    <row r="585" spans="1:10" ht="13.8" x14ac:dyDescent="0.25">
      <c r="A585" s="7" t="s">
        <v>3543</v>
      </c>
      <c r="B585" s="60">
        <v>521811</v>
      </c>
      <c r="C585" s="41" t="s">
        <v>64</v>
      </c>
      <c r="D585" s="60"/>
      <c r="E585" s="60"/>
      <c r="F585" s="42"/>
      <c r="G585" s="42">
        <f>SUM(G586:G587)</f>
        <v>30000000</v>
      </c>
      <c r="H585" s="210" t="b">
        <f t="shared" si="16"/>
        <v>1</v>
      </c>
      <c r="I585" s="210"/>
      <c r="J585" s="210"/>
    </row>
    <row r="586" spans="1:10" ht="13.8" x14ac:dyDescent="0.25">
      <c r="A586" s="7" t="s">
        <v>3544</v>
      </c>
      <c r="B586" s="152"/>
      <c r="C586" s="151" t="s">
        <v>4269</v>
      </c>
      <c r="D586" s="152">
        <v>12</v>
      </c>
      <c r="E586" s="152" t="s">
        <v>9</v>
      </c>
      <c r="F586" s="153">
        <v>1000000</v>
      </c>
      <c r="G586" s="153">
        <f>ROUNDDOWN(D586*F586,-3)</f>
        <v>12000000</v>
      </c>
      <c r="H586" s="210" t="b">
        <f t="shared" si="16"/>
        <v>1</v>
      </c>
      <c r="I586" s="210"/>
      <c r="J586" s="210"/>
    </row>
    <row r="587" spans="1:10" ht="13.8" x14ac:dyDescent="0.25">
      <c r="A587" s="7" t="s">
        <v>3545</v>
      </c>
      <c r="B587" s="152"/>
      <c r="C587" s="151" t="s">
        <v>3632</v>
      </c>
      <c r="D587" s="152">
        <v>12</v>
      </c>
      <c r="E587" s="152" t="s">
        <v>9</v>
      </c>
      <c r="F587" s="153">
        <v>1500000</v>
      </c>
      <c r="G587" s="153">
        <f>ROUNDDOWN(D587*F587,-3)</f>
        <v>18000000</v>
      </c>
      <c r="H587" s="210" t="b">
        <f t="shared" si="16"/>
        <v>1</v>
      </c>
      <c r="I587" s="210"/>
      <c r="J587" s="210"/>
    </row>
    <row r="588" spans="1:10" ht="13.8" x14ac:dyDescent="0.25">
      <c r="A588" s="7" t="s">
        <v>3546</v>
      </c>
      <c r="B588" s="60">
        <v>524111</v>
      </c>
      <c r="C588" s="41" t="s">
        <v>19</v>
      </c>
      <c r="D588" s="60"/>
      <c r="E588" s="60"/>
      <c r="F588" s="42"/>
      <c r="G588" s="42">
        <f>G589</f>
        <v>54200000</v>
      </c>
      <c r="H588" s="210" t="b">
        <f t="shared" si="16"/>
        <v>1</v>
      </c>
      <c r="I588" s="210"/>
      <c r="J588" s="210"/>
    </row>
    <row r="589" spans="1:10" ht="13.8" x14ac:dyDescent="0.25">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46" priority="14">
      <formula>NOT(_xlfn.ISFORMULA(G12))</formula>
    </cfRule>
  </conditionalFormatting>
  <conditionalFormatting sqref="B11:J12 H13:J589">
    <cfRule type="expression" dxfId="45" priority="15">
      <formula>AND(#REF!="Ya",#REF!=ROW())</formula>
    </cfRule>
  </conditionalFormatting>
  <conditionalFormatting sqref="B561:F561 G586:G587 G583:G584 G579 G576 G574 G570:G572 G566:G567 G564 G561:G562 B13:G560">
    <cfRule type="expression" dxfId="44" priority="13">
      <formula>AND($R$4="Ya",$Q$2=ROW())</formula>
    </cfRule>
  </conditionalFormatting>
  <conditionalFormatting sqref="G589">
    <cfRule type="expression" dxfId="43" priority="12">
      <formula>AND($R$4="Ya",$Q$2=ROW())</formula>
    </cfRule>
  </conditionalFormatting>
  <conditionalFormatting sqref="G589 G586:G587 G583:G584 G579 G576 G574 G570:G572 G566:G567 G564 G561:G562">
    <cfRule type="expression" dxfId="42" priority="11">
      <formula>NOT(_xlfn.ISFORMULA(G561))</formula>
    </cfRule>
  </conditionalFormatting>
  <conditionalFormatting sqref="G573">
    <cfRule type="expression" dxfId="41" priority="10">
      <formula>NOT(_xlfn.ISFORMULA(G573))</formula>
    </cfRule>
  </conditionalFormatting>
  <conditionalFormatting sqref="G573">
    <cfRule type="expression" dxfId="40" priority="9">
      <formula>AND($R$4="Ya",$Q$2=ROW())</formula>
    </cfRule>
  </conditionalFormatting>
  <conditionalFormatting sqref="G563">
    <cfRule type="expression" dxfId="39" priority="8">
      <formula>NOT(_xlfn.ISFORMULA(G563))</formula>
    </cfRule>
  </conditionalFormatting>
  <conditionalFormatting sqref="G563">
    <cfRule type="expression" dxfId="38" priority="7">
      <formula>AND($R$4="Ya",$Q$2=ROW())</formula>
    </cfRule>
  </conditionalFormatting>
  <conditionalFormatting sqref="G588">
    <cfRule type="expression" dxfId="37" priority="6">
      <formula>NOT(_xlfn.ISFORMULA(G588))</formula>
    </cfRule>
  </conditionalFormatting>
  <conditionalFormatting sqref="G588">
    <cfRule type="expression" dxfId="36" priority="5">
      <formula>AND($R$4="Ya",$Q$2=ROW())</formula>
    </cfRule>
  </conditionalFormatting>
  <conditionalFormatting sqref="G585">
    <cfRule type="expression" dxfId="35" priority="4">
      <formula>NOT(_xlfn.ISFORMULA(G585))</formula>
    </cfRule>
  </conditionalFormatting>
  <conditionalFormatting sqref="G585">
    <cfRule type="expression" dxfId="34" priority="3">
      <formula>AND($R$4="Ya",$Q$2=ROW())</formula>
    </cfRule>
  </conditionalFormatting>
  <conditionalFormatting sqref="G582">
    <cfRule type="expression" dxfId="33" priority="2">
      <formula>NOT(_xlfn.ISFORMULA(G582))</formula>
    </cfRule>
  </conditionalFormatting>
  <conditionalFormatting sqref="G582">
    <cfRule type="expression" dxfId="32"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09375" defaultRowHeight="13.8" x14ac:dyDescent="0.25"/>
  <cols>
    <col min="1" max="1" width="37.6640625" style="7" bestFit="1" customWidth="1"/>
    <col min="2" max="2" width="16.44140625" style="11" bestFit="1" customWidth="1"/>
    <col min="3" max="3" width="53.6640625" style="12" customWidth="1"/>
    <col min="4" max="4" width="9.44140625" style="48" bestFit="1" customWidth="1"/>
    <col min="5" max="5" width="9.109375" style="48"/>
    <col min="6" max="6" width="15.33203125" style="13" bestFit="1" customWidth="1"/>
    <col min="7" max="7" width="17" style="13" bestFit="1" customWidth="1"/>
    <col min="8" max="8" width="19.6640625" style="168" customWidth="1"/>
    <col min="9" max="9" width="9.33203125" style="8" customWidth="1"/>
    <col min="10" max="10" width="17.109375" style="8" bestFit="1" customWidth="1"/>
    <col min="11" max="11" width="14.33203125" style="8" bestFit="1" customWidth="1"/>
    <col min="12" max="12" width="17.109375" style="8" bestFit="1" customWidth="1"/>
    <col min="13" max="13" width="27.6640625" style="8" customWidth="1"/>
    <col min="14" max="14" width="9.33203125" style="8" bestFit="1" customWidth="1"/>
    <col min="15" max="15" width="9.109375" style="8"/>
    <col min="16" max="16" width="17.109375" style="8" bestFit="1" customWidth="1"/>
    <col min="17" max="17" width="23.109375" style="8" bestFit="1" customWidth="1"/>
    <col min="18" max="18" width="28.5546875" style="8" bestFit="1" customWidth="1"/>
    <col min="19" max="19" width="16.44140625" style="8" bestFit="1" customWidth="1"/>
    <col min="20" max="20" width="42.6640625" style="8" bestFit="1" customWidth="1"/>
    <col min="21" max="21" width="9.109375" style="8"/>
    <col min="22" max="22" width="38.109375" style="117" bestFit="1" customWidth="1"/>
    <col min="23" max="23" width="31.5546875" style="118" bestFit="1" customWidth="1"/>
    <col min="24" max="24" width="14.88671875" style="118" bestFit="1" customWidth="1"/>
    <col min="25" max="16384" width="9.109375" style="8"/>
  </cols>
  <sheetData>
    <row r="1" spans="1:24" ht="15.6" x14ac:dyDescent="0.3">
      <c r="B1" s="443" t="s">
        <v>598</v>
      </c>
      <c r="C1" s="443"/>
      <c r="D1" s="443"/>
      <c r="E1" s="443"/>
      <c r="F1" s="443"/>
      <c r="G1" s="451"/>
      <c r="M1" s="9"/>
      <c r="P1" s="109" t="s">
        <v>3586</v>
      </c>
      <c r="Q1" s="110" t="s">
        <v>3587</v>
      </c>
      <c r="R1" s="110" t="s">
        <v>592</v>
      </c>
      <c r="S1" s="110" t="s">
        <v>3588</v>
      </c>
      <c r="T1" s="111" t="s">
        <v>497</v>
      </c>
      <c r="V1" s="115" t="s">
        <v>3589</v>
      </c>
      <c r="W1" s="116" t="s">
        <v>592</v>
      </c>
      <c r="X1" s="116" t="s">
        <v>3588</v>
      </c>
    </row>
    <row r="2" spans="1:24" ht="14.4" x14ac:dyDescent="0.3">
      <c r="B2" s="444" t="s">
        <v>614</v>
      </c>
      <c r="C2" s="444"/>
      <c r="D2" s="444"/>
      <c r="E2" s="444"/>
      <c r="F2" s="444"/>
      <c r="G2" s="461"/>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x14ac:dyDescent="0.25">
      <c r="B3" s="124"/>
      <c r="C3" s="124"/>
      <c r="D3" s="124"/>
      <c r="E3" s="124"/>
      <c r="F3" s="124"/>
      <c r="G3" s="141"/>
      <c r="M3" s="10"/>
      <c r="V3" s="118" t="str">
        <v>002 - Pusat Pendidikan KP</v>
      </c>
      <c r="W3" s="118" t="str">
        <v>PE - Perencanaan dan Evaluasi</v>
      </c>
      <c r="X3" s="118" t="str">
        <v>KU - Keuangan</v>
      </c>
    </row>
    <row r="4" spans="1:24" x14ac:dyDescent="0.25">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5">
      <c r="B5" s="49" t="s">
        <v>601</v>
      </c>
      <c r="C5" s="49" t="s">
        <v>602</v>
      </c>
      <c r="D5" s="53"/>
      <c r="E5" s="53"/>
      <c r="F5" s="50"/>
      <c r="G5" s="143"/>
      <c r="M5" s="10"/>
      <c r="W5" s="118" t="str">
        <v>KK - Kelembagaan dan Ketenagaan</v>
      </c>
    </row>
    <row r="6" spans="1:24" ht="15" x14ac:dyDescent="0.25">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5">
      <c r="B8" s="48"/>
      <c r="C8" s="48"/>
      <c r="F8" s="48"/>
      <c r="G8" s="144"/>
      <c r="M8" s="10"/>
    </row>
    <row r="9" spans="1:24" x14ac:dyDescent="0.25">
      <c r="B9" s="445" t="s">
        <v>606</v>
      </c>
      <c r="C9" s="447" t="s">
        <v>607</v>
      </c>
      <c r="D9" s="448" t="s">
        <v>608</v>
      </c>
      <c r="E9" s="445" t="s">
        <v>609</v>
      </c>
      <c r="F9" s="448" t="s">
        <v>610</v>
      </c>
      <c r="G9" s="462" t="s">
        <v>611</v>
      </c>
      <c r="I9" s="458" t="s">
        <v>3590</v>
      </c>
      <c r="J9" s="459"/>
      <c r="K9" s="460"/>
      <c r="M9" s="14"/>
      <c r="P9" s="163"/>
    </row>
    <row r="10" spans="1:24" s="16" customFormat="1" x14ac:dyDescent="0.25">
      <c r="A10" s="15" t="s">
        <v>499</v>
      </c>
      <c r="B10" s="446"/>
      <c r="C10" s="446"/>
      <c r="D10" s="449"/>
      <c r="E10" s="449"/>
      <c r="F10" s="446"/>
      <c r="G10" s="446"/>
      <c r="H10" s="169"/>
      <c r="I10" s="148" t="s">
        <v>3591</v>
      </c>
      <c r="J10" s="147" t="s">
        <v>3592</v>
      </c>
      <c r="K10" s="147" t="s">
        <v>3593</v>
      </c>
      <c r="L10" s="7"/>
      <c r="M10" s="17"/>
      <c r="P10" s="162"/>
      <c r="V10" s="123"/>
      <c r="W10" s="118"/>
      <c r="X10" s="118"/>
    </row>
    <row r="11" spans="1:24" s="16" customFormat="1"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x14ac:dyDescent="0.25">
      <c r="A12" s="15"/>
      <c r="B12" s="130" t="s">
        <v>612</v>
      </c>
      <c r="C12" s="128" t="s">
        <v>4627</v>
      </c>
      <c r="D12" s="129"/>
      <c r="E12" s="130"/>
      <c r="F12" s="129"/>
      <c r="G12" s="175"/>
      <c r="H12" s="166"/>
      <c r="I12" s="150"/>
      <c r="J12" s="149"/>
      <c r="K12" s="149"/>
      <c r="L12" s="125"/>
      <c r="M12" s="17"/>
      <c r="V12" s="123"/>
      <c r="W12" s="118"/>
      <c r="X12" s="118"/>
    </row>
    <row r="13" spans="1:24" x14ac:dyDescent="0.25">
      <c r="A13" s="7" t="s">
        <v>0</v>
      </c>
      <c r="B13" s="54" t="s">
        <v>0</v>
      </c>
      <c r="C13" s="23" t="s">
        <v>1</v>
      </c>
      <c r="D13" s="54"/>
      <c r="E13" s="54"/>
      <c r="F13" s="24"/>
      <c r="G13" s="24">
        <v>2500000000</v>
      </c>
      <c r="H13" s="165">
        <v>2500000000</v>
      </c>
      <c r="I13" s="150"/>
      <c r="J13" s="149"/>
      <c r="K13" s="149"/>
      <c r="L13" s="171">
        <f>G13-H13</f>
        <v>0</v>
      </c>
      <c r="M13" s="440" t="s">
        <v>596</v>
      </c>
      <c r="N13" s="441" t="s">
        <v>597</v>
      </c>
    </row>
    <row r="14" spans="1:24" x14ac:dyDescent="0.25">
      <c r="A14" s="7" t="s">
        <v>199</v>
      </c>
      <c r="B14" s="55">
        <v>2375</v>
      </c>
      <c r="C14" s="26" t="s">
        <v>2</v>
      </c>
      <c r="D14" s="55"/>
      <c r="E14" s="55"/>
      <c r="F14" s="27"/>
      <c r="G14" s="27">
        <v>1500000000</v>
      </c>
      <c r="H14" s="165">
        <v>1500000000</v>
      </c>
      <c r="I14" s="150" t="s">
        <v>3553</v>
      </c>
      <c r="J14" s="149"/>
      <c r="K14" s="149"/>
      <c r="L14" s="171">
        <f t="shared" ref="L14:L77" si="0">G14-H14</f>
        <v>0</v>
      </c>
      <c r="M14" s="440"/>
      <c r="N14" s="441"/>
    </row>
    <row r="15" spans="1:24" x14ac:dyDescent="0.25">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6.4" x14ac:dyDescent="0.25">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5">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6.4" x14ac:dyDescent="0.25">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5">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5">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5">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5">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42"/>
      <c r="N22" s="442"/>
    </row>
    <row r="23" spans="1:14" x14ac:dyDescent="0.25">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42"/>
      <c r="N23" s="442"/>
    </row>
    <row r="24" spans="1:14" x14ac:dyDescent="0.25">
      <c r="A24" s="7" t="s">
        <v>209</v>
      </c>
      <c r="B24" s="60">
        <v>522151</v>
      </c>
      <c r="C24" s="41" t="s">
        <v>11</v>
      </c>
      <c r="D24" s="60"/>
      <c r="E24" s="60"/>
      <c r="F24" s="42"/>
      <c r="G24" s="42">
        <v>9000000</v>
      </c>
      <c r="H24" s="165">
        <v>9000000</v>
      </c>
      <c r="I24" s="150" t="s">
        <v>3553</v>
      </c>
      <c r="J24" s="149" t="s">
        <v>3565</v>
      </c>
      <c r="K24" s="149" t="s">
        <v>3577</v>
      </c>
      <c r="L24" s="171">
        <f t="shared" si="0"/>
        <v>0</v>
      </c>
      <c r="M24" s="442"/>
      <c r="N24" s="442"/>
    </row>
    <row r="25" spans="1:14" x14ac:dyDescent="0.25">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5">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5">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5">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5">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5">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5">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5">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6.4" x14ac:dyDescent="0.25">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6.4" x14ac:dyDescent="0.25">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5">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5">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5">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5">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5">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5">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5">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5">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5">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5">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5">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5">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5">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5">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6.4" x14ac:dyDescent="0.25">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5">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5">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5">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5">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5">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5">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5">
      <c r="A56" s="7" t="s">
        <v>240</v>
      </c>
      <c r="B56" s="60">
        <v>524111</v>
      </c>
      <c r="C56" s="41" t="s">
        <v>19</v>
      </c>
      <c r="D56" s="71"/>
      <c r="E56" s="60"/>
      <c r="F56" s="42"/>
      <c r="G56" s="42">
        <v>40000000</v>
      </c>
      <c r="H56" s="165">
        <v>40000000</v>
      </c>
      <c r="I56" s="150" t="s">
        <v>3553</v>
      </c>
      <c r="J56" s="149" t="s">
        <v>3565</v>
      </c>
      <c r="K56" s="149" t="s">
        <v>3577</v>
      </c>
      <c r="L56" s="171">
        <f t="shared" si="0"/>
        <v>0</v>
      </c>
    </row>
    <row r="57" spans="1:12" ht="26.4" x14ac:dyDescent="0.25">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5">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5">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5">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5">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5">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5">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5">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5">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5">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5">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6.4" x14ac:dyDescent="0.25">
      <c r="A68" s="7" t="s">
        <v>248</v>
      </c>
      <c r="B68" s="60">
        <v>521241</v>
      </c>
      <c r="C68" s="41" t="s">
        <v>642</v>
      </c>
      <c r="D68" s="60"/>
      <c r="E68" s="60"/>
      <c r="F68" s="42"/>
      <c r="G68" s="42">
        <v>14400000</v>
      </c>
      <c r="H68" s="165">
        <v>14400000</v>
      </c>
      <c r="I68" s="150" t="s">
        <v>3553</v>
      </c>
      <c r="J68" s="149" t="s">
        <v>3565</v>
      </c>
      <c r="K68" s="149" t="s">
        <v>3577</v>
      </c>
      <c r="L68" s="171">
        <f t="shared" si="0"/>
        <v>0</v>
      </c>
    </row>
    <row r="69" spans="1:12" ht="26.4" x14ac:dyDescent="0.25">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5">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5">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5">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5">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5">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5">
      <c r="A75" s="7" t="s">
        <v>255</v>
      </c>
      <c r="B75" s="60">
        <v>524111</v>
      </c>
      <c r="C75" s="41" t="s">
        <v>19</v>
      </c>
      <c r="D75" s="60"/>
      <c r="E75" s="60"/>
      <c r="F75" s="42"/>
      <c r="G75" s="42">
        <v>53000000</v>
      </c>
      <c r="H75" s="165">
        <v>53000000</v>
      </c>
      <c r="I75" s="150" t="s">
        <v>3553</v>
      </c>
      <c r="J75" s="149" t="s">
        <v>3565</v>
      </c>
      <c r="K75" s="149" t="s">
        <v>3577</v>
      </c>
      <c r="L75" s="171">
        <f t="shared" si="0"/>
        <v>0</v>
      </c>
    </row>
    <row r="76" spans="1:12" ht="26.4" x14ac:dyDescent="0.25">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6.4" x14ac:dyDescent="0.25">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5">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5">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5">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5">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5">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5">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5">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5">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5">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5">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5">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5">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5">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5">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5">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5">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5">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5">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5">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5">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5">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5">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5">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5">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5">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5">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5">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6.4" x14ac:dyDescent="0.25">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6.4" x14ac:dyDescent="0.25">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5">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6.4" x14ac:dyDescent="0.25">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5">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5">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5">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6.4" x14ac:dyDescent="0.25">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6.4" x14ac:dyDescent="0.25">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5">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5">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5">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6.4" x14ac:dyDescent="0.25">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5">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5">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5">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5">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5">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5">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6.4" x14ac:dyDescent="0.25">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5">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6.4" x14ac:dyDescent="0.25">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6.4" x14ac:dyDescent="0.25">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5">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6.4" x14ac:dyDescent="0.25">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5">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5">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5">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6.4" x14ac:dyDescent="0.25">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6.4" x14ac:dyDescent="0.25">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5">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5">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5">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6.4" x14ac:dyDescent="0.25">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5">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5">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5">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5">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5">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5">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6.4" x14ac:dyDescent="0.25">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6.4" x14ac:dyDescent="0.25">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x14ac:dyDescent="0.25">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6.4" x14ac:dyDescent="0.25">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5">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5">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5">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5">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5">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5">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5">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5">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5">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6.4" x14ac:dyDescent="0.25">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6.4" x14ac:dyDescent="0.25">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5">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5">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5">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5">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5">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x14ac:dyDescent="0.25">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5">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6.4" x14ac:dyDescent="0.25">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6.4" x14ac:dyDescent="0.25">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6.4" x14ac:dyDescent="0.25">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5">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6.4" x14ac:dyDescent="0.25">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5">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5">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5">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6.4" x14ac:dyDescent="0.25">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5">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5">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5">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5">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6.4" x14ac:dyDescent="0.25">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6.4" x14ac:dyDescent="0.25">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6.4" x14ac:dyDescent="0.25">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5">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5">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5">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5">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5">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6.4" x14ac:dyDescent="0.25">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5">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6.4" x14ac:dyDescent="0.25">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5">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9.6" x14ac:dyDescent="0.25">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5">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5">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5">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5">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5">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6.4" x14ac:dyDescent="0.25">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6.4" x14ac:dyDescent="0.25">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5">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6.4" x14ac:dyDescent="0.25">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5">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9.6" x14ac:dyDescent="0.25">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5">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5">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5">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6.4" x14ac:dyDescent="0.25">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5">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5">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5">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5">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5">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6.4" x14ac:dyDescent="0.25">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5">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6.4" x14ac:dyDescent="0.25">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5">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5">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5">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5">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5">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6.4" x14ac:dyDescent="0.25">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5">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5">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5">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5">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5">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6.4" x14ac:dyDescent="0.25">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6.4" x14ac:dyDescent="0.25">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6.4" x14ac:dyDescent="0.25">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6.4" x14ac:dyDescent="0.25">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5">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x14ac:dyDescent="0.25">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5">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x14ac:dyDescent="0.25">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6.4" x14ac:dyDescent="0.25">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5">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5">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5">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5">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5">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5">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5">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5">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5">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5">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6.4" x14ac:dyDescent="0.25">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6.4" x14ac:dyDescent="0.25">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5">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6.4" x14ac:dyDescent="0.25">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5">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5">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5">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6.4" x14ac:dyDescent="0.25">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5">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5">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5">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5">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5">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5">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5">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6.4" x14ac:dyDescent="0.25">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5">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5">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5">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5">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5">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5">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5">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5">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5">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5">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6.4" x14ac:dyDescent="0.25">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5">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5">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6.4" x14ac:dyDescent="0.25">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5">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5">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5">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5">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5">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5">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5">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5">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5">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5">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6.4" x14ac:dyDescent="0.25">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5">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5">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5">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5">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5">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5">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5">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5">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5">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6.4" x14ac:dyDescent="0.25">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x14ac:dyDescent="0.25">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6.4" x14ac:dyDescent="0.25">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5">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5">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5">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5">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5">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5">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5">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5">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6.4" x14ac:dyDescent="0.25">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5">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5">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5">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5">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5">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5">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5">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5">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5">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5">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5">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5">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5">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5">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5">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5">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5">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6.4" x14ac:dyDescent="0.25">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5">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5">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5">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5">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5">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5">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5">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5">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5">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5">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5">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5">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5">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5">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5">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5">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5">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5">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5">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5">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5">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5">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5">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5">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5">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5">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5">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5">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5">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5">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6.4" x14ac:dyDescent="0.25">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5">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5">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5">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5">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5">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5">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5">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x14ac:dyDescent="0.25">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5">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6.4" x14ac:dyDescent="0.25">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5">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5">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5">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5">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5">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x14ac:dyDescent="0.25">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5">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6.4" x14ac:dyDescent="0.25">
      <c r="A374" s="21" t="s">
        <v>494</v>
      </c>
      <c r="B374" s="55">
        <v>2378</v>
      </c>
      <c r="C374" s="26" t="s">
        <v>71</v>
      </c>
      <c r="D374" s="68"/>
      <c r="E374" s="55"/>
      <c r="F374" s="27"/>
      <c r="G374" s="27">
        <v>82741282000</v>
      </c>
      <c r="H374" s="165">
        <v>90623782000</v>
      </c>
      <c r="I374" s="150"/>
      <c r="J374" s="149"/>
      <c r="K374" s="149"/>
      <c r="L374" s="171">
        <f t="shared" si="9"/>
        <v>-7882500000</v>
      </c>
    </row>
    <row r="375" spans="1:12" x14ac:dyDescent="0.25">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6.4" x14ac:dyDescent="0.25">
      <c r="A376" s="21" t="s">
        <v>822</v>
      </c>
      <c r="B376" s="138" t="s">
        <v>3737</v>
      </c>
      <c r="C376" s="137" t="s">
        <v>824</v>
      </c>
      <c r="D376" s="140">
        <v>1</v>
      </c>
      <c r="E376" s="138" t="s">
        <v>42</v>
      </c>
      <c r="F376" s="139"/>
      <c r="G376" s="139">
        <v>584676000</v>
      </c>
      <c r="H376" s="165">
        <v>584676000</v>
      </c>
      <c r="I376" s="150"/>
      <c r="J376" s="149"/>
      <c r="K376" s="149"/>
      <c r="L376" s="171">
        <f t="shared" si="9"/>
        <v>0</v>
      </c>
    </row>
    <row r="377" spans="1:12" ht="26.4" x14ac:dyDescent="0.25">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5">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5">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6.4" x14ac:dyDescent="0.25">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6.4" x14ac:dyDescent="0.25">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5">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5">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5">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5">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5">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26.4" x14ac:dyDescent="0.25">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6.4" x14ac:dyDescent="0.25">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5">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9.6" x14ac:dyDescent="0.25">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6.4" x14ac:dyDescent="0.25">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5">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5">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5">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5">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5">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5">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9.6" x14ac:dyDescent="0.25">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6.4" x14ac:dyDescent="0.25">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5">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5">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5">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5">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5">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5">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6.4" x14ac:dyDescent="0.25">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5">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5">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5">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39.6" x14ac:dyDescent="0.25">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5">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6.4" x14ac:dyDescent="0.25">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6.4" x14ac:dyDescent="0.25">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5">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5">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6.4" x14ac:dyDescent="0.25">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6.4" x14ac:dyDescent="0.25">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6.4" x14ac:dyDescent="0.25">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5">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5">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5">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5">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x14ac:dyDescent="0.25">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5">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5">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5">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9.6" x14ac:dyDescent="0.25">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6.4" x14ac:dyDescent="0.25">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5">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5">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5">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6.4" x14ac:dyDescent="0.25">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5">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5">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5">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5">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5">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5">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5">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5">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5">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6.4" x14ac:dyDescent="0.25">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6.4" x14ac:dyDescent="0.25">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5">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6.4" x14ac:dyDescent="0.25">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6.4" x14ac:dyDescent="0.25">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6.4" x14ac:dyDescent="0.25">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6.4" x14ac:dyDescent="0.25">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5">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5">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5">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5">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5">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5">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6.4" x14ac:dyDescent="0.25">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5">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5">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5">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9.6" x14ac:dyDescent="0.25">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6.4" x14ac:dyDescent="0.25">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5">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5">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5">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5">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5">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5">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5">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5">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5">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6.4" x14ac:dyDescent="0.25">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5">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6.4" x14ac:dyDescent="0.25">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5">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5">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5">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5">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5">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5">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5">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6.4" x14ac:dyDescent="0.25">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5">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5">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5">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6.4" x14ac:dyDescent="0.25">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5">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5">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5">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6.4" x14ac:dyDescent="0.25">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5">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5">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5">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5">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6.4" x14ac:dyDescent="0.25">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6.4" x14ac:dyDescent="0.25">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5">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5">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5">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5">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5">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5">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9.6" x14ac:dyDescent="0.25">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5">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5">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5">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5">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5">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6.4" x14ac:dyDescent="0.25">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5">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5">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5">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5">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x14ac:dyDescent="0.25">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5">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5">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6.4" x14ac:dyDescent="0.25">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5">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5">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5">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5">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6.4" x14ac:dyDescent="0.25">
      <c r="A520" s="21" t="s">
        <v>1038</v>
      </c>
      <c r="B520" s="58">
        <v>101</v>
      </c>
      <c r="C520" s="35" t="s">
        <v>1041</v>
      </c>
      <c r="D520" s="58">
        <v>0</v>
      </c>
      <c r="E520" s="58"/>
      <c r="F520" s="36"/>
      <c r="G520" s="36">
        <v>1900000000</v>
      </c>
      <c r="H520" s="165">
        <v>5353780000</v>
      </c>
      <c r="I520" s="150"/>
      <c r="J520" s="149"/>
      <c r="K520" s="149"/>
      <c r="L520" s="171">
        <f t="shared" si="11"/>
        <v>-3453780000</v>
      </c>
    </row>
    <row r="521" spans="1:12" ht="26.4" x14ac:dyDescent="0.25">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5">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5">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5">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5">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5">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5">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5">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5">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5">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5">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5">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6.4" x14ac:dyDescent="0.25">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5">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5">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5">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6.4" x14ac:dyDescent="0.25">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26.4" x14ac:dyDescent="0.25">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6.4" x14ac:dyDescent="0.25">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5">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5">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5">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5">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5">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5">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5">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5">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6.4" x14ac:dyDescent="0.25">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6.4" x14ac:dyDescent="0.25">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5">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6.4" x14ac:dyDescent="0.25">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6.4" x14ac:dyDescent="0.25">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5">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6.4" x14ac:dyDescent="0.25">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5">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5">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5">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5">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6.4" x14ac:dyDescent="0.25">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6.4" x14ac:dyDescent="0.25">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5">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5">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5">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5">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5">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5">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5">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5">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6.4" x14ac:dyDescent="0.25">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6.4" x14ac:dyDescent="0.25">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6.4" x14ac:dyDescent="0.25">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5">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5">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5">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5">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6.4" x14ac:dyDescent="0.25">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6.4" x14ac:dyDescent="0.25">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6.4" x14ac:dyDescent="0.25">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6.4" x14ac:dyDescent="0.25">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5">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6.4" x14ac:dyDescent="0.25">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5">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5">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5">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5">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6.4" x14ac:dyDescent="0.25">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5">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6.4" x14ac:dyDescent="0.25">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3">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3">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3">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3">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3">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6.4" x14ac:dyDescent="0.25">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6.4" x14ac:dyDescent="0.25">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5">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5">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5">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5">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5">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5">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5">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5">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5">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5">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5">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5">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6.4" x14ac:dyDescent="0.25">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5">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6.4" x14ac:dyDescent="0.25">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5">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x14ac:dyDescent="0.25">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5">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5">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5">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5">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5">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5">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5">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5">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5">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5">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5">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5">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5">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5">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5">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5">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5">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6.4" x14ac:dyDescent="0.25">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6.4" x14ac:dyDescent="0.25">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26.4" x14ac:dyDescent="0.25">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5">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5">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5">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5">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5">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5">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9.6" x14ac:dyDescent="0.25">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5">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5">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5">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5">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5">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6.4" x14ac:dyDescent="0.25">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5">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5">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5">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5">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5">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5">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5">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9.6" x14ac:dyDescent="0.25">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5">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5">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5">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6.4" x14ac:dyDescent="0.25">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5">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5">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6.4" x14ac:dyDescent="0.25">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5">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5">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5">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5">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9.6" x14ac:dyDescent="0.25">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6.4" x14ac:dyDescent="0.25">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5">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6.4" x14ac:dyDescent="0.25">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5">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5">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5">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5">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9.6" x14ac:dyDescent="0.25">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5">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5">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5">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6.4" x14ac:dyDescent="0.25">
      <c r="A677" s="7" t="s">
        <v>1271</v>
      </c>
      <c r="B677" s="58">
        <v>101</v>
      </c>
      <c r="C677" s="35" t="s">
        <v>1272</v>
      </c>
      <c r="D677" s="58">
        <v>0</v>
      </c>
      <c r="E677" s="58"/>
      <c r="F677" s="36"/>
      <c r="G677" s="36">
        <v>2000000000</v>
      </c>
      <c r="H677" s="165">
        <v>5596502000</v>
      </c>
      <c r="I677" s="150"/>
      <c r="J677" s="149"/>
      <c r="K677" s="149"/>
      <c r="L677" s="171">
        <f t="shared" si="14"/>
        <v>-3596502000</v>
      </c>
    </row>
    <row r="678" spans="1:12" x14ac:dyDescent="0.25">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5">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5">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5">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5">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5">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5">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6.4" x14ac:dyDescent="0.25">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6.4" x14ac:dyDescent="0.25">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5">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5">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9.6" x14ac:dyDescent="0.25">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6.4" x14ac:dyDescent="0.25">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6.4" x14ac:dyDescent="0.25">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5">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5">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5">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5">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5">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5">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6.4" x14ac:dyDescent="0.25">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5">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5">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5">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9.6" x14ac:dyDescent="0.25">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5">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5">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5">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5">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5">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6.4" x14ac:dyDescent="0.25">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x14ac:dyDescent="0.25">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5">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5">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5">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5">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5">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5">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5">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5">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5">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5">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5">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5">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5">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5">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5">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x14ac:dyDescent="0.25">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5">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6.4" x14ac:dyDescent="0.25">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6.4" x14ac:dyDescent="0.25">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5">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5">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5">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5">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5">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5">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x14ac:dyDescent="0.25">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5">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5">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5">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5">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5">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5">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5">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5">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5">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5">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5">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5">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5">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5">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5">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6.4" x14ac:dyDescent="0.25">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5">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5">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5">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5">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5">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5">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6.4" x14ac:dyDescent="0.25">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5">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5">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5">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5">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5">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5">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5">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5">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5">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5">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5">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5">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5">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5">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5">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5">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5">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5">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5">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5">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6.4" x14ac:dyDescent="0.25">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6.4" x14ac:dyDescent="0.25">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5">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5">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5">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5">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5">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5">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5">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5">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5">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6.4" x14ac:dyDescent="0.25">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5">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5">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x14ac:dyDescent="0.25">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5">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5">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5">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5">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5">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5">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6.4" x14ac:dyDescent="0.25">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5">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5">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5">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5">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5">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5">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5">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6.4" x14ac:dyDescent="0.25">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6.4" x14ac:dyDescent="0.25">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5">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6.4" x14ac:dyDescent="0.25">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5">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5">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5">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5">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5">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5">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5">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6.4" x14ac:dyDescent="0.25">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5">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5">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5">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5">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5">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5">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5">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6.4" x14ac:dyDescent="0.25">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5">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5">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5">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5">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5">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5">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6.4" x14ac:dyDescent="0.25">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5">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5">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5">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5">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5">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5">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5">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5">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5">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5">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5">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x14ac:dyDescent="0.25">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6.4" x14ac:dyDescent="0.25">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5">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5">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5">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5">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5">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5">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5">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5">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5">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5">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5">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5">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5">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5">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5">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5">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5">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5">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6.4" x14ac:dyDescent="0.25">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6.4" x14ac:dyDescent="0.25">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5">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5">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5">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5">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5">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5">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5">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5">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5">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5">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5">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5">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5">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6.4" x14ac:dyDescent="0.25">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5">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6.4" x14ac:dyDescent="0.25">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5">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5">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5">
      <c r="B886" s="192"/>
      <c r="C886" s="191" t="s">
        <v>3928</v>
      </c>
      <c r="D886" s="192"/>
      <c r="E886" s="192"/>
      <c r="F886" s="193"/>
      <c r="G886" s="193">
        <v>102000000</v>
      </c>
      <c r="H886" s="165">
        <v>102000000</v>
      </c>
      <c r="I886" s="150" t="s">
        <v>3552</v>
      </c>
      <c r="J886" s="149" t="s">
        <v>3563</v>
      </c>
      <c r="K886" s="149" t="s">
        <v>3583</v>
      </c>
      <c r="L886" s="171">
        <f t="shared" si="17"/>
        <v>0</v>
      </c>
    </row>
    <row r="887" spans="1:12" x14ac:dyDescent="0.25">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5">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5">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5">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5">
      <c r="B891" s="192"/>
      <c r="C891" s="191" t="s">
        <v>3932</v>
      </c>
      <c r="D891" s="192"/>
      <c r="E891" s="192"/>
      <c r="F891" s="193"/>
      <c r="G891" s="193">
        <v>13400000</v>
      </c>
      <c r="H891" s="165">
        <v>13400000</v>
      </c>
      <c r="I891" s="150" t="s">
        <v>3552</v>
      </c>
      <c r="J891" s="149" t="s">
        <v>3563</v>
      </c>
      <c r="K891" s="149" t="s">
        <v>3583</v>
      </c>
      <c r="L891" s="171">
        <f t="shared" si="17"/>
        <v>0</v>
      </c>
    </row>
    <row r="892" spans="1:12" x14ac:dyDescent="0.25">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5">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5">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6.4" x14ac:dyDescent="0.25">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6.4" x14ac:dyDescent="0.25">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5">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5">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5">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5">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5">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5">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5">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5">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5">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5">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5">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6.4" x14ac:dyDescent="0.25">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5">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5">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5">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5">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5">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5">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5">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5">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5">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5">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5">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5">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5">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5">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5">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5">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5">
      <c r="B925" s="61"/>
      <c r="C925" s="44" t="s">
        <v>3952</v>
      </c>
      <c r="D925" s="61"/>
      <c r="E925" s="61"/>
      <c r="F925" s="45"/>
      <c r="G925" s="45">
        <v>15000000</v>
      </c>
      <c r="H925" s="165">
        <v>1000000</v>
      </c>
      <c r="I925" s="150" t="s">
        <v>3552</v>
      </c>
      <c r="J925" s="149" t="s">
        <v>3563</v>
      </c>
      <c r="K925" s="149" t="s">
        <v>3583</v>
      </c>
      <c r="L925" s="171">
        <f t="shared" si="20"/>
        <v>14000000</v>
      </c>
    </row>
    <row r="926" spans="1:12" x14ac:dyDescent="0.25">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5">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5">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5">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5">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5">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5">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5">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5">
      <c r="B934" s="61"/>
      <c r="C934" s="44" t="s">
        <v>3959</v>
      </c>
      <c r="D934" s="61"/>
      <c r="E934" s="61"/>
      <c r="F934" s="45"/>
      <c r="G934" s="45">
        <v>9200000</v>
      </c>
      <c r="H934" s="165">
        <v>3600000</v>
      </c>
      <c r="I934" s="150" t="s">
        <v>3552</v>
      </c>
      <c r="J934" s="149" t="s">
        <v>3563</v>
      </c>
      <c r="K934" s="149" t="s">
        <v>3583</v>
      </c>
      <c r="L934" s="171">
        <f t="shared" si="20"/>
        <v>5600000</v>
      </c>
    </row>
    <row r="935" spans="1:12" x14ac:dyDescent="0.25">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5">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5">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6.4" x14ac:dyDescent="0.25">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5">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5">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5">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5">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5">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5">
      <c r="B944" s="61"/>
      <c r="C944" s="44" t="s">
        <v>3966</v>
      </c>
      <c r="D944" s="61"/>
      <c r="E944" s="61"/>
      <c r="F944" s="45"/>
      <c r="G944" s="45">
        <v>72900000</v>
      </c>
      <c r="H944" s="165">
        <v>22500000</v>
      </c>
      <c r="I944" s="150" t="s">
        <v>3552</v>
      </c>
      <c r="J944" s="149" t="s">
        <v>3563</v>
      </c>
      <c r="K944" s="149" t="s">
        <v>3583</v>
      </c>
      <c r="L944" s="171">
        <f t="shared" si="20"/>
        <v>50400000</v>
      </c>
    </row>
    <row r="945" spans="1:12" x14ac:dyDescent="0.25">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5">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5">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6.4" x14ac:dyDescent="0.25">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5">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5">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5">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5">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5">
      <c r="B953" s="192"/>
      <c r="C953" s="191" t="s">
        <v>3972</v>
      </c>
      <c r="D953" s="192"/>
      <c r="E953" s="192"/>
      <c r="F953" s="193"/>
      <c r="G953" s="193">
        <v>49800000</v>
      </c>
      <c r="H953" s="165">
        <v>49800000</v>
      </c>
      <c r="I953" s="150" t="s">
        <v>3552</v>
      </c>
      <c r="J953" s="149" t="s">
        <v>3563</v>
      </c>
      <c r="K953" s="149" t="s">
        <v>3583</v>
      </c>
      <c r="L953" s="171">
        <f t="shared" si="20"/>
        <v>0</v>
      </c>
    </row>
    <row r="954" spans="1:12" x14ac:dyDescent="0.25">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5">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5">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5">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5">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5">
      <c r="B959" s="192"/>
      <c r="C959" s="191" t="s">
        <v>3977</v>
      </c>
      <c r="D959" s="192"/>
      <c r="E959" s="192"/>
      <c r="F959" s="193"/>
      <c r="G959" s="193">
        <v>34600000</v>
      </c>
      <c r="H959" s="165">
        <v>34600000</v>
      </c>
      <c r="I959" s="150" t="s">
        <v>3552</v>
      </c>
      <c r="J959" s="149" t="s">
        <v>3563</v>
      </c>
      <c r="K959" s="149" t="s">
        <v>3583</v>
      </c>
      <c r="L959" s="171">
        <f t="shared" si="20"/>
        <v>0</v>
      </c>
    </row>
    <row r="960" spans="1:12" x14ac:dyDescent="0.25">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5">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5">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5">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5">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5">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5">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5">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5">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6.4" x14ac:dyDescent="0.25">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x14ac:dyDescent="0.25">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5">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5">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5">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5">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5">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5">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6.4" x14ac:dyDescent="0.25">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5">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5">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5">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5">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5">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5">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5">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5">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5">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5">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5">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5">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5">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5">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5">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5">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5">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5">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5">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5">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5">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5">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5">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5">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5">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5">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5">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5">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5">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5">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5">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5">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5">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5">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5">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5">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5">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5">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5">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5">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5">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5">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5">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5">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5">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5">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5">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5">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5">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5">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5">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5">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5">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5">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5">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5">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5">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5">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5">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5">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5">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5">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5">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5">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5">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5">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5">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5">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5">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5">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5">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5">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5">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5">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6.4" x14ac:dyDescent="0.25">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6.4" x14ac:dyDescent="0.25">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5">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6.4" x14ac:dyDescent="0.25">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5">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5">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5">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5">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5">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5">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5">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5">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5">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5">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5">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5">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5">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5">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5">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5">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5">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5">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5">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5">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5">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5">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5">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5">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5">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5">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5">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5">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5">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5">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5">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5">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5">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5">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5">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5">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5">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5">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5">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5">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5">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5">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5">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x14ac:dyDescent="0.25">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5">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5">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6.4" x14ac:dyDescent="0.25">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6.4" x14ac:dyDescent="0.25">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6.4" x14ac:dyDescent="0.25">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5">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6.4" x14ac:dyDescent="0.25">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5">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5">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6.4" x14ac:dyDescent="0.25">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5">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6.4" x14ac:dyDescent="0.25">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5">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5">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5">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5">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6.4" x14ac:dyDescent="0.25">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5">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5">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5">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5">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6.4" x14ac:dyDescent="0.25">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6.4" x14ac:dyDescent="0.25">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6.4" x14ac:dyDescent="0.25">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5">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5">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5">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5">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5">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5">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5">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5">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5">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5">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5">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5">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5">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5">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5">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5">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5">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5">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5">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5">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5">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5">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5">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5">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5">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5">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5">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6.4" x14ac:dyDescent="0.25">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5">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5">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x14ac:dyDescent="0.25">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5">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6.4" x14ac:dyDescent="0.25">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6.4" x14ac:dyDescent="0.25">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5">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5">
      <c r="B1159" s="61"/>
      <c r="C1159" s="44" t="s">
        <v>4092</v>
      </c>
      <c r="D1159" s="61"/>
      <c r="E1159" s="61"/>
      <c r="F1159" s="45"/>
      <c r="G1159" s="45">
        <v>57000000</v>
      </c>
      <c r="H1159" s="165">
        <v>5400000</v>
      </c>
      <c r="I1159" s="150" t="s">
        <v>3552</v>
      </c>
      <c r="J1159" s="149" t="s">
        <v>3564</v>
      </c>
      <c r="K1159" s="149" t="s">
        <v>3570</v>
      </c>
      <c r="L1159" s="171">
        <f t="shared" si="24"/>
        <v>51600000</v>
      </c>
    </row>
    <row r="1160" spans="1:12" ht="26.4" x14ac:dyDescent="0.25">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6.4" x14ac:dyDescent="0.25">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6.4" x14ac:dyDescent="0.25">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6.4" x14ac:dyDescent="0.25">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26.4" x14ac:dyDescent="0.25">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6.4" x14ac:dyDescent="0.25">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6.4" x14ac:dyDescent="0.25">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6.4" x14ac:dyDescent="0.25">
      <c r="B1167" s="61"/>
      <c r="C1167" s="44" t="s">
        <v>4100</v>
      </c>
      <c r="D1167" s="61"/>
      <c r="E1167" s="61"/>
      <c r="F1167" s="45"/>
      <c r="G1167" s="45">
        <v>227040000</v>
      </c>
      <c r="H1167" s="165">
        <v>2280000</v>
      </c>
      <c r="I1167" s="150" t="s">
        <v>3552</v>
      </c>
      <c r="J1167" s="149" t="s">
        <v>3564</v>
      </c>
      <c r="K1167" s="149" t="s">
        <v>3570</v>
      </c>
      <c r="L1167" s="171">
        <f t="shared" si="27"/>
        <v>224760000</v>
      </c>
    </row>
    <row r="1168" spans="1:12" ht="39.6" x14ac:dyDescent="0.25">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6.4" x14ac:dyDescent="0.25">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6.4" x14ac:dyDescent="0.25">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6.4" x14ac:dyDescent="0.25">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6.4" x14ac:dyDescent="0.25">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6.4" x14ac:dyDescent="0.25">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6.4" x14ac:dyDescent="0.25">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5">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5">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5">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6.4" x14ac:dyDescent="0.25">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6.4" x14ac:dyDescent="0.25">
      <c r="B1179" s="61"/>
      <c r="C1179" s="44" t="s">
        <v>4112</v>
      </c>
      <c r="D1179" s="61"/>
      <c r="E1179" s="61"/>
      <c r="F1179" s="45"/>
      <c r="G1179" s="45">
        <v>25200000</v>
      </c>
      <c r="H1179" s="165">
        <v>27720000</v>
      </c>
      <c r="I1179" s="150" t="s">
        <v>3552</v>
      </c>
      <c r="J1179" s="149" t="s">
        <v>3564</v>
      </c>
      <c r="K1179" s="149" t="s">
        <v>3570</v>
      </c>
      <c r="L1179" s="171">
        <f t="shared" si="27"/>
        <v>-2520000</v>
      </c>
    </row>
    <row r="1180" spans="1:12" ht="26.4" x14ac:dyDescent="0.25">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5">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5">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6.4" x14ac:dyDescent="0.25">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5">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5">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5">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5">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5">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5">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5">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5">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5">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5">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5">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5">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5">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5">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5">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5">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5">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5">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5">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5">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5">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5">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5">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5">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5">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5">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5">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5">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5">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6.4" x14ac:dyDescent="0.25">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5">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5">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6.4" x14ac:dyDescent="0.25">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5">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5">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5">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5">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6.4" x14ac:dyDescent="0.25">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5">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5">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5">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5">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5">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5">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5">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5">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6.4" x14ac:dyDescent="0.25">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5">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5">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6.4" x14ac:dyDescent="0.25">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5">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6.4" x14ac:dyDescent="0.25">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5">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5">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5">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5">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6.4" x14ac:dyDescent="0.25">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5">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5">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6.4" x14ac:dyDescent="0.25">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5">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5">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5">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5">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5">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5">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5">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5">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5">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5">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5">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6.4" x14ac:dyDescent="0.25">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5">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6.4" x14ac:dyDescent="0.25">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6.4" x14ac:dyDescent="0.25">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5">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5">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5">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5">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5">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5">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5">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5">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6.4" x14ac:dyDescent="0.25">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5">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5">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5">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5">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5">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5">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6.4" x14ac:dyDescent="0.25">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6.4" x14ac:dyDescent="0.25">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x14ac:dyDescent="0.25">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5">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5">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5">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6.4" x14ac:dyDescent="0.25">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5">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5">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5">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5">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5">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x14ac:dyDescent="0.25">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5">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5">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5">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5">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5">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5">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5">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5">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5">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5">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5">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5">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5">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5">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5">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5">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5">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5">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5">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5">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5">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5">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6.4" x14ac:dyDescent="0.25">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5">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6.4" x14ac:dyDescent="0.25">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5">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5">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5">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5">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5">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5">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5">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5">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6.4" x14ac:dyDescent="0.25">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5">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5">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5">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5">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5">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6.4" x14ac:dyDescent="0.25">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5">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6.4" x14ac:dyDescent="0.25">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5">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5">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5">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5">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5">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6.4" x14ac:dyDescent="0.25">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5">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5">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5">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5">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5">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5">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5">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5">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5">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5">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5">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5">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x14ac:dyDescent="0.25">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5">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5">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5">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5">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5">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5">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6.4" x14ac:dyDescent="0.25">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6.4" x14ac:dyDescent="0.25">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5">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5">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6.4" x14ac:dyDescent="0.25">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5">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5">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5">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5">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x14ac:dyDescent="0.25">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5">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5">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5">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5">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6.4" x14ac:dyDescent="0.25">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6.4" x14ac:dyDescent="0.25">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5">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5">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5">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6.4" x14ac:dyDescent="0.25">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5">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5">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5">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9.6" x14ac:dyDescent="0.25">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26.4" x14ac:dyDescent="0.25">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5">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6.4" x14ac:dyDescent="0.25">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5">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5">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5">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5">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5">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5">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5">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5">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5">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5">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5">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5">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5">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5">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5">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5">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6.4" x14ac:dyDescent="0.25">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5">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5">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5">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6.4" x14ac:dyDescent="0.25">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5">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5">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5">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5">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6.4" x14ac:dyDescent="0.25">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5">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6.4" x14ac:dyDescent="0.25">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6.4" x14ac:dyDescent="0.25">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5">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5">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5">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5">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6.4" x14ac:dyDescent="0.25">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26.4" x14ac:dyDescent="0.25">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6.4" x14ac:dyDescent="0.25">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5">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5">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5">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5">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5">
      <c r="B1421" s="61"/>
      <c r="C1421" s="44" t="s">
        <v>4291</v>
      </c>
      <c r="D1421" s="61"/>
      <c r="E1421" s="61"/>
      <c r="F1421" s="45"/>
      <c r="G1421" s="45">
        <v>18000000</v>
      </c>
      <c r="H1421" s="165">
        <v>30000000</v>
      </c>
      <c r="I1421" s="150" t="s">
        <v>3552</v>
      </c>
      <c r="J1421" s="149" t="s">
        <v>3562</v>
      </c>
      <c r="K1421" s="149" t="s">
        <v>3581</v>
      </c>
      <c r="L1421" s="171">
        <f t="shared" si="38"/>
        <v>-12000000</v>
      </c>
    </row>
    <row r="1422" spans="1:12" x14ac:dyDescent="0.25">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5">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6.4" x14ac:dyDescent="0.25">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5">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5">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5">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5">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6.4" x14ac:dyDescent="0.25">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5">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5">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5">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5">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x14ac:dyDescent="0.25">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5">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5">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5">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5">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5">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5">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5">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6.4" x14ac:dyDescent="0.25">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6.4" x14ac:dyDescent="0.25">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5">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5">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5">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5">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5">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5">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5">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5">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5">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6.4" x14ac:dyDescent="0.25">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5">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5">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6.4" x14ac:dyDescent="0.25">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5">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5">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6.4" x14ac:dyDescent="0.25">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5">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5">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5">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5">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6.4" x14ac:dyDescent="0.25">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6.4" x14ac:dyDescent="0.25">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26.4" x14ac:dyDescent="0.25">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5">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5">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5">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5">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6.4" x14ac:dyDescent="0.25">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5">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6.4" x14ac:dyDescent="0.25">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5">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5">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5">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6.4" x14ac:dyDescent="0.25">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5">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5">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6.4" x14ac:dyDescent="0.25">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5">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5">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5">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5">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5">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5">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5">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5">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5">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5">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6.4" x14ac:dyDescent="0.25">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6.4" x14ac:dyDescent="0.25">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6.4" x14ac:dyDescent="0.25">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5">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9.6" x14ac:dyDescent="0.25">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5">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5">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5">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6.4" x14ac:dyDescent="0.25">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6.4" x14ac:dyDescent="0.25">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5">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6.4" x14ac:dyDescent="0.25">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6.4" x14ac:dyDescent="0.25">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5">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5">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5">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5">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5">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5">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5">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5">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5">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6.4" x14ac:dyDescent="0.25">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6.4" x14ac:dyDescent="0.25">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5">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6.4" x14ac:dyDescent="0.25">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6.4" x14ac:dyDescent="0.25">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6.4" x14ac:dyDescent="0.25">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5">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6.4" x14ac:dyDescent="0.25">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5">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5">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6.4" x14ac:dyDescent="0.25">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6.4" x14ac:dyDescent="0.25">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5">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6.4" x14ac:dyDescent="0.25">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6.4" x14ac:dyDescent="0.25">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5">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5">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5">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x14ac:dyDescent="0.25">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5">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5">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5">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5">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6.4" x14ac:dyDescent="0.25">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5">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6.4" x14ac:dyDescent="0.25">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6.4" x14ac:dyDescent="0.25">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5">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6.4" x14ac:dyDescent="0.25">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5">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6.4" x14ac:dyDescent="0.25">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6.4" x14ac:dyDescent="0.25">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5">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6.4" x14ac:dyDescent="0.25">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6.4" x14ac:dyDescent="0.25">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5">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5">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5">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5">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5">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5">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5">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5">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5">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5">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5">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5">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5">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5">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5">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5">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5">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5">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5">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5">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5">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x14ac:dyDescent="0.25">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5">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6.4" x14ac:dyDescent="0.25">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6.4" x14ac:dyDescent="0.25">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6.4" x14ac:dyDescent="0.25">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5">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5">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5">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5">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5">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5">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6.4" x14ac:dyDescent="0.25">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6.4" x14ac:dyDescent="0.25">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5">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5">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5">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5">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5">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6.4" x14ac:dyDescent="0.25">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6.4" x14ac:dyDescent="0.25">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5">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5">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x14ac:dyDescent="0.25">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5">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6.4" x14ac:dyDescent="0.25">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6.4" x14ac:dyDescent="0.25">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5">
      <c r="B1595" s="61"/>
      <c r="C1595" s="44" t="s">
        <v>4389</v>
      </c>
      <c r="D1595" s="61"/>
      <c r="E1595" s="61"/>
      <c r="F1595" s="45"/>
      <c r="G1595" s="45">
        <v>22500000</v>
      </c>
      <c r="H1595" s="165">
        <v>3000000</v>
      </c>
      <c r="I1595" s="150" t="s">
        <v>3553</v>
      </c>
      <c r="J1595" s="149" t="s">
        <v>3559</v>
      </c>
      <c r="K1595" s="149" t="s">
        <v>3571</v>
      </c>
      <c r="L1595" s="171">
        <f t="shared" si="42"/>
        <v>19500000</v>
      </c>
    </row>
    <row r="1596" spans="1:12" ht="26.4" x14ac:dyDescent="0.25">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6.4" x14ac:dyDescent="0.25">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6.4" x14ac:dyDescent="0.25">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6.4" x14ac:dyDescent="0.25">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5">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5">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5">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5">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5">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5">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5">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6.4" x14ac:dyDescent="0.25">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6.4" x14ac:dyDescent="0.25">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5">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5">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5">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5">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5">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5">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5">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6.4" x14ac:dyDescent="0.25">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5">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5">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x14ac:dyDescent="0.25">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5">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5">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5">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5">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5">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5">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5">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5">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5">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5">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5">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5">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5">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5">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5">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6.4" x14ac:dyDescent="0.25">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5">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5">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6.4" x14ac:dyDescent="0.25">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5">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x14ac:dyDescent="0.25">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9.6" x14ac:dyDescent="0.25">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5">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5">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5">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5">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5">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5">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6.4" x14ac:dyDescent="0.25">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5">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5">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5">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5">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5">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x14ac:dyDescent="0.25">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5">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6.4" x14ac:dyDescent="0.25">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x14ac:dyDescent="0.25">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5">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5">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6.4" x14ac:dyDescent="0.25">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5">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5">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6.4" x14ac:dyDescent="0.25">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5">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5">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5">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5">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5">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5">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5">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5">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5">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5">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5">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6.4" x14ac:dyDescent="0.25">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5">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5">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5">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5">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5">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5">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5">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5">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5">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5">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5">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5">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5">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5">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5">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5">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5">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5">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5">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5">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5">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5">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5">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5">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5">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6.4" x14ac:dyDescent="0.25">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5">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6.4" x14ac:dyDescent="0.25">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5">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5">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5">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5">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5">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5">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5">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5">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6.4" x14ac:dyDescent="0.25">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6.4" x14ac:dyDescent="0.25">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5">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5">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5">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5">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5">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5">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5">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5">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5">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5">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6.4" x14ac:dyDescent="0.25">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6.4" x14ac:dyDescent="0.25">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6.4" x14ac:dyDescent="0.25">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6.4" x14ac:dyDescent="0.25">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6.4" x14ac:dyDescent="0.25">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5">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6.4" x14ac:dyDescent="0.25">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5">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6.4" x14ac:dyDescent="0.25">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5">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5">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5">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5">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5">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5">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5">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5">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5">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5">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5">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5">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5">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26.4" x14ac:dyDescent="0.25">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6.4" x14ac:dyDescent="0.25">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6.4" x14ac:dyDescent="0.25">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5">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6.4" x14ac:dyDescent="0.25">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5">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6.4" x14ac:dyDescent="0.25">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5">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5">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5">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5">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5">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5">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5">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5">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5">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5">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5">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5">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5">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6.4" x14ac:dyDescent="0.25">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6.4" x14ac:dyDescent="0.25">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5">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5">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5">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5">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5">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5">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5">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5">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6.4" x14ac:dyDescent="0.25">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5">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5">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5">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5">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5">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5">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5">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5">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5">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5">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5">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5">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x14ac:dyDescent="0.25">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5">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6.4" x14ac:dyDescent="0.25">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5">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5">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5">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5">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5">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5">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6.4" x14ac:dyDescent="0.25">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x14ac:dyDescent="0.25">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5">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5">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5">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5">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5">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5">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6.4" x14ac:dyDescent="0.25">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6.4" x14ac:dyDescent="0.25">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6.4" x14ac:dyDescent="0.25">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6.4" x14ac:dyDescent="0.25">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5">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5">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5">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6.4" x14ac:dyDescent="0.25">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5">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6.4" x14ac:dyDescent="0.25">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5">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5">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5">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5">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5">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6.4" x14ac:dyDescent="0.25">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5">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9.6" x14ac:dyDescent="0.25">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5">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5">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5">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5">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6.4" x14ac:dyDescent="0.25">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5">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6.4" x14ac:dyDescent="0.25">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5">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5">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5">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x14ac:dyDescent="0.25">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5">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5">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5">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6.4" x14ac:dyDescent="0.25">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6.4" x14ac:dyDescent="0.25">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5">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5">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5">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5">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26.4" x14ac:dyDescent="0.25">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5">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5">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5">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6.4" x14ac:dyDescent="0.25">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6.4" x14ac:dyDescent="0.25">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5">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5">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5">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5">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5">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5">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6.4" x14ac:dyDescent="0.25">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6.4" x14ac:dyDescent="0.25">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6.4" x14ac:dyDescent="0.25">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5">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5">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5">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5">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5">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6.4" x14ac:dyDescent="0.25">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6.4" x14ac:dyDescent="0.25">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5">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5">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x14ac:dyDescent="0.25">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5">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5">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6.4" x14ac:dyDescent="0.25">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6.4" x14ac:dyDescent="0.25">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5">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5">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5">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6.4" x14ac:dyDescent="0.25">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5">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6.4" x14ac:dyDescent="0.25">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5">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5">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5">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5">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5">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5">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6.4" x14ac:dyDescent="0.25">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6.4" x14ac:dyDescent="0.25">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5">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5">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6.4" x14ac:dyDescent="0.25">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x14ac:dyDescent="0.25">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5">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5">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5">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5">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5">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5">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5">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6.4" x14ac:dyDescent="0.25">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5">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5">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5">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5">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5">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5">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5">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5">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5">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5">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5">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6.4" x14ac:dyDescent="0.25">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6.4" x14ac:dyDescent="0.25">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5">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5">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5">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5">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5">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5">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6.4" x14ac:dyDescent="0.25">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5">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5">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5">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5">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5">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5">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5">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5">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6.4" x14ac:dyDescent="0.25">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5">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5">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5">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6.4" x14ac:dyDescent="0.25">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5">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5">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5">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5">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5">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6.4" x14ac:dyDescent="0.25">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5">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5">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5">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5">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5">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5">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6.4" x14ac:dyDescent="0.25">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5">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6.4" x14ac:dyDescent="0.25">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6.4" x14ac:dyDescent="0.25">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6.4" x14ac:dyDescent="0.25">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6.4" x14ac:dyDescent="0.25">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5">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6.4" x14ac:dyDescent="0.25">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5">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5">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5">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5">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5">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6.4" x14ac:dyDescent="0.25">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5">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5">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5">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5">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5">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5">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5">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5">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5">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6.4" x14ac:dyDescent="0.25">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5">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6.4" x14ac:dyDescent="0.25">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6.4" x14ac:dyDescent="0.25">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5">
      <c r="A1971" s="7" t="s">
        <v>3168</v>
      </c>
      <c r="B1971" s="60">
        <v>524113</v>
      </c>
      <c r="C1971" s="41" t="s">
        <v>13</v>
      </c>
      <c r="D1971" s="60"/>
      <c r="E1971" s="60"/>
      <c r="F1971" s="42"/>
      <c r="G1971" s="42">
        <v>720000</v>
      </c>
      <c r="H1971" s="165">
        <v>720000</v>
      </c>
      <c r="I1971" s="150" t="s">
        <v>3552</v>
      </c>
      <c r="J1971" s="149"/>
      <c r="K1971" s="149"/>
      <c r="L1971" s="171">
        <f t="shared" si="54"/>
        <v>0</v>
      </c>
    </row>
    <row r="1972" spans="1:12" ht="26.4" x14ac:dyDescent="0.25">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5">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5">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5">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6.4" x14ac:dyDescent="0.25">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5">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5">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5">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5">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6.4" x14ac:dyDescent="0.25">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5">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6.4" x14ac:dyDescent="0.25">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5">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5">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5">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5">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6.4" x14ac:dyDescent="0.25">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5">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5">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5">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5">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5">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5">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5">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6.4" x14ac:dyDescent="0.25">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5">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6.4" x14ac:dyDescent="0.25">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6.4" x14ac:dyDescent="0.25">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5">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6.4" x14ac:dyDescent="0.25">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5">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6.4" x14ac:dyDescent="0.25">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5">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6.4" x14ac:dyDescent="0.25">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5">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5">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5">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5">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5">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5">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5">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6.4" x14ac:dyDescent="0.25">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6.4" x14ac:dyDescent="0.25">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6.4" x14ac:dyDescent="0.25">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6.4" x14ac:dyDescent="0.25">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5">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5">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6.4" x14ac:dyDescent="0.25">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5">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5">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5">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5">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5">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5">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5">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5">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5">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5">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5">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6.4" x14ac:dyDescent="0.25">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6.4" x14ac:dyDescent="0.25">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5">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6.4" x14ac:dyDescent="0.25">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5">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5">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6.4" x14ac:dyDescent="0.25">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6.4" x14ac:dyDescent="0.25">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6.4" x14ac:dyDescent="0.25">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5">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5">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5">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5">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5">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5">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5">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5">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5">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5">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5">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5">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5">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5">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5">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5">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5">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5">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5">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6.4" x14ac:dyDescent="0.25">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6.4" x14ac:dyDescent="0.25">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5">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5">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5">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5">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5">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5">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5">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5">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5">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5">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5">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x14ac:dyDescent="0.25">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5">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5">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5">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5">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5">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5">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5">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5">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5">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5">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5">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5">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5">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5">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5">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5">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5">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5">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5">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5">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5">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5">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5">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5">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5">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5">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5">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5">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5">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5">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5">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5">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5">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5">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5">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5">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5">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6.4" x14ac:dyDescent="0.25">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5">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6.4" x14ac:dyDescent="0.25">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5">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5">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5">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5">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5">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5">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5">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5">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5">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5">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5">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5">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5">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5">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5">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5">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5">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5">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5">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6.4" x14ac:dyDescent="0.25">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6.4" x14ac:dyDescent="0.25">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5">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5">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5">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5">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5">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5">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x14ac:dyDescent="0.25">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5">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5">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5">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5">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5">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5">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5">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6.4" x14ac:dyDescent="0.25">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5">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6.4" x14ac:dyDescent="0.25">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5">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6.4" x14ac:dyDescent="0.25">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5">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5">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5">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6.4" x14ac:dyDescent="0.25">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5">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5">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5">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5">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5">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5">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6.4" x14ac:dyDescent="0.25">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5">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5">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5">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5">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5">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5">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5">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6.4" x14ac:dyDescent="0.25">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5">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5">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5">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5">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5">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5">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5">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5">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5">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6.4" x14ac:dyDescent="0.25">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5">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5">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6.4" x14ac:dyDescent="0.25">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9.6" x14ac:dyDescent="0.25">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5">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5">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x14ac:dyDescent="0.25">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5">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5">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5">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5">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5">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5">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5">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5">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5">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5">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5">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5">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5">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5">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5">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5">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5">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5">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5">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5">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5">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5">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6.4" x14ac:dyDescent="0.25">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5">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5">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5">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5">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5">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5">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5">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5">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5">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5">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5">
      <c r="A2222" s="7" t="s">
        <v>3516</v>
      </c>
      <c r="B2222" s="61"/>
      <c r="C2222" s="44" t="s">
        <v>3632</v>
      </c>
      <c r="D2222" s="61">
        <v>12</v>
      </c>
      <c r="E2222" s="61" t="s">
        <v>9</v>
      </c>
      <c r="F2222" s="45">
        <v>1500000</v>
      </c>
      <c r="G2222" s="45">
        <f>ROUNDDOWN(D2222*F2222,-3)</f>
        <v>18000000</v>
      </c>
    </row>
    <row r="2223" spans="1:12" x14ac:dyDescent="0.25">
      <c r="A2223" s="7" t="s">
        <v>3517</v>
      </c>
      <c r="B2223" s="60">
        <v>522151</v>
      </c>
      <c r="C2223" s="41" t="s">
        <v>11</v>
      </c>
      <c r="D2223" s="60"/>
      <c r="E2223" s="60"/>
      <c r="F2223" s="42"/>
      <c r="G2223" s="42">
        <v>6000000</v>
      </c>
    </row>
    <row r="2224" spans="1:12" x14ac:dyDescent="0.25">
      <c r="A2224" s="7" t="s">
        <v>3518</v>
      </c>
      <c r="B2224" s="61"/>
      <c r="C2224" s="44" t="s">
        <v>3715</v>
      </c>
      <c r="D2224" s="61">
        <v>6</v>
      </c>
      <c r="E2224" s="61" t="s">
        <v>12</v>
      </c>
      <c r="F2224" s="45">
        <v>1000000</v>
      </c>
      <c r="G2224" s="45">
        <f>ROUNDDOWN(D2224*F2224,-3)</f>
        <v>6000000</v>
      </c>
    </row>
    <row r="2225" spans="1:7" x14ac:dyDescent="0.25">
      <c r="A2225" s="7" t="s">
        <v>3519</v>
      </c>
      <c r="B2225" s="60">
        <v>524111</v>
      </c>
      <c r="C2225" s="41" t="s">
        <v>19</v>
      </c>
      <c r="D2225" s="60"/>
      <c r="E2225" s="60"/>
      <c r="F2225" s="42"/>
      <c r="G2225" s="42">
        <v>186000000</v>
      </c>
    </row>
    <row r="2226" spans="1:7" x14ac:dyDescent="0.25">
      <c r="A2226" s="7" t="s">
        <v>3520</v>
      </c>
      <c r="B2226" s="61"/>
      <c r="C2226" s="44" t="s">
        <v>4619</v>
      </c>
      <c r="D2226" s="61">
        <v>20</v>
      </c>
      <c r="E2226" s="61" t="s">
        <v>10</v>
      </c>
      <c r="F2226" s="45">
        <v>1500000</v>
      </c>
      <c r="G2226" s="45">
        <f>ROUNDDOWN(D2226*F2226,-3)</f>
        <v>30000000</v>
      </c>
    </row>
    <row r="2227" spans="1:7" ht="26.4" x14ac:dyDescent="0.25">
      <c r="A2227" s="7" t="s">
        <v>3521</v>
      </c>
      <c r="B2227" s="61"/>
      <c r="C2227" s="44" t="s">
        <v>4620</v>
      </c>
      <c r="D2227" s="61">
        <v>24</v>
      </c>
      <c r="E2227" s="61" t="s">
        <v>10</v>
      </c>
      <c r="F2227" s="45">
        <v>6500000</v>
      </c>
      <c r="G2227" s="45">
        <f>ROUNDDOWN(D2227*F2227,-3)</f>
        <v>156000000</v>
      </c>
    </row>
    <row r="2228" spans="1:7" x14ac:dyDescent="0.25">
      <c r="A2228" s="7" t="s">
        <v>3522</v>
      </c>
      <c r="B2228" s="59" t="s">
        <v>512</v>
      </c>
      <c r="C2228" s="38" t="s">
        <v>192</v>
      </c>
      <c r="D2228" s="59"/>
      <c r="E2228" s="59"/>
      <c r="F2228" s="39"/>
      <c r="G2228" s="39">
        <v>174041000</v>
      </c>
    </row>
    <row r="2229" spans="1:7" x14ac:dyDescent="0.25">
      <c r="A2229" s="7" t="s">
        <v>3523</v>
      </c>
      <c r="B2229" s="60">
        <v>521211</v>
      </c>
      <c r="C2229" s="41" t="s">
        <v>7</v>
      </c>
      <c r="D2229" s="60"/>
      <c r="E2229" s="60"/>
      <c r="F2229" s="42"/>
      <c r="G2229" s="42">
        <v>12000000</v>
      </c>
    </row>
    <row r="2230" spans="1:7" x14ac:dyDescent="0.25">
      <c r="A2230" s="7" t="s">
        <v>3524</v>
      </c>
      <c r="B2230" s="61"/>
      <c r="C2230" s="44" t="s">
        <v>4622</v>
      </c>
      <c r="D2230" s="61">
        <v>3</v>
      </c>
      <c r="E2230" s="61" t="s">
        <v>9</v>
      </c>
      <c r="F2230" s="45">
        <v>1500000</v>
      </c>
      <c r="G2230" s="45">
        <f>ROUNDDOWN(D2230*F2230,-3)</f>
        <v>4500000</v>
      </c>
    </row>
    <row r="2231" spans="1:7" x14ac:dyDescent="0.25">
      <c r="A2231" s="7" t="s">
        <v>3525</v>
      </c>
      <c r="B2231" s="61"/>
      <c r="C2231" s="44" t="s">
        <v>3626</v>
      </c>
      <c r="D2231" s="61">
        <v>3</v>
      </c>
      <c r="E2231" s="61" t="s">
        <v>9</v>
      </c>
      <c r="F2231" s="45">
        <v>1000000</v>
      </c>
      <c r="G2231" s="45">
        <f>ROUNDDOWN(D2231*F2231,-3)</f>
        <v>3000000</v>
      </c>
    </row>
    <row r="2232" spans="1:7" x14ac:dyDescent="0.25">
      <c r="A2232" s="7" t="s">
        <v>3526</v>
      </c>
      <c r="B2232" s="61"/>
      <c r="C2232" s="44" t="s">
        <v>3600</v>
      </c>
      <c r="D2232" s="61">
        <v>3</v>
      </c>
      <c r="E2232" s="61" t="s">
        <v>9</v>
      </c>
      <c r="F2232" s="45">
        <v>1500000</v>
      </c>
      <c r="G2232" s="45">
        <f>ROUNDDOWN(D2232*F2232,-3)</f>
        <v>4500000</v>
      </c>
    </row>
    <row r="2233" spans="1:7" x14ac:dyDescent="0.25">
      <c r="A2233" s="7" t="s">
        <v>3527</v>
      </c>
      <c r="B2233" s="60">
        <v>521219</v>
      </c>
      <c r="C2233" s="41" t="s">
        <v>53</v>
      </c>
      <c r="D2233" s="60"/>
      <c r="E2233" s="60"/>
      <c r="F2233" s="42"/>
      <c r="G2233" s="42">
        <v>20000000</v>
      </c>
    </row>
    <row r="2234" spans="1:7" ht="26.4" x14ac:dyDescent="0.25">
      <c r="A2234" s="7" t="s">
        <v>3528</v>
      </c>
      <c r="B2234" s="61"/>
      <c r="C2234" s="44" t="s">
        <v>4623</v>
      </c>
      <c r="D2234" s="61">
        <v>2</v>
      </c>
      <c r="E2234" s="61" t="s">
        <v>155</v>
      </c>
      <c r="F2234" s="45">
        <v>10000000</v>
      </c>
      <c r="G2234" s="45">
        <f>ROUNDDOWN(D2234*F2234,-3)</f>
        <v>20000000</v>
      </c>
    </row>
    <row r="2235" spans="1:7" x14ac:dyDescent="0.25">
      <c r="A2235" s="7" t="s">
        <v>3530</v>
      </c>
      <c r="B2235" s="60">
        <v>524211</v>
      </c>
      <c r="C2235" s="41" t="s">
        <v>1151</v>
      </c>
      <c r="D2235" s="60"/>
      <c r="E2235" s="60"/>
      <c r="F2235" s="42"/>
      <c r="G2235" s="42">
        <v>142041000</v>
      </c>
    </row>
    <row r="2236" spans="1:7" ht="26.4" x14ac:dyDescent="0.25">
      <c r="A2236" s="7" t="s">
        <v>3531</v>
      </c>
      <c r="B2236" s="61"/>
      <c r="C2236" s="44" t="s">
        <v>4624</v>
      </c>
      <c r="D2236" s="61">
        <v>3</v>
      </c>
      <c r="E2236" s="61" t="s">
        <v>10</v>
      </c>
      <c r="F2236" s="45">
        <v>47347000</v>
      </c>
      <c r="G2236" s="45">
        <f>ROUNDDOWN(D2236*F2236,-3)</f>
        <v>142041000</v>
      </c>
    </row>
    <row r="2237" spans="1:7" x14ac:dyDescent="0.25">
      <c r="A2237" s="7" t="s">
        <v>3533</v>
      </c>
      <c r="B2237" s="59" t="s">
        <v>514</v>
      </c>
      <c r="C2237" s="38" t="s">
        <v>3534</v>
      </c>
      <c r="D2237" s="59"/>
      <c r="E2237" s="59"/>
      <c r="F2237" s="39"/>
      <c r="G2237" s="39">
        <v>30000000</v>
      </c>
    </row>
    <row r="2238" spans="1:7" x14ac:dyDescent="0.25">
      <c r="A2238" s="7" t="s">
        <v>3535</v>
      </c>
      <c r="B2238" s="60">
        <v>522192</v>
      </c>
      <c r="C2238" s="41" t="s">
        <v>24</v>
      </c>
      <c r="D2238" s="60"/>
      <c r="E2238" s="60"/>
      <c r="F2238" s="42"/>
      <c r="G2238" s="42">
        <v>30000000</v>
      </c>
    </row>
    <row r="2239" spans="1:7" x14ac:dyDescent="0.25">
      <c r="A2239" s="7" t="s">
        <v>3536</v>
      </c>
      <c r="B2239" s="61"/>
      <c r="C2239" s="44" t="s">
        <v>4625</v>
      </c>
      <c r="D2239" s="61">
        <v>120</v>
      </c>
      <c r="E2239" s="61" t="s">
        <v>776</v>
      </c>
      <c r="F2239" s="45">
        <v>250000</v>
      </c>
      <c r="G2239" s="45">
        <f>ROUNDDOWN(D2239*F2239,-3)</f>
        <v>30000000</v>
      </c>
    </row>
    <row r="2240" spans="1:7" x14ac:dyDescent="0.25">
      <c r="A2240" s="7" t="s">
        <v>3538</v>
      </c>
      <c r="B2240" s="58">
        <v>302</v>
      </c>
      <c r="C2240" s="35" t="s">
        <v>193</v>
      </c>
      <c r="D2240" s="58">
        <v>0</v>
      </c>
      <c r="E2240" s="58"/>
      <c r="F2240" s="36"/>
      <c r="G2240" s="36">
        <v>109200000</v>
      </c>
    </row>
    <row r="2241" spans="1:7" x14ac:dyDescent="0.25">
      <c r="A2241" s="7" t="s">
        <v>3539</v>
      </c>
      <c r="B2241" s="59" t="s">
        <v>8</v>
      </c>
      <c r="C2241" s="38" t="s">
        <v>193</v>
      </c>
      <c r="D2241" s="59"/>
      <c r="E2241" s="59"/>
      <c r="F2241" s="39"/>
      <c r="G2241" s="39">
        <v>109200000</v>
      </c>
    </row>
    <row r="2242" spans="1:7" x14ac:dyDescent="0.25">
      <c r="A2242" s="7" t="s">
        <v>3540</v>
      </c>
      <c r="B2242" s="60">
        <v>521211</v>
      </c>
      <c r="C2242" s="41" t="s">
        <v>7</v>
      </c>
      <c r="D2242" s="60"/>
      <c r="E2242" s="60"/>
      <c r="F2242" s="42"/>
      <c r="G2242" s="42">
        <v>25000000</v>
      </c>
    </row>
    <row r="2243" spans="1:7" x14ac:dyDescent="0.25">
      <c r="A2243" s="7" t="s">
        <v>3541</v>
      </c>
      <c r="B2243" s="61"/>
      <c r="C2243" s="44" t="s">
        <v>4612</v>
      </c>
      <c r="D2243" s="61">
        <v>100</v>
      </c>
      <c r="E2243" s="61" t="s">
        <v>10</v>
      </c>
      <c r="F2243" s="45">
        <v>70000</v>
      </c>
      <c r="G2243" s="45">
        <f>ROUNDDOWN(D2243*F2243,-3)</f>
        <v>7000000</v>
      </c>
    </row>
    <row r="2244" spans="1:7" x14ac:dyDescent="0.25">
      <c r="A2244" s="7" t="s">
        <v>3542</v>
      </c>
      <c r="B2244" s="61"/>
      <c r="C2244" s="44" t="s">
        <v>4613</v>
      </c>
      <c r="D2244" s="61">
        <v>12</v>
      </c>
      <c r="E2244" s="61" t="s">
        <v>9</v>
      </c>
      <c r="F2244" s="45">
        <v>1500000</v>
      </c>
      <c r="G2244" s="45">
        <f>ROUNDDOWN(D2244*F2244,-3)</f>
        <v>18000000</v>
      </c>
    </row>
    <row r="2245" spans="1:7" x14ac:dyDescent="0.25">
      <c r="A2245" s="7" t="s">
        <v>3543</v>
      </c>
      <c r="B2245" s="60">
        <v>521811</v>
      </c>
      <c r="C2245" s="41" t="s">
        <v>64</v>
      </c>
      <c r="D2245" s="60"/>
      <c r="E2245" s="60"/>
      <c r="F2245" s="42"/>
      <c r="G2245" s="42">
        <v>30000000</v>
      </c>
    </row>
    <row r="2246" spans="1:7" x14ac:dyDescent="0.25">
      <c r="A2246" s="7" t="s">
        <v>3544</v>
      </c>
      <c r="B2246" s="61"/>
      <c r="C2246" s="44" t="s">
        <v>4269</v>
      </c>
      <c r="D2246" s="61">
        <v>12</v>
      </c>
      <c r="E2246" s="61" t="s">
        <v>9</v>
      </c>
      <c r="F2246" s="45">
        <v>1000000</v>
      </c>
      <c r="G2246" s="45">
        <f>ROUNDDOWN(D2246*F2246,-3)</f>
        <v>12000000</v>
      </c>
    </row>
    <row r="2247" spans="1:7" x14ac:dyDescent="0.25">
      <c r="A2247" s="7" t="s">
        <v>3545</v>
      </c>
      <c r="B2247" s="61"/>
      <c r="C2247" s="44" t="s">
        <v>3632</v>
      </c>
      <c r="D2247" s="61">
        <v>12</v>
      </c>
      <c r="E2247" s="61" t="s">
        <v>9</v>
      </c>
      <c r="F2247" s="45">
        <v>1500000</v>
      </c>
      <c r="G2247" s="45">
        <f>ROUNDDOWN(D2247*F2247,-3)</f>
        <v>18000000</v>
      </c>
    </row>
    <row r="2248" spans="1:7" x14ac:dyDescent="0.25">
      <c r="A2248" s="7" t="s">
        <v>3546</v>
      </c>
      <c r="B2248" s="60">
        <v>524111</v>
      </c>
      <c r="C2248" s="41" t="s">
        <v>19</v>
      </c>
      <c r="D2248" s="60"/>
      <c r="E2248" s="60"/>
      <c r="F2248" s="42"/>
      <c r="G2248" s="42">
        <v>54200000</v>
      </c>
    </row>
    <row r="2249" spans="1:7" ht="26.4" x14ac:dyDescent="0.25">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31" priority="4">
      <formula>AND($Q$4="Ya",$P$2=ROW())</formula>
    </cfRule>
  </conditionalFormatting>
  <conditionalFormatting sqref="G12:G2220">
    <cfRule type="expression" dxfId="30" priority="3">
      <formula>NOT(_xlfn.ISFORMULA(G12))</formula>
    </cfRule>
  </conditionalFormatting>
  <conditionalFormatting sqref="G2249 G2246:G2247 G2243:G2244 G2239 G2236 G2234 G2230:G2232 G2226:G2227 G2224 G2221:G2222">
    <cfRule type="expression" dxfId="29" priority="2">
      <formula>AND($Q$4="Ya",$P$2=ROW())</formula>
    </cfRule>
  </conditionalFormatting>
  <conditionalFormatting sqref="G2249 G2246:G2247 G2243:G2244 G2239 G2236 G2234 G2230:G2232 G2226:G2227 G2224 G2221:G2222">
    <cfRule type="expression" dxfId="28"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4"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97" r:id="rId4" name="cmdWarna">
          <controlPr defaultSize="0" print="0" autoLine="0" r:id="rId5">
            <anchor>
              <from>
                <xdr:col>12</xdr:col>
                <xdr:colOff>327660</xdr:colOff>
                <xdr:row>21</xdr:row>
                <xdr:rowOff>137160</xdr:rowOff>
              </from>
              <to>
                <xdr:col>12</xdr:col>
                <xdr:colOff>1668780</xdr:colOff>
                <xdr:row>23</xdr:row>
                <xdr:rowOff>30480</xdr:rowOff>
              </to>
            </anchor>
          </controlPr>
        </control>
      </mc:Choice>
      <mc:Fallback>
        <control shapeId="12297" r:id="rId4" name="cmdWarna"/>
      </mc:Fallback>
    </mc:AlternateContent>
    <mc:AlternateContent xmlns:mc="http://schemas.openxmlformats.org/markup-compatibility/2006">
      <mc:Choice Requires="x14">
        <control shapeId="12289" r:id="rId6" name="cmdGetAkun">
          <controlPr defaultSize="0" autoLine="0" r:id="rId7">
            <anchor moveWithCells="1">
              <from>
                <xdr:col>12</xdr:col>
                <xdr:colOff>327660</xdr:colOff>
                <xdr:row>1</xdr:row>
                <xdr:rowOff>22860</xdr:rowOff>
              </from>
              <to>
                <xdr:col>12</xdr:col>
                <xdr:colOff>1402080</xdr:colOff>
                <xdr:row>3</xdr:row>
                <xdr:rowOff>22860</xdr:rowOff>
              </to>
            </anchor>
          </controlPr>
        </control>
      </mc:Choice>
      <mc:Fallback>
        <control shapeId="12289" r:id="rId6" name="cmdGetAkun"/>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137160</xdr:rowOff>
              </from>
              <to>
                <xdr:col>13</xdr:col>
                <xdr:colOff>502920</xdr:colOff>
                <xdr:row>15</xdr:row>
                <xdr:rowOff>7620</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60960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144780</xdr:colOff>
                <xdr:row>17</xdr:row>
                <xdr:rowOff>99060</xdr:rowOff>
              </from>
              <to>
                <xdr:col>13</xdr:col>
                <xdr:colOff>449580</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144780</xdr:colOff>
                <xdr:row>17</xdr:row>
                <xdr:rowOff>327660</xdr:rowOff>
              </from>
              <to>
                <xdr:col>13</xdr:col>
                <xdr:colOff>449580</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144780</xdr:colOff>
                <xdr:row>18</xdr:row>
                <xdr:rowOff>160020</xdr:rowOff>
              </from>
              <to>
                <xdr:col>13</xdr:col>
                <xdr:colOff>449580</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144780</xdr:colOff>
                <xdr:row>19</xdr:row>
                <xdr:rowOff>175260</xdr:rowOff>
              </from>
              <to>
                <xdr:col>13</xdr:col>
                <xdr:colOff>449580</xdr:colOff>
                <xdr:row>21</xdr:row>
                <xdr:rowOff>60960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175260</xdr:colOff>
                <xdr:row>15</xdr:row>
                <xdr:rowOff>60960</xdr:rowOff>
              </from>
              <to>
                <xdr:col>13</xdr:col>
                <xdr:colOff>487680</xdr:colOff>
                <xdr:row>15</xdr:row>
                <xdr:rowOff>274320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78" hidden="1"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8" width="16.88671875" style="182" customWidth="1"/>
    <col min="9" max="11" width="20" style="117" customWidth="1"/>
    <col min="12" max="12" width="9.109375" style="117"/>
    <col min="13" max="13" width="15" style="117" customWidth="1"/>
    <col min="14" max="16384" width="9.109375" style="117"/>
  </cols>
  <sheetData>
    <row r="1" spans="1:22" ht="15.6" x14ac:dyDescent="0.25">
      <c r="B1" s="443" t="s">
        <v>598</v>
      </c>
      <c r="C1" s="443"/>
      <c r="D1" s="443"/>
      <c r="E1" s="443"/>
      <c r="F1" s="443"/>
      <c r="G1" s="451"/>
      <c r="H1" s="206"/>
    </row>
    <row r="2" spans="1:22" ht="15.6" x14ac:dyDescent="0.3">
      <c r="B2" s="452" t="s">
        <v>4628</v>
      </c>
      <c r="C2" s="452"/>
      <c r="D2" s="452"/>
      <c r="E2" s="452"/>
      <c r="F2" s="452"/>
      <c r="G2" s="453"/>
      <c r="H2" s="207"/>
    </row>
    <row r="3" spans="1:22" ht="15.6" x14ac:dyDescent="0.3">
      <c r="B3" s="183"/>
      <c r="C3" s="183"/>
      <c r="D3" s="183"/>
      <c r="E3" s="183"/>
      <c r="F3" s="183"/>
      <c r="G3" s="184"/>
      <c r="H3" s="207"/>
    </row>
    <row r="4" spans="1:22" ht="15" x14ac:dyDescent="0.25">
      <c r="B4" s="185" t="s">
        <v>599</v>
      </c>
      <c r="C4" s="185" t="s">
        <v>600</v>
      </c>
      <c r="D4" s="186"/>
      <c r="E4" s="186"/>
      <c r="F4" s="185"/>
      <c r="G4" s="187"/>
      <c r="H4" s="187"/>
    </row>
    <row r="5" spans="1:22" ht="15" x14ac:dyDescent="0.25">
      <c r="B5" s="185" t="s">
        <v>601</v>
      </c>
      <c r="C5" s="185" t="s">
        <v>602</v>
      </c>
      <c r="D5" s="53"/>
      <c r="E5" s="53"/>
      <c r="F5" s="50"/>
      <c r="G5" s="143"/>
      <c r="H5" s="143"/>
    </row>
    <row r="6" spans="1:22" ht="15" x14ac:dyDescent="0.25">
      <c r="B6" s="185" t="s">
        <v>603</v>
      </c>
      <c r="C6" s="185" t="s">
        <v>604</v>
      </c>
      <c r="D6" s="53"/>
      <c r="E6" s="53"/>
      <c r="F6" s="50"/>
      <c r="G6" s="143"/>
      <c r="H6" s="143"/>
    </row>
    <row r="7" spans="1:22" ht="15.6" x14ac:dyDescent="0.3">
      <c r="B7" s="185" t="s">
        <v>605</v>
      </c>
      <c r="C7" s="188" t="str">
        <f>":  Rp. " &amp; TEXT(G12,"#.##")</f>
        <v>:  Rp. 23.342.160.000</v>
      </c>
      <c r="D7" s="53"/>
      <c r="E7" s="53"/>
      <c r="F7" s="50"/>
      <c r="G7" s="143"/>
      <c r="H7" s="143"/>
    </row>
    <row r="8" spans="1:22" ht="15" x14ac:dyDescent="0.25">
      <c r="B8" s="189"/>
      <c r="C8" s="189"/>
      <c r="D8" s="189"/>
      <c r="E8" s="189"/>
      <c r="F8" s="189"/>
      <c r="G8" s="190"/>
      <c r="H8" s="190"/>
    </row>
    <row r="9" spans="1:22" ht="13.8" x14ac:dyDescent="0.25">
      <c r="B9" s="454" t="s">
        <v>606</v>
      </c>
      <c r="C9" s="455" t="s">
        <v>607</v>
      </c>
      <c r="D9" s="456" t="s">
        <v>608</v>
      </c>
      <c r="E9" s="454" t="s">
        <v>609</v>
      </c>
      <c r="F9" s="456" t="s">
        <v>610</v>
      </c>
      <c r="G9" s="450" t="s">
        <v>611</v>
      </c>
      <c r="H9" s="208"/>
      <c r="I9" s="457" t="s">
        <v>4629</v>
      </c>
      <c r="J9" s="457"/>
      <c r="K9" s="457"/>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3.8" x14ac:dyDescent="0.25">
      <c r="A10" s="179" t="s">
        <v>499</v>
      </c>
      <c r="B10" s="446"/>
      <c r="C10" s="446"/>
      <c r="D10" s="449"/>
      <c r="E10" s="449"/>
      <c r="F10" s="446"/>
      <c r="G10" s="446"/>
      <c r="H10" s="217"/>
      <c r="I10" s="218" t="s">
        <v>4641</v>
      </c>
      <c r="J10" s="218" t="s">
        <v>4642</v>
      </c>
      <c r="K10" s="218" t="s">
        <v>4643</v>
      </c>
    </row>
    <row r="11" spans="1:22" s="180" customFormat="1" x14ac:dyDescent="0.25">
      <c r="A11" s="179"/>
      <c r="B11" s="176">
        <v>1</v>
      </c>
      <c r="C11" s="176">
        <v>2</v>
      </c>
      <c r="D11" s="176">
        <v>3</v>
      </c>
      <c r="E11" s="176">
        <v>4</v>
      </c>
      <c r="F11" s="176">
        <v>5</v>
      </c>
      <c r="G11" s="177">
        <v>6</v>
      </c>
      <c r="H11" s="209"/>
    </row>
    <row r="12" spans="1:22" s="180" customFormat="1" x14ac:dyDescent="0.25">
      <c r="A12" s="179"/>
      <c r="B12" s="127"/>
      <c r="C12" s="128" t="s">
        <v>613</v>
      </c>
      <c r="D12" s="129"/>
      <c r="E12" s="130"/>
      <c r="F12" s="129"/>
      <c r="G12" s="175">
        <f>SUM(G13,G114)</f>
        <v>23342160000</v>
      </c>
      <c r="H12" s="210" t="b">
        <f>_xlfn.ISFORMULA(G12)</f>
        <v>1</v>
      </c>
    </row>
    <row r="13" spans="1:22" ht="13.8" x14ac:dyDescent="0.25">
      <c r="A13" s="7" t="s">
        <v>0</v>
      </c>
      <c r="B13" s="54" t="s">
        <v>0</v>
      </c>
      <c r="C13" s="23" t="s">
        <v>1</v>
      </c>
      <c r="D13" s="54"/>
      <c r="E13" s="54"/>
      <c r="F13" s="24"/>
      <c r="G13" s="24">
        <f>G14</f>
        <v>1000000000</v>
      </c>
      <c r="H13" s="210" t="b">
        <f>_xlfn.ISFORMULA(G13)</f>
        <v>1</v>
      </c>
    </row>
    <row r="14" spans="1:22" ht="13.8" x14ac:dyDescent="0.25">
      <c r="A14" s="21" t="s">
        <v>419</v>
      </c>
      <c r="B14" s="55">
        <v>2376</v>
      </c>
      <c r="C14" s="26" t="s">
        <v>47</v>
      </c>
      <c r="D14" s="68"/>
      <c r="E14" s="55"/>
      <c r="F14" s="27"/>
      <c r="G14" s="27">
        <f>G15</f>
        <v>1000000000</v>
      </c>
      <c r="H14" s="210" t="b">
        <f t="shared" ref="H14:H76" si="0">_xlfn.ISFORMULA(G14)</f>
        <v>1</v>
      </c>
    </row>
    <row r="15" spans="1:22" ht="13.8" x14ac:dyDescent="0.25">
      <c r="A15" s="21" t="s">
        <v>420</v>
      </c>
      <c r="B15" s="135" t="s">
        <v>48</v>
      </c>
      <c r="C15" s="133" t="s">
        <v>615</v>
      </c>
      <c r="D15" s="134">
        <v>4</v>
      </c>
      <c r="E15" s="135" t="s">
        <v>3596</v>
      </c>
      <c r="F15" s="136"/>
      <c r="G15" s="136">
        <f>G16</f>
        <v>1000000000</v>
      </c>
      <c r="H15" s="210" t="b">
        <f t="shared" si="0"/>
        <v>1</v>
      </c>
    </row>
    <row r="16" spans="1:22" ht="26.4" x14ac:dyDescent="0.25">
      <c r="A16" s="21" t="s">
        <v>421</v>
      </c>
      <c r="B16" s="138" t="s">
        <v>3712</v>
      </c>
      <c r="C16" s="137" t="s">
        <v>49</v>
      </c>
      <c r="D16" s="138">
        <v>4</v>
      </c>
      <c r="E16" s="138" t="s">
        <v>3596</v>
      </c>
      <c r="F16" s="139"/>
      <c r="G16" s="139">
        <f>SUM(G17,G38,G49,G98)</f>
        <v>1000000000</v>
      </c>
      <c r="H16" s="210" t="b">
        <f t="shared" si="0"/>
        <v>1</v>
      </c>
    </row>
    <row r="17" spans="1:8" ht="13.8" x14ac:dyDescent="0.25">
      <c r="A17" s="21" t="s">
        <v>422</v>
      </c>
      <c r="B17" s="58" t="s">
        <v>502</v>
      </c>
      <c r="C17" s="35" t="s">
        <v>50</v>
      </c>
      <c r="D17" s="69"/>
      <c r="E17" s="58"/>
      <c r="F17" s="36"/>
      <c r="G17" s="36">
        <f>SUM(G18,G28)</f>
        <v>124100000</v>
      </c>
      <c r="H17" s="210" t="b">
        <f t="shared" si="0"/>
        <v>1</v>
      </c>
    </row>
    <row r="18" spans="1:8" ht="13.8" x14ac:dyDescent="0.25">
      <c r="A18" s="21" t="s">
        <v>423</v>
      </c>
      <c r="B18" s="59" t="s">
        <v>8</v>
      </c>
      <c r="C18" s="38" t="s">
        <v>51</v>
      </c>
      <c r="D18" s="59"/>
      <c r="E18" s="59"/>
      <c r="F18" s="39"/>
      <c r="G18" s="39">
        <f>SUM(G19,G24,G26)</f>
        <v>83135000</v>
      </c>
      <c r="H18" s="210" t="b">
        <f t="shared" si="0"/>
        <v>1</v>
      </c>
    </row>
    <row r="19" spans="1:8" ht="13.8" x14ac:dyDescent="0.25">
      <c r="A19" s="21" t="s">
        <v>424</v>
      </c>
      <c r="B19" s="60">
        <v>521211</v>
      </c>
      <c r="C19" s="41" t="s">
        <v>7</v>
      </c>
      <c r="D19" s="71"/>
      <c r="E19" s="60"/>
      <c r="F19" s="42"/>
      <c r="G19" s="42">
        <f>SUM(G20:G23)</f>
        <v>8375000</v>
      </c>
      <c r="H19" s="210" t="b">
        <f t="shared" si="0"/>
        <v>1</v>
      </c>
    </row>
    <row r="20" spans="1:8" ht="13.8" x14ac:dyDescent="0.25">
      <c r="A20" s="21" t="s">
        <v>425</v>
      </c>
      <c r="B20" s="152"/>
      <c r="C20" s="151" t="s">
        <v>3713</v>
      </c>
      <c r="D20" s="213">
        <v>65</v>
      </c>
      <c r="E20" s="152" t="s">
        <v>10</v>
      </c>
      <c r="F20" s="153">
        <v>75000</v>
      </c>
      <c r="G20" s="153">
        <f>ROUNDDOWN(D20*F20,-3)</f>
        <v>4875000</v>
      </c>
      <c r="H20" s="210" t="b">
        <f t="shared" si="0"/>
        <v>1</v>
      </c>
    </row>
    <row r="21" spans="1:8" ht="13.8" x14ac:dyDescent="0.25">
      <c r="A21" s="21" t="s">
        <v>426</v>
      </c>
      <c r="B21" s="152"/>
      <c r="C21" s="151" t="s">
        <v>3714</v>
      </c>
      <c r="D21" s="152">
        <v>1</v>
      </c>
      <c r="E21" s="152" t="s">
        <v>106</v>
      </c>
      <c r="F21" s="153">
        <v>1000000</v>
      </c>
      <c r="G21" s="153">
        <f>ROUNDDOWN(D21*F21,-3)</f>
        <v>1000000</v>
      </c>
      <c r="H21" s="210" t="b">
        <f t="shared" si="0"/>
        <v>1</v>
      </c>
    </row>
    <row r="22" spans="1:8" ht="13.8" x14ac:dyDescent="0.25">
      <c r="A22" s="21" t="s">
        <v>427</v>
      </c>
      <c r="B22" s="152"/>
      <c r="C22" s="151" t="s">
        <v>3600</v>
      </c>
      <c r="D22" s="213">
        <v>1</v>
      </c>
      <c r="E22" s="152" t="s">
        <v>106</v>
      </c>
      <c r="F22" s="153">
        <v>1000000</v>
      </c>
      <c r="G22" s="153">
        <f>ROUNDDOWN(D22*F22,-3)</f>
        <v>1000000</v>
      </c>
      <c r="H22" s="210" t="b">
        <f t="shared" si="0"/>
        <v>1</v>
      </c>
    </row>
    <row r="23" spans="1:8" ht="13.8" x14ac:dyDescent="0.25">
      <c r="A23" s="21" t="s">
        <v>428</v>
      </c>
      <c r="B23" s="152"/>
      <c r="C23" s="151" t="s">
        <v>3601</v>
      </c>
      <c r="D23" s="152">
        <v>1</v>
      </c>
      <c r="E23" s="152" t="s">
        <v>106</v>
      </c>
      <c r="F23" s="153">
        <v>1500000</v>
      </c>
      <c r="G23" s="153">
        <f>ROUNDDOWN(D23*F23,-3)</f>
        <v>1500000</v>
      </c>
      <c r="H23" s="210" t="b">
        <f t="shared" si="0"/>
        <v>1</v>
      </c>
    </row>
    <row r="24" spans="1:8" ht="13.8" x14ac:dyDescent="0.25">
      <c r="A24" s="21" t="s">
        <v>772</v>
      </c>
      <c r="B24" s="60">
        <v>522151</v>
      </c>
      <c r="C24" s="41" t="s">
        <v>11</v>
      </c>
      <c r="D24" s="71"/>
      <c r="E24" s="60"/>
      <c r="F24" s="42"/>
      <c r="G24" s="42">
        <f>G25</f>
        <v>1000000</v>
      </c>
      <c r="H24" s="210" t="b">
        <f>_xlfn.ISFORMULA(G24)</f>
        <v>1</v>
      </c>
    </row>
    <row r="25" spans="1:8" ht="13.8" x14ac:dyDescent="0.25">
      <c r="A25" s="21" t="s">
        <v>773</v>
      </c>
      <c r="B25" s="152"/>
      <c r="C25" s="151" t="s">
        <v>3715</v>
      </c>
      <c r="D25" s="152">
        <v>1</v>
      </c>
      <c r="E25" s="152" t="s">
        <v>54</v>
      </c>
      <c r="F25" s="153">
        <v>1000000</v>
      </c>
      <c r="G25" s="153">
        <f>ROUNDDOWN(D25*F25,-3)</f>
        <v>1000000</v>
      </c>
      <c r="H25" s="210" t="b">
        <f t="shared" si="0"/>
        <v>1</v>
      </c>
    </row>
    <row r="26" spans="1:8" ht="13.8" x14ac:dyDescent="0.25">
      <c r="A26" s="21" t="s">
        <v>429</v>
      </c>
      <c r="B26" s="60">
        <v>524111</v>
      </c>
      <c r="C26" s="41" t="s">
        <v>19</v>
      </c>
      <c r="D26" s="60"/>
      <c r="E26" s="60"/>
      <c r="F26" s="42"/>
      <c r="G26" s="42">
        <f>G27</f>
        <v>73760000</v>
      </c>
      <c r="H26" s="210" t="b">
        <f t="shared" si="0"/>
        <v>1</v>
      </c>
    </row>
    <row r="27" spans="1:8" ht="26.4" x14ac:dyDescent="0.25">
      <c r="A27" s="21" t="s">
        <v>430</v>
      </c>
      <c r="B27" s="152"/>
      <c r="C27" s="151" t="s">
        <v>3716</v>
      </c>
      <c r="D27" s="213">
        <v>12</v>
      </c>
      <c r="E27" s="152" t="s">
        <v>776</v>
      </c>
      <c r="F27" s="153">
        <v>6146667</v>
      </c>
      <c r="G27" s="153">
        <f>ROUNDDOWN(D27*F27,-3)</f>
        <v>73760000</v>
      </c>
      <c r="H27" s="210" t="b">
        <f t="shared" si="0"/>
        <v>1</v>
      </c>
    </row>
    <row r="28" spans="1:8" ht="13.8" x14ac:dyDescent="0.25">
      <c r="A28" s="21" t="s">
        <v>431</v>
      </c>
      <c r="B28" s="59" t="s">
        <v>511</v>
      </c>
      <c r="C28" s="38" t="s">
        <v>55</v>
      </c>
      <c r="D28" s="70"/>
      <c r="E28" s="59"/>
      <c r="F28" s="39"/>
      <c r="G28" s="39">
        <f>SUM(G29,G34,G36)</f>
        <v>40965000</v>
      </c>
      <c r="H28" s="210" t="b">
        <f t="shared" si="0"/>
        <v>1</v>
      </c>
    </row>
    <row r="29" spans="1:8" ht="13.8" x14ac:dyDescent="0.25">
      <c r="A29" s="21" t="s">
        <v>432</v>
      </c>
      <c r="B29" s="60">
        <v>521211</v>
      </c>
      <c r="C29" s="41" t="s">
        <v>7</v>
      </c>
      <c r="D29" s="71"/>
      <c r="E29" s="60"/>
      <c r="F29" s="42"/>
      <c r="G29" s="42">
        <f>SUM(G30:G33)</f>
        <v>6725000</v>
      </c>
      <c r="H29" s="210" t="b">
        <f t="shared" si="0"/>
        <v>1</v>
      </c>
    </row>
    <row r="30" spans="1:8" ht="13.8" x14ac:dyDescent="0.25">
      <c r="A30" s="21" t="s">
        <v>433</v>
      </c>
      <c r="B30" s="152"/>
      <c r="C30" s="151" t="s">
        <v>3713</v>
      </c>
      <c r="D30" s="152">
        <v>43</v>
      </c>
      <c r="E30" s="152" t="s">
        <v>10</v>
      </c>
      <c r="F30" s="153">
        <v>75000</v>
      </c>
      <c r="G30" s="153">
        <f>ROUNDDOWN(D30*F30,-3)</f>
        <v>3225000</v>
      </c>
      <c r="H30" s="210" t="b">
        <f t="shared" si="0"/>
        <v>1</v>
      </c>
    </row>
    <row r="31" spans="1:8" ht="13.8" x14ac:dyDescent="0.25">
      <c r="A31" s="21" t="s">
        <v>434</v>
      </c>
      <c r="B31" s="152"/>
      <c r="C31" s="151" t="s">
        <v>3714</v>
      </c>
      <c r="D31" s="213">
        <v>1</v>
      </c>
      <c r="E31" s="152" t="s">
        <v>106</v>
      </c>
      <c r="F31" s="153">
        <v>1000000</v>
      </c>
      <c r="G31" s="153">
        <f>ROUNDDOWN(D31*F31,-3)</f>
        <v>1000000</v>
      </c>
      <c r="H31" s="210" t="b">
        <f t="shared" si="0"/>
        <v>1</v>
      </c>
    </row>
    <row r="32" spans="1:8" ht="13.8" x14ac:dyDescent="0.25">
      <c r="A32" s="21" t="s">
        <v>435</v>
      </c>
      <c r="B32" s="152"/>
      <c r="C32" s="151" t="s">
        <v>3600</v>
      </c>
      <c r="D32" s="152">
        <v>1</v>
      </c>
      <c r="E32" s="152" t="s">
        <v>106</v>
      </c>
      <c r="F32" s="153">
        <v>1000000</v>
      </c>
      <c r="G32" s="153">
        <f>ROUNDDOWN(D32*F32,-3)</f>
        <v>1000000</v>
      </c>
      <c r="H32" s="210" t="b">
        <f t="shared" si="0"/>
        <v>1</v>
      </c>
    </row>
    <row r="33" spans="1:8" ht="13.8" x14ac:dyDescent="0.25">
      <c r="A33" s="21" t="s">
        <v>436</v>
      </c>
      <c r="B33" s="152"/>
      <c r="C33" s="151" t="s">
        <v>3601</v>
      </c>
      <c r="D33" s="213">
        <v>1</v>
      </c>
      <c r="E33" s="152" t="s">
        <v>106</v>
      </c>
      <c r="F33" s="153">
        <v>1500000</v>
      </c>
      <c r="G33" s="153">
        <f>ROUNDDOWN(D33*F33,-3)</f>
        <v>1500000</v>
      </c>
      <c r="H33" s="210" t="b">
        <f t="shared" si="0"/>
        <v>1</v>
      </c>
    </row>
    <row r="34" spans="1:8" ht="13.8" x14ac:dyDescent="0.25">
      <c r="A34" s="21" t="s">
        <v>777</v>
      </c>
      <c r="B34" s="60">
        <v>522151</v>
      </c>
      <c r="C34" s="41" t="s">
        <v>11</v>
      </c>
      <c r="D34" s="71"/>
      <c r="E34" s="60"/>
      <c r="F34" s="42"/>
      <c r="G34" s="42">
        <f>G35</f>
        <v>1000000</v>
      </c>
      <c r="H34" s="210" t="b">
        <f t="shared" si="0"/>
        <v>1</v>
      </c>
    </row>
    <row r="35" spans="1:8" ht="13.8" x14ac:dyDescent="0.25">
      <c r="A35" s="21" t="s">
        <v>778</v>
      </c>
      <c r="B35" s="152"/>
      <c r="C35" s="151" t="s">
        <v>3715</v>
      </c>
      <c r="D35" s="152">
        <v>1</v>
      </c>
      <c r="E35" s="152" t="s">
        <v>54</v>
      </c>
      <c r="F35" s="153">
        <v>1000000</v>
      </c>
      <c r="G35" s="153">
        <f>ROUNDDOWN(D35*F35,-3)</f>
        <v>1000000</v>
      </c>
      <c r="H35" s="210" t="b">
        <f t="shared" si="0"/>
        <v>1</v>
      </c>
    </row>
    <row r="36" spans="1:8" ht="13.8" x14ac:dyDescent="0.25">
      <c r="A36" s="21" t="s">
        <v>437</v>
      </c>
      <c r="B36" s="60">
        <v>524111</v>
      </c>
      <c r="C36" s="41" t="s">
        <v>19</v>
      </c>
      <c r="D36" s="71"/>
      <c r="E36" s="60"/>
      <c r="F36" s="42"/>
      <c r="G36" s="42">
        <f>G37</f>
        <v>33240000</v>
      </c>
      <c r="H36" s="210" t="b">
        <f t="shared" si="0"/>
        <v>1</v>
      </c>
    </row>
    <row r="37" spans="1:8" ht="26.4" x14ac:dyDescent="0.25">
      <c r="A37" s="21" t="s">
        <v>438</v>
      </c>
      <c r="B37" s="152"/>
      <c r="C37" s="151" t="s">
        <v>3716</v>
      </c>
      <c r="D37" s="152">
        <v>12</v>
      </c>
      <c r="E37" s="152" t="s">
        <v>776</v>
      </c>
      <c r="F37" s="153">
        <v>2770000</v>
      </c>
      <c r="G37" s="153">
        <f>ROUNDDOWN(D37*F37,-3)</f>
        <v>33240000</v>
      </c>
      <c r="H37" s="210" t="b">
        <f t="shared" si="0"/>
        <v>1</v>
      </c>
    </row>
    <row r="38" spans="1:8" ht="13.8" x14ac:dyDescent="0.25">
      <c r="A38" s="21" t="s">
        <v>439</v>
      </c>
      <c r="B38" s="58" t="s">
        <v>520</v>
      </c>
      <c r="C38" s="35" t="s">
        <v>57</v>
      </c>
      <c r="D38" s="69"/>
      <c r="E38" s="58"/>
      <c r="F38" s="36"/>
      <c r="G38" s="36">
        <f>G39</f>
        <v>54500000</v>
      </c>
      <c r="H38" s="210" t="b">
        <f t="shared" si="0"/>
        <v>1</v>
      </c>
    </row>
    <row r="39" spans="1:8" ht="26.4" x14ac:dyDescent="0.25">
      <c r="A39" s="21" t="s">
        <v>440</v>
      </c>
      <c r="B39" s="59" t="s">
        <v>8</v>
      </c>
      <c r="C39" s="38" t="s">
        <v>59</v>
      </c>
      <c r="D39" s="59"/>
      <c r="E39" s="59"/>
      <c r="F39" s="39"/>
      <c r="G39" s="39">
        <f>SUM(G40,G47)</f>
        <v>54500000</v>
      </c>
      <c r="H39" s="210" t="b">
        <f t="shared" si="0"/>
        <v>1</v>
      </c>
    </row>
    <row r="40" spans="1:8" ht="13.8" x14ac:dyDescent="0.25">
      <c r="A40" s="21" t="s">
        <v>441</v>
      </c>
      <c r="B40" s="60">
        <v>521211</v>
      </c>
      <c r="C40" s="41" t="s">
        <v>7</v>
      </c>
      <c r="D40" s="60"/>
      <c r="E40" s="60"/>
      <c r="F40" s="42"/>
      <c r="G40" s="42">
        <f>SUM(G41:G46)</f>
        <v>19225000</v>
      </c>
      <c r="H40" s="210" t="b">
        <f t="shared" si="0"/>
        <v>1</v>
      </c>
    </row>
    <row r="41" spans="1:8" ht="13.8" x14ac:dyDescent="0.25">
      <c r="A41" s="21" t="s">
        <v>442</v>
      </c>
      <c r="B41" s="152"/>
      <c r="C41" s="151" t="s">
        <v>3713</v>
      </c>
      <c r="D41" s="213">
        <v>23</v>
      </c>
      <c r="E41" s="152" t="s">
        <v>10</v>
      </c>
      <c r="F41" s="153">
        <v>75000</v>
      </c>
      <c r="G41" s="153">
        <f t="shared" ref="G41:G46" si="1">ROUNDDOWN(D41*F41,-3)</f>
        <v>1725000</v>
      </c>
      <c r="H41" s="210" t="b">
        <f t="shared" si="0"/>
        <v>1</v>
      </c>
    </row>
    <row r="42" spans="1:8" ht="13.8" x14ac:dyDescent="0.25">
      <c r="A42" s="7" t="s">
        <v>443</v>
      </c>
      <c r="B42" s="152"/>
      <c r="C42" s="151" t="s">
        <v>3714</v>
      </c>
      <c r="D42" s="213">
        <v>1</v>
      </c>
      <c r="E42" s="152" t="s">
        <v>106</v>
      </c>
      <c r="F42" s="153">
        <v>1000000</v>
      </c>
      <c r="G42" s="153">
        <f t="shared" si="1"/>
        <v>1000000</v>
      </c>
      <c r="H42" s="210" t="b">
        <f t="shared" si="0"/>
        <v>1</v>
      </c>
    </row>
    <row r="43" spans="1:8" ht="13.8" x14ac:dyDescent="0.25">
      <c r="A43" s="7" t="s">
        <v>444</v>
      </c>
      <c r="B43" s="152"/>
      <c r="C43" s="151" t="s">
        <v>3600</v>
      </c>
      <c r="D43" s="152">
        <v>2</v>
      </c>
      <c r="E43" s="152" t="s">
        <v>106</v>
      </c>
      <c r="F43" s="153">
        <v>1000000</v>
      </c>
      <c r="G43" s="153">
        <f t="shared" si="1"/>
        <v>2000000</v>
      </c>
      <c r="H43" s="210" t="b">
        <f t="shared" si="0"/>
        <v>1</v>
      </c>
    </row>
    <row r="44" spans="1:8" ht="13.8" x14ac:dyDescent="0.25">
      <c r="A44" s="21" t="s">
        <v>445</v>
      </c>
      <c r="B44" s="152"/>
      <c r="C44" s="151" t="s">
        <v>3601</v>
      </c>
      <c r="D44" s="152">
        <v>2</v>
      </c>
      <c r="E44" s="152" t="s">
        <v>106</v>
      </c>
      <c r="F44" s="153">
        <v>1500000</v>
      </c>
      <c r="G44" s="153">
        <f t="shared" si="1"/>
        <v>3000000</v>
      </c>
      <c r="H44" s="210" t="b">
        <f t="shared" si="0"/>
        <v>1</v>
      </c>
    </row>
    <row r="45" spans="1:8" ht="13.8" x14ac:dyDescent="0.25">
      <c r="A45" s="21" t="s">
        <v>446</v>
      </c>
      <c r="B45" s="152"/>
      <c r="C45" s="151" t="s">
        <v>3717</v>
      </c>
      <c r="D45" s="152">
        <v>23</v>
      </c>
      <c r="E45" s="152" t="s">
        <v>176</v>
      </c>
      <c r="F45" s="153">
        <v>250000</v>
      </c>
      <c r="G45" s="153">
        <f t="shared" si="1"/>
        <v>5750000</v>
      </c>
      <c r="H45" s="210" t="b">
        <f t="shared" si="0"/>
        <v>1</v>
      </c>
    </row>
    <row r="46" spans="1:8" ht="13.8" x14ac:dyDescent="0.25">
      <c r="A46" s="21" t="s">
        <v>447</v>
      </c>
      <c r="B46" s="152"/>
      <c r="C46" s="151" t="s">
        <v>3718</v>
      </c>
      <c r="D46" s="152">
        <v>23</v>
      </c>
      <c r="E46" s="152" t="s">
        <v>58</v>
      </c>
      <c r="F46" s="153">
        <v>250000</v>
      </c>
      <c r="G46" s="153">
        <f t="shared" si="1"/>
        <v>5750000</v>
      </c>
      <c r="H46" s="210" t="b">
        <f t="shared" si="0"/>
        <v>1</v>
      </c>
    </row>
    <row r="47" spans="1:8" ht="13.8" x14ac:dyDescent="0.25">
      <c r="A47" s="21" t="s">
        <v>448</v>
      </c>
      <c r="B47" s="60">
        <v>524111</v>
      </c>
      <c r="C47" s="41" t="s">
        <v>19</v>
      </c>
      <c r="D47" s="71"/>
      <c r="E47" s="60"/>
      <c r="F47" s="42"/>
      <c r="G47" s="42">
        <f>G48</f>
        <v>35275000</v>
      </c>
      <c r="H47" s="210" t="b">
        <f t="shared" si="0"/>
        <v>1</v>
      </c>
    </row>
    <row r="48" spans="1:8" ht="26.4" x14ac:dyDescent="0.25">
      <c r="A48" s="21" t="s">
        <v>449</v>
      </c>
      <c r="B48" s="152"/>
      <c r="C48" s="151" t="s">
        <v>3719</v>
      </c>
      <c r="D48" s="213">
        <v>10</v>
      </c>
      <c r="E48" s="152" t="s">
        <v>776</v>
      </c>
      <c r="F48" s="153">
        <v>3527550</v>
      </c>
      <c r="G48" s="153">
        <f>ROUNDDOWN(D48*F48,-3)</f>
        <v>35275000</v>
      </c>
      <c r="H48" s="210" t="b">
        <f t="shared" si="0"/>
        <v>1</v>
      </c>
    </row>
    <row r="49" spans="1:8" ht="13.8" x14ac:dyDescent="0.25">
      <c r="A49" s="21" t="s">
        <v>450</v>
      </c>
      <c r="B49" s="58" t="s">
        <v>523</v>
      </c>
      <c r="C49" s="35" t="s">
        <v>61</v>
      </c>
      <c r="D49" s="69"/>
      <c r="E49" s="58"/>
      <c r="F49" s="36"/>
      <c r="G49" s="36">
        <f>SUM(G50,G69,G86)</f>
        <v>686300000</v>
      </c>
      <c r="H49" s="210" t="b">
        <f t="shared" si="0"/>
        <v>1</v>
      </c>
    </row>
    <row r="50" spans="1:8" ht="13.8" x14ac:dyDescent="0.25">
      <c r="A50" s="21" t="s">
        <v>451</v>
      </c>
      <c r="B50" s="59" t="s">
        <v>8</v>
      </c>
      <c r="C50" s="38" t="s">
        <v>62</v>
      </c>
      <c r="D50" s="59"/>
      <c r="E50" s="59"/>
      <c r="F50" s="39"/>
      <c r="G50" s="39">
        <f>SUM(G51,G55,G58,G61,G63,G65,G67)</f>
        <v>386924000</v>
      </c>
      <c r="H50" s="210" t="b">
        <f t="shared" si="0"/>
        <v>1</v>
      </c>
    </row>
    <row r="51" spans="1:8" ht="13.8" x14ac:dyDescent="0.25">
      <c r="A51" s="21" t="s">
        <v>452</v>
      </c>
      <c r="B51" s="60">
        <v>521211</v>
      </c>
      <c r="C51" s="41" t="s">
        <v>7</v>
      </c>
      <c r="D51" s="71"/>
      <c r="E51" s="60"/>
      <c r="F51" s="42"/>
      <c r="G51" s="42">
        <f>SUM(G52:G54)</f>
        <v>64900000</v>
      </c>
      <c r="H51" s="210" t="b">
        <f t="shared" si="0"/>
        <v>1</v>
      </c>
    </row>
    <row r="52" spans="1:8" ht="13.8" x14ac:dyDescent="0.25">
      <c r="A52" s="21" t="s">
        <v>453</v>
      </c>
      <c r="B52" s="152"/>
      <c r="C52" s="151" t="s">
        <v>3598</v>
      </c>
      <c r="D52" s="213">
        <v>12</v>
      </c>
      <c r="E52" s="152" t="s">
        <v>106</v>
      </c>
      <c r="F52" s="153">
        <v>1500000</v>
      </c>
      <c r="G52" s="153">
        <f>ROUNDDOWN(D52*F52,-3)</f>
        <v>18000000</v>
      </c>
      <c r="H52" s="210" t="b">
        <f t="shared" si="0"/>
        <v>1</v>
      </c>
    </row>
    <row r="53" spans="1:8" ht="13.8" x14ac:dyDescent="0.25">
      <c r="A53" s="21" t="s">
        <v>454</v>
      </c>
      <c r="B53" s="152"/>
      <c r="C53" s="151" t="s">
        <v>3720</v>
      </c>
      <c r="D53" s="152">
        <v>100</v>
      </c>
      <c r="E53" s="152" t="s">
        <v>25</v>
      </c>
      <c r="F53" s="153">
        <v>69000</v>
      </c>
      <c r="G53" s="153">
        <f>ROUNDDOWN(D53*F53,-3)</f>
        <v>6900000</v>
      </c>
      <c r="H53" s="210" t="b">
        <f t="shared" si="0"/>
        <v>1</v>
      </c>
    </row>
    <row r="54" spans="1:8" ht="13.8" x14ac:dyDescent="0.25">
      <c r="A54" s="21" t="s">
        <v>783</v>
      </c>
      <c r="B54" s="152"/>
      <c r="C54" s="151" t="s">
        <v>3721</v>
      </c>
      <c r="D54" s="213">
        <v>80</v>
      </c>
      <c r="E54" s="152" t="s">
        <v>58</v>
      </c>
      <c r="F54" s="153">
        <v>500000</v>
      </c>
      <c r="G54" s="153">
        <f>ROUNDDOWN(D54*F54,-3)</f>
        <v>40000000</v>
      </c>
      <c r="H54" s="210" t="b">
        <f t="shared" si="0"/>
        <v>1</v>
      </c>
    </row>
    <row r="55" spans="1:8" ht="13.8" x14ac:dyDescent="0.25">
      <c r="A55" s="21" t="s">
        <v>455</v>
      </c>
      <c r="B55" s="60">
        <v>521219</v>
      </c>
      <c r="C55" s="41" t="s">
        <v>53</v>
      </c>
      <c r="D55" s="60"/>
      <c r="E55" s="60"/>
      <c r="F55" s="42"/>
      <c r="G55" s="42">
        <f>SUM(G56:G57)</f>
        <v>6000000</v>
      </c>
      <c r="H55" s="210" t="b">
        <f t="shared" si="0"/>
        <v>1</v>
      </c>
    </row>
    <row r="56" spans="1:8" ht="13.8" x14ac:dyDescent="0.25">
      <c r="A56" s="21" t="s">
        <v>456</v>
      </c>
      <c r="B56" s="152"/>
      <c r="C56" s="151" t="s">
        <v>3722</v>
      </c>
      <c r="D56" s="152">
        <v>4</v>
      </c>
      <c r="E56" s="152" t="s">
        <v>106</v>
      </c>
      <c r="F56" s="153">
        <v>250000</v>
      </c>
      <c r="G56" s="153">
        <f>ROUNDDOWN(D56*F56,-3)</f>
        <v>1000000</v>
      </c>
      <c r="H56" s="210" t="b">
        <f t="shared" si="0"/>
        <v>1</v>
      </c>
    </row>
    <row r="57" spans="1:8" ht="13.8" x14ac:dyDescent="0.25">
      <c r="A57" s="21" t="s">
        <v>457</v>
      </c>
      <c r="B57" s="152"/>
      <c r="C57" s="151" t="s">
        <v>3723</v>
      </c>
      <c r="D57" s="213">
        <v>10</v>
      </c>
      <c r="E57" s="152" t="s">
        <v>106</v>
      </c>
      <c r="F57" s="153">
        <v>500000</v>
      </c>
      <c r="G57" s="153">
        <f>ROUNDDOWN(D57*F57,-3)</f>
        <v>5000000</v>
      </c>
      <c r="H57" s="210" t="b">
        <f t="shared" si="0"/>
        <v>1</v>
      </c>
    </row>
    <row r="58" spans="1:8" ht="13.8" x14ac:dyDescent="0.25">
      <c r="A58" s="21" t="s">
        <v>458</v>
      </c>
      <c r="B58" s="60">
        <v>521811</v>
      </c>
      <c r="C58" s="41" t="s">
        <v>64</v>
      </c>
      <c r="D58" s="71"/>
      <c r="E58" s="60"/>
      <c r="F58" s="42"/>
      <c r="G58" s="42">
        <f>SUM(G59:G60)</f>
        <v>30000000</v>
      </c>
      <c r="H58" s="210" t="b">
        <f t="shared" si="0"/>
        <v>1</v>
      </c>
    </row>
    <row r="59" spans="1:8" ht="13.8" x14ac:dyDescent="0.25">
      <c r="A59" s="21" t="s">
        <v>459</v>
      </c>
      <c r="B59" s="152"/>
      <c r="C59" s="151" t="s">
        <v>3625</v>
      </c>
      <c r="D59" s="213">
        <v>12</v>
      </c>
      <c r="E59" s="152" t="s">
        <v>106</v>
      </c>
      <c r="F59" s="153">
        <v>1000000</v>
      </c>
      <c r="G59" s="153">
        <f>ROUNDDOWN(D59*F59,-3)</f>
        <v>12000000</v>
      </c>
      <c r="H59" s="210" t="b">
        <f t="shared" si="0"/>
        <v>1</v>
      </c>
    </row>
    <row r="60" spans="1:8" ht="13.8" x14ac:dyDescent="0.25">
      <c r="A60" s="21" t="s">
        <v>460</v>
      </c>
      <c r="B60" s="152"/>
      <c r="C60" s="151" t="s">
        <v>3626</v>
      </c>
      <c r="D60" s="213">
        <v>12</v>
      </c>
      <c r="E60" s="152" t="s">
        <v>106</v>
      </c>
      <c r="F60" s="153">
        <v>1500000</v>
      </c>
      <c r="G60" s="153">
        <f>ROUNDDOWN(D60*F60,-3)</f>
        <v>18000000</v>
      </c>
      <c r="H60" s="210" t="b">
        <f t="shared" si="0"/>
        <v>1</v>
      </c>
    </row>
    <row r="61" spans="1:8" ht="13.8" x14ac:dyDescent="0.25">
      <c r="A61" s="21" t="s">
        <v>461</v>
      </c>
      <c r="B61" s="60">
        <v>522151</v>
      </c>
      <c r="C61" s="41" t="s">
        <v>11</v>
      </c>
      <c r="D61" s="60"/>
      <c r="E61" s="60"/>
      <c r="F61" s="42"/>
      <c r="G61" s="42">
        <f>G62</f>
        <v>25200000</v>
      </c>
      <c r="H61" s="210" t="b">
        <f t="shared" si="0"/>
        <v>1</v>
      </c>
    </row>
    <row r="62" spans="1:8" ht="13.8" x14ac:dyDescent="0.25">
      <c r="A62" s="21" t="s">
        <v>462</v>
      </c>
      <c r="B62" s="152"/>
      <c r="C62" s="151" t="s">
        <v>3715</v>
      </c>
      <c r="D62" s="213">
        <v>28</v>
      </c>
      <c r="E62" s="152" t="s">
        <v>54</v>
      </c>
      <c r="F62" s="153">
        <v>900000</v>
      </c>
      <c r="G62" s="153">
        <f>ROUNDDOWN(D62*F62,-3)</f>
        <v>25200000</v>
      </c>
      <c r="H62" s="210" t="b">
        <f t="shared" si="0"/>
        <v>1</v>
      </c>
    </row>
    <row r="63" spans="1:8" ht="13.8" x14ac:dyDescent="0.25">
      <c r="A63" s="21" t="s">
        <v>463</v>
      </c>
      <c r="B63" s="60">
        <v>522192</v>
      </c>
      <c r="C63" s="41" t="s">
        <v>24</v>
      </c>
      <c r="D63" s="60"/>
      <c r="E63" s="60"/>
      <c r="F63" s="42"/>
      <c r="G63" s="42">
        <f>G64</f>
        <v>6000000</v>
      </c>
      <c r="H63" s="210" t="b">
        <f t="shared" si="0"/>
        <v>1</v>
      </c>
    </row>
    <row r="64" spans="1:8" ht="13.8" x14ac:dyDescent="0.25">
      <c r="A64" s="21" t="s">
        <v>464</v>
      </c>
      <c r="B64" s="152"/>
      <c r="C64" s="151" t="s">
        <v>3724</v>
      </c>
      <c r="D64" s="152">
        <v>1</v>
      </c>
      <c r="E64" s="152" t="s">
        <v>60</v>
      </c>
      <c r="F64" s="153">
        <v>6000000</v>
      </c>
      <c r="G64" s="153">
        <f>ROUNDDOWN(D64*F64,-3)</f>
        <v>6000000</v>
      </c>
      <c r="H64" s="210" t="b">
        <f t="shared" si="0"/>
        <v>1</v>
      </c>
    </row>
    <row r="65" spans="1:8" ht="13.8" x14ac:dyDescent="0.25">
      <c r="A65" s="21" t="s">
        <v>465</v>
      </c>
      <c r="B65" s="60">
        <v>524111</v>
      </c>
      <c r="C65" s="41" t="s">
        <v>19</v>
      </c>
      <c r="D65" s="71"/>
      <c r="E65" s="60"/>
      <c r="F65" s="42"/>
      <c r="G65" s="42">
        <f>G66</f>
        <v>253324000</v>
      </c>
      <c r="H65" s="210" t="b">
        <f t="shared" si="0"/>
        <v>1</v>
      </c>
    </row>
    <row r="66" spans="1:8" ht="26.4" x14ac:dyDescent="0.25">
      <c r="A66" s="21" t="s">
        <v>466</v>
      </c>
      <c r="B66" s="152"/>
      <c r="C66" s="151" t="s">
        <v>3725</v>
      </c>
      <c r="D66" s="213">
        <v>44</v>
      </c>
      <c r="E66" s="152" t="s">
        <v>776</v>
      </c>
      <c r="F66" s="153">
        <v>5757364</v>
      </c>
      <c r="G66" s="153">
        <f>ROUNDDOWN(D66*F66,-3)</f>
        <v>253324000</v>
      </c>
      <c r="H66" s="210" t="b">
        <f t="shared" si="0"/>
        <v>1</v>
      </c>
    </row>
    <row r="67" spans="1:8" ht="13.8" x14ac:dyDescent="0.25">
      <c r="A67" s="21" t="s">
        <v>467</v>
      </c>
      <c r="B67" s="60">
        <v>524113</v>
      </c>
      <c r="C67" s="41" t="s">
        <v>13</v>
      </c>
      <c r="D67" s="60"/>
      <c r="E67" s="60"/>
      <c r="F67" s="42"/>
      <c r="G67" s="42">
        <f>G68</f>
        <v>1500000</v>
      </c>
      <c r="H67" s="210" t="b">
        <f t="shared" si="0"/>
        <v>1</v>
      </c>
    </row>
    <row r="68" spans="1:8" ht="13.8" x14ac:dyDescent="0.25">
      <c r="A68" s="21" t="s">
        <v>468</v>
      </c>
      <c r="B68" s="152"/>
      <c r="C68" s="151" t="s">
        <v>3618</v>
      </c>
      <c r="D68" s="213">
        <v>10</v>
      </c>
      <c r="E68" s="152" t="s">
        <v>10</v>
      </c>
      <c r="F68" s="153">
        <v>150000</v>
      </c>
      <c r="G68" s="153">
        <f>ROUNDDOWN(D68*F68,-3)</f>
        <v>1500000</v>
      </c>
      <c r="H68" s="210" t="b">
        <f t="shared" si="0"/>
        <v>1</v>
      </c>
    </row>
    <row r="69" spans="1:8" ht="13.8" x14ac:dyDescent="0.25">
      <c r="A69" s="21" t="s">
        <v>469</v>
      </c>
      <c r="B69" s="59" t="s">
        <v>511</v>
      </c>
      <c r="C69" s="38" t="s">
        <v>65</v>
      </c>
      <c r="D69" s="70"/>
      <c r="E69" s="59"/>
      <c r="F69" s="39"/>
      <c r="G69" s="39">
        <f>SUM(G70,G74,G77,G80,G82,G84)</f>
        <v>247816000</v>
      </c>
      <c r="H69" s="210" t="b">
        <f t="shared" si="0"/>
        <v>1</v>
      </c>
    </row>
    <row r="70" spans="1:8" ht="13.8" x14ac:dyDescent="0.25">
      <c r="A70" s="21" t="s">
        <v>470</v>
      </c>
      <c r="B70" s="60">
        <v>521211</v>
      </c>
      <c r="C70" s="41" t="s">
        <v>7</v>
      </c>
      <c r="D70" s="60"/>
      <c r="E70" s="60"/>
      <c r="F70" s="42"/>
      <c r="G70" s="42">
        <f>SUM(G71:G73)</f>
        <v>71456000</v>
      </c>
      <c r="H70" s="210" t="b">
        <f t="shared" si="0"/>
        <v>1</v>
      </c>
    </row>
    <row r="71" spans="1:8" ht="13.8" x14ac:dyDescent="0.25">
      <c r="A71" s="21" t="s">
        <v>471</v>
      </c>
      <c r="B71" s="152"/>
      <c r="C71" s="151" t="s">
        <v>3726</v>
      </c>
      <c r="D71" s="213">
        <v>224</v>
      </c>
      <c r="E71" s="152" t="s">
        <v>25</v>
      </c>
      <c r="F71" s="153">
        <v>69000</v>
      </c>
      <c r="G71" s="153">
        <f>ROUNDDOWN(D71*F71,-3)</f>
        <v>15456000</v>
      </c>
      <c r="H71" s="210" t="b">
        <f t="shared" si="0"/>
        <v>1</v>
      </c>
    </row>
    <row r="72" spans="1:8" ht="13.8" x14ac:dyDescent="0.25">
      <c r="A72" s="21" t="s">
        <v>472</v>
      </c>
      <c r="B72" s="152"/>
      <c r="C72" s="151" t="s">
        <v>3714</v>
      </c>
      <c r="D72" s="152">
        <v>4</v>
      </c>
      <c r="E72" s="152" t="s">
        <v>106</v>
      </c>
      <c r="F72" s="153">
        <v>1500000</v>
      </c>
      <c r="G72" s="153">
        <f>ROUNDDOWN(D72*F72,-3)</f>
        <v>6000000</v>
      </c>
      <c r="H72" s="210" t="b">
        <f t="shared" si="0"/>
        <v>1</v>
      </c>
    </row>
    <row r="73" spans="1:8" ht="13.8" x14ac:dyDescent="0.25">
      <c r="A73" s="21" t="s">
        <v>789</v>
      </c>
      <c r="B73" s="152"/>
      <c r="C73" s="151" t="s">
        <v>3727</v>
      </c>
      <c r="D73" s="152">
        <v>100</v>
      </c>
      <c r="E73" s="152" t="s">
        <v>791</v>
      </c>
      <c r="F73" s="153">
        <v>500000</v>
      </c>
      <c r="G73" s="153">
        <f>ROUNDDOWN(D73*F73,-3)</f>
        <v>50000000</v>
      </c>
      <c r="H73" s="210" t="b">
        <f t="shared" si="0"/>
        <v>1</v>
      </c>
    </row>
    <row r="74" spans="1:8" ht="13.8" x14ac:dyDescent="0.25">
      <c r="A74" s="21" t="s">
        <v>473</v>
      </c>
      <c r="B74" s="60">
        <v>521219</v>
      </c>
      <c r="C74" s="41" t="s">
        <v>53</v>
      </c>
      <c r="D74" s="71"/>
      <c r="E74" s="60"/>
      <c r="F74" s="42"/>
      <c r="G74" s="42">
        <f>SUM(G75:G76)</f>
        <v>5000000</v>
      </c>
      <c r="H74" s="210" t="b">
        <f t="shared" si="0"/>
        <v>1</v>
      </c>
    </row>
    <row r="75" spans="1:8" ht="13.8" x14ac:dyDescent="0.25">
      <c r="A75" s="21" t="s">
        <v>474</v>
      </c>
      <c r="B75" s="152"/>
      <c r="C75" s="151" t="s">
        <v>3722</v>
      </c>
      <c r="D75" s="213">
        <v>4</v>
      </c>
      <c r="E75" s="152" t="s">
        <v>106</v>
      </c>
      <c r="F75" s="153">
        <v>250000</v>
      </c>
      <c r="G75" s="153">
        <f>ROUNDDOWN(D75*F75,-3)</f>
        <v>1000000</v>
      </c>
      <c r="H75" s="210" t="b">
        <f t="shared" si="0"/>
        <v>1</v>
      </c>
    </row>
    <row r="76" spans="1:8" ht="13.8" x14ac:dyDescent="0.25">
      <c r="A76" s="21" t="s">
        <v>792</v>
      </c>
      <c r="B76" s="152"/>
      <c r="C76" s="151" t="s">
        <v>3723</v>
      </c>
      <c r="D76" s="152">
        <v>8</v>
      </c>
      <c r="E76" s="152" t="s">
        <v>106</v>
      </c>
      <c r="F76" s="153">
        <v>500000</v>
      </c>
      <c r="G76" s="153">
        <f>ROUNDDOWN(D76*F76,-3)</f>
        <v>4000000</v>
      </c>
      <c r="H76" s="210" t="b">
        <f t="shared" si="0"/>
        <v>1</v>
      </c>
    </row>
    <row r="77" spans="1:8" ht="13.8" x14ac:dyDescent="0.25">
      <c r="A77" s="21" t="s">
        <v>475</v>
      </c>
      <c r="B77" s="60">
        <v>521811</v>
      </c>
      <c r="C77" s="41" t="s">
        <v>64</v>
      </c>
      <c r="D77" s="71"/>
      <c r="E77" s="60"/>
      <c r="F77" s="42"/>
      <c r="G77" s="42">
        <f>SUM(G78:G79)</f>
        <v>15000000</v>
      </c>
      <c r="H77" s="210" t="b">
        <f t="shared" ref="H77:H140" si="2">_xlfn.ISFORMULA(G77)</f>
        <v>1</v>
      </c>
    </row>
    <row r="78" spans="1:8" ht="13.8" x14ac:dyDescent="0.25">
      <c r="A78" s="21" t="s">
        <v>476</v>
      </c>
      <c r="B78" s="152"/>
      <c r="C78" s="151" t="s">
        <v>3625</v>
      </c>
      <c r="D78" s="213">
        <v>6</v>
      </c>
      <c r="E78" s="152" t="s">
        <v>106</v>
      </c>
      <c r="F78" s="153">
        <v>1000000</v>
      </c>
      <c r="G78" s="153">
        <f>ROUNDDOWN(D78*F78,-3)</f>
        <v>6000000</v>
      </c>
      <c r="H78" s="210" t="b">
        <f t="shared" si="2"/>
        <v>1</v>
      </c>
    </row>
    <row r="79" spans="1:8" ht="13.8" x14ac:dyDescent="0.25">
      <c r="A79" s="21" t="s">
        <v>477</v>
      </c>
      <c r="B79" s="152"/>
      <c r="C79" s="151" t="s">
        <v>3626</v>
      </c>
      <c r="D79" s="152">
        <v>6</v>
      </c>
      <c r="E79" s="152" t="s">
        <v>106</v>
      </c>
      <c r="F79" s="153">
        <v>1500000</v>
      </c>
      <c r="G79" s="153">
        <f>ROUNDDOWN(D79*F79,-3)</f>
        <v>9000000</v>
      </c>
      <c r="H79" s="210" t="b">
        <f t="shared" si="2"/>
        <v>1</v>
      </c>
    </row>
    <row r="80" spans="1:8" ht="13.8" x14ac:dyDescent="0.25">
      <c r="A80" s="21" t="s">
        <v>478</v>
      </c>
      <c r="B80" s="60">
        <v>522151</v>
      </c>
      <c r="C80" s="41" t="s">
        <v>11</v>
      </c>
      <c r="D80" s="71"/>
      <c r="E80" s="60"/>
      <c r="F80" s="42"/>
      <c r="G80" s="42">
        <f>G81</f>
        <v>16200000</v>
      </c>
      <c r="H80" s="210" t="b">
        <f t="shared" si="2"/>
        <v>1</v>
      </c>
    </row>
    <row r="81" spans="1:8" ht="13.8" x14ac:dyDescent="0.25">
      <c r="A81" s="21" t="s">
        <v>479</v>
      </c>
      <c r="B81" s="152"/>
      <c r="C81" s="151" t="s">
        <v>3715</v>
      </c>
      <c r="D81" s="152">
        <v>18</v>
      </c>
      <c r="E81" s="152" t="s">
        <v>54</v>
      </c>
      <c r="F81" s="153">
        <v>900000</v>
      </c>
      <c r="G81" s="153">
        <f>ROUNDDOWN(D81*F81,-3)</f>
        <v>16200000</v>
      </c>
      <c r="H81" s="210" t="b">
        <f t="shared" si="2"/>
        <v>1</v>
      </c>
    </row>
    <row r="82" spans="1:8" ht="13.8" x14ac:dyDescent="0.25">
      <c r="A82" s="21" t="s">
        <v>480</v>
      </c>
      <c r="B82" s="60">
        <v>522192</v>
      </c>
      <c r="C82" s="41" t="s">
        <v>24</v>
      </c>
      <c r="D82" s="60"/>
      <c r="E82" s="60"/>
      <c r="F82" s="42"/>
      <c r="G82" s="42">
        <f>G83</f>
        <v>2000000</v>
      </c>
      <c r="H82" s="210" t="b">
        <f t="shared" si="2"/>
        <v>1</v>
      </c>
    </row>
    <row r="83" spans="1:8" ht="13.8" x14ac:dyDescent="0.25">
      <c r="A83" s="21" t="s">
        <v>481</v>
      </c>
      <c r="B83" s="152"/>
      <c r="C83" s="151" t="s">
        <v>3724</v>
      </c>
      <c r="D83" s="213">
        <v>1</v>
      </c>
      <c r="E83" s="152" t="s">
        <v>60</v>
      </c>
      <c r="F83" s="153">
        <v>2000000</v>
      </c>
      <c r="G83" s="153">
        <f>ROUNDDOWN(D83*F83,-3)</f>
        <v>2000000</v>
      </c>
      <c r="H83" s="210" t="b">
        <f t="shared" si="2"/>
        <v>1</v>
      </c>
    </row>
    <row r="84" spans="1:8" ht="13.8" x14ac:dyDescent="0.25">
      <c r="A84" s="21" t="s">
        <v>482</v>
      </c>
      <c r="B84" s="60">
        <v>524111</v>
      </c>
      <c r="C84" s="41" t="s">
        <v>19</v>
      </c>
      <c r="D84" s="71"/>
      <c r="E84" s="60"/>
      <c r="F84" s="42"/>
      <c r="G84" s="42">
        <f>G85</f>
        <v>138160000</v>
      </c>
      <c r="H84" s="210" t="b">
        <f t="shared" si="2"/>
        <v>1</v>
      </c>
    </row>
    <row r="85" spans="1:8" ht="13.8" x14ac:dyDescent="0.25">
      <c r="A85" s="21" t="s">
        <v>483</v>
      </c>
      <c r="B85" s="152"/>
      <c r="C85" s="151" t="s">
        <v>3728</v>
      </c>
      <c r="D85" s="152">
        <v>22</v>
      </c>
      <c r="E85" s="152" t="s">
        <v>776</v>
      </c>
      <c r="F85" s="153">
        <v>6280000</v>
      </c>
      <c r="G85" s="153">
        <f>ROUNDDOWN(D85*F85,-3)</f>
        <v>138160000</v>
      </c>
      <c r="H85" s="210" t="b">
        <f t="shared" si="2"/>
        <v>1</v>
      </c>
    </row>
    <row r="86" spans="1:8" ht="13.8" x14ac:dyDescent="0.25">
      <c r="A86" s="21" t="s">
        <v>794</v>
      </c>
      <c r="B86" s="59" t="s">
        <v>512</v>
      </c>
      <c r="C86" s="38" t="s">
        <v>795</v>
      </c>
      <c r="D86" s="70"/>
      <c r="E86" s="59"/>
      <c r="F86" s="39"/>
      <c r="G86" s="39">
        <f>SUM(G87,G92,G94,G96)</f>
        <v>51560000</v>
      </c>
      <c r="H86" s="210" t="b">
        <f t="shared" si="2"/>
        <v>1</v>
      </c>
    </row>
    <row r="87" spans="1:8" ht="13.8" x14ac:dyDescent="0.25">
      <c r="A87" s="21" t="s">
        <v>796</v>
      </c>
      <c r="B87" s="60">
        <v>521211</v>
      </c>
      <c r="C87" s="41" t="s">
        <v>7</v>
      </c>
      <c r="D87" s="71"/>
      <c r="E87" s="60"/>
      <c r="F87" s="42"/>
      <c r="G87" s="42">
        <f>SUM(G88:G91)</f>
        <v>20830000</v>
      </c>
      <c r="H87" s="210" t="b">
        <f t="shared" si="2"/>
        <v>1</v>
      </c>
    </row>
    <row r="88" spans="1:8" ht="13.8" x14ac:dyDescent="0.25">
      <c r="A88" s="21" t="s">
        <v>797</v>
      </c>
      <c r="B88" s="152"/>
      <c r="C88" s="151" t="s">
        <v>3625</v>
      </c>
      <c r="D88" s="152">
        <v>4</v>
      </c>
      <c r="E88" s="152" t="s">
        <v>106</v>
      </c>
      <c r="F88" s="153">
        <v>1000000</v>
      </c>
      <c r="G88" s="153">
        <f>ROUNDDOWN(D88*F88,-3)</f>
        <v>4000000</v>
      </c>
      <c r="H88" s="210" t="b">
        <f t="shared" si="2"/>
        <v>1</v>
      </c>
    </row>
    <row r="89" spans="1:8" ht="13.8" x14ac:dyDescent="0.25">
      <c r="A89" s="21" t="s">
        <v>798</v>
      </c>
      <c r="B89" s="152"/>
      <c r="C89" s="151" t="s">
        <v>3626</v>
      </c>
      <c r="D89" s="213">
        <v>4</v>
      </c>
      <c r="E89" s="152" t="s">
        <v>106</v>
      </c>
      <c r="F89" s="153">
        <v>1500000</v>
      </c>
      <c r="G89" s="153">
        <f>ROUNDDOWN(D89*F89,-3)</f>
        <v>6000000</v>
      </c>
      <c r="H89" s="210" t="b">
        <f t="shared" si="2"/>
        <v>1</v>
      </c>
    </row>
    <row r="90" spans="1:8" ht="13.8" x14ac:dyDescent="0.25">
      <c r="A90" s="21" t="s">
        <v>799</v>
      </c>
      <c r="B90" s="152"/>
      <c r="C90" s="151" t="s">
        <v>3729</v>
      </c>
      <c r="D90" s="152">
        <v>70</v>
      </c>
      <c r="E90" s="152" t="s">
        <v>25</v>
      </c>
      <c r="F90" s="153">
        <v>69000</v>
      </c>
      <c r="G90" s="153">
        <f>ROUNDDOWN(D90*F90,-3)</f>
        <v>4830000</v>
      </c>
      <c r="H90" s="210" t="b">
        <f t="shared" si="2"/>
        <v>1</v>
      </c>
    </row>
    <row r="91" spans="1:8" ht="13.8" x14ac:dyDescent="0.25">
      <c r="A91" s="21" t="s">
        <v>800</v>
      </c>
      <c r="B91" s="152"/>
      <c r="C91" s="151" t="s">
        <v>3730</v>
      </c>
      <c r="D91" s="152">
        <v>4</v>
      </c>
      <c r="E91" s="152" t="s">
        <v>106</v>
      </c>
      <c r="F91" s="153">
        <v>1500000</v>
      </c>
      <c r="G91" s="153">
        <f>ROUNDDOWN(D91*F91,-3)</f>
        <v>6000000</v>
      </c>
      <c r="H91" s="210" t="b">
        <f t="shared" si="2"/>
        <v>1</v>
      </c>
    </row>
    <row r="92" spans="1:8" ht="13.8" x14ac:dyDescent="0.25">
      <c r="A92" s="21" t="s">
        <v>801</v>
      </c>
      <c r="B92" s="60">
        <v>521219</v>
      </c>
      <c r="C92" s="41" t="s">
        <v>53</v>
      </c>
      <c r="D92" s="71"/>
      <c r="E92" s="60"/>
      <c r="F92" s="42"/>
      <c r="G92" s="42">
        <f>G93</f>
        <v>500000</v>
      </c>
      <c r="H92" s="210" t="b">
        <f t="shared" si="2"/>
        <v>1</v>
      </c>
    </row>
    <row r="93" spans="1:8" ht="13.8" x14ac:dyDescent="0.25">
      <c r="A93" s="21" t="s">
        <v>802</v>
      </c>
      <c r="B93" s="152"/>
      <c r="C93" s="151" t="s">
        <v>3722</v>
      </c>
      <c r="D93" s="213">
        <v>2</v>
      </c>
      <c r="E93" s="152" t="s">
        <v>106</v>
      </c>
      <c r="F93" s="153">
        <v>250000</v>
      </c>
      <c r="G93" s="153">
        <f>ROUNDDOWN(D93*F93,-3)</f>
        <v>500000</v>
      </c>
      <c r="H93" s="210" t="b">
        <f t="shared" si="2"/>
        <v>1</v>
      </c>
    </row>
    <row r="94" spans="1:8" ht="13.8" x14ac:dyDescent="0.25">
      <c r="A94" s="21" t="s">
        <v>803</v>
      </c>
      <c r="B94" s="60">
        <v>522151</v>
      </c>
      <c r="C94" s="41" t="s">
        <v>11</v>
      </c>
      <c r="D94" s="60"/>
      <c r="E94" s="60"/>
      <c r="F94" s="42"/>
      <c r="G94" s="42">
        <f>G95</f>
        <v>7200000</v>
      </c>
      <c r="H94" s="210" t="b">
        <f t="shared" si="2"/>
        <v>1</v>
      </c>
    </row>
    <row r="95" spans="1:8" ht="13.8" x14ac:dyDescent="0.25">
      <c r="A95" s="21" t="s">
        <v>804</v>
      </c>
      <c r="B95" s="152"/>
      <c r="C95" s="151" t="s">
        <v>3715</v>
      </c>
      <c r="D95" s="213">
        <v>8</v>
      </c>
      <c r="E95" s="152" t="s">
        <v>54</v>
      </c>
      <c r="F95" s="153">
        <v>900000</v>
      </c>
      <c r="G95" s="153">
        <f>ROUNDDOWN(D95*F95,-3)</f>
        <v>7200000</v>
      </c>
      <c r="H95" s="210" t="b">
        <f t="shared" si="2"/>
        <v>1</v>
      </c>
    </row>
    <row r="96" spans="1:8" ht="13.8" x14ac:dyDescent="0.25">
      <c r="A96" s="21" t="s">
        <v>805</v>
      </c>
      <c r="B96" s="60">
        <v>524111</v>
      </c>
      <c r="C96" s="41" t="s">
        <v>19</v>
      </c>
      <c r="D96" s="71"/>
      <c r="E96" s="60"/>
      <c r="F96" s="42"/>
      <c r="G96" s="42">
        <f>G97</f>
        <v>23030000</v>
      </c>
      <c r="H96" s="210" t="b">
        <f t="shared" si="2"/>
        <v>1</v>
      </c>
    </row>
    <row r="97" spans="1:8" ht="26.4" x14ac:dyDescent="0.25">
      <c r="A97" s="21" t="s">
        <v>806</v>
      </c>
      <c r="B97" s="152"/>
      <c r="C97" s="151" t="s">
        <v>3731</v>
      </c>
      <c r="D97" s="152">
        <v>6</v>
      </c>
      <c r="E97" s="152" t="s">
        <v>776</v>
      </c>
      <c r="F97" s="153">
        <v>3838335</v>
      </c>
      <c r="G97" s="153">
        <f>ROUNDDOWN(D97*F97,-3)</f>
        <v>23030000</v>
      </c>
      <c r="H97" s="210" t="b">
        <f t="shared" si="2"/>
        <v>1</v>
      </c>
    </row>
    <row r="98" spans="1:8" ht="13.8" x14ac:dyDescent="0.25">
      <c r="A98" s="21" t="s">
        <v>484</v>
      </c>
      <c r="B98" s="58" t="s">
        <v>526</v>
      </c>
      <c r="C98" s="35" t="s">
        <v>67</v>
      </c>
      <c r="D98" s="69"/>
      <c r="E98" s="58"/>
      <c r="F98" s="36"/>
      <c r="G98" s="36">
        <f>G99</f>
        <v>135100000</v>
      </c>
      <c r="H98" s="210" t="b">
        <f t="shared" si="2"/>
        <v>1</v>
      </c>
    </row>
    <row r="99" spans="1:8" ht="13.8" x14ac:dyDescent="0.25">
      <c r="A99" s="21" t="s">
        <v>485</v>
      </c>
      <c r="B99" s="59" t="s">
        <v>8</v>
      </c>
      <c r="C99" s="38" t="s">
        <v>68</v>
      </c>
      <c r="D99" s="59"/>
      <c r="E99" s="59"/>
      <c r="F99" s="39"/>
      <c r="G99" s="39">
        <f>SUM(G100,G106,G108,G110,G112)</f>
        <v>135100000</v>
      </c>
      <c r="H99" s="210" t="b">
        <f t="shared" si="2"/>
        <v>1</v>
      </c>
    </row>
    <row r="100" spans="1:8" ht="13.8" x14ac:dyDescent="0.25">
      <c r="A100" s="21" t="s">
        <v>486</v>
      </c>
      <c r="B100" s="60">
        <v>521211</v>
      </c>
      <c r="C100" s="41" t="s">
        <v>7</v>
      </c>
      <c r="D100" s="71"/>
      <c r="E100" s="60"/>
      <c r="F100" s="42"/>
      <c r="G100" s="42">
        <f>SUM(G101:G105)</f>
        <v>21100000</v>
      </c>
      <c r="H100" s="210" t="b">
        <f t="shared" si="2"/>
        <v>1</v>
      </c>
    </row>
    <row r="101" spans="1:8" ht="13.8" x14ac:dyDescent="0.25">
      <c r="A101" s="21" t="s">
        <v>487</v>
      </c>
      <c r="B101" s="152"/>
      <c r="C101" s="151" t="s">
        <v>3598</v>
      </c>
      <c r="D101" s="152">
        <v>2</v>
      </c>
      <c r="E101" s="152" t="s">
        <v>106</v>
      </c>
      <c r="F101" s="153">
        <v>1500000</v>
      </c>
      <c r="G101" s="153">
        <f>ROUNDDOWN(D101*F101,-3)</f>
        <v>3000000</v>
      </c>
      <c r="H101" s="210" t="b">
        <f t="shared" si="2"/>
        <v>1</v>
      </c>
    </row>
    <row r="102" spans="1:8" ht="13.8" x14ac:dyDescent="0.25">
      <c r="A102" s="21" t="s">
        <v>488</v>
      </c>
      <c r="B102" s="152"/>
      <c r="C102" s="151" t="s">
        <v>3732</v>
      </c>
      <c r="D102" s="152">
        <v>90</v>
      </c>
      <c r="E102" s="152" t="s">
        <v>25</v>
      </c>
      <c r="F102" s="153">
        <v>65556</v>
      </c>
      <c r="G102" s="153">
        <f>ROUNDDOWN(D102*F102,-3)</f>
        <v>5900000</v>
      </c>
      <c r="H102" s="210" t="b">
        <f t="shared" si="2"/>
        <v>1</v>
      </c>
    </row>
    <row r="103" spans="1:8" ht="13.8" x14ac:dyDescent="0.25">
      <c r="A103" s="21" t="s">
        <v>489</v>
      </c>
      <c r="B103" s="152"/>
      <c r="C103" s="151" t="s">
        <v>3600</v>
      </c>
      <c r="D103" s="152">
        <v>2</v>
      </c>
      <c r="E103" s="152" t="s">
        <v>106</v>
      </c>
      <c r="F103" s="153">
        <v>1000000</v>
      </c>
      <c r="G103" s="153">
        <f>ROUNDDOWN(D103*F103,-3)</f>
        <v>2000000</v>
      </c>
      <c r="H103" s="210" t="b">
        <f t="shared" si="2"/>
        <v>1</v>
      </c>
    </row>
    <row r="104" spans="1:8" ht="13.8" x14ac:dyDescent="0.25">
      <c r="A104" s="21" t="s">
        <v>809</v>
      </c>
      <c r="B104" s="152"/>
      <c r="C104" s="151" t="s">
        <v>3601</v>
      </c>
      <c r="D104" s="213">
        <v>2</v>
      </c>
      <c r="E104" s="152" t="s">
        <v>106</v>
      </c>
      <c r="F104" s="153">
        <v>1500000</v>
      </c>
      <c r="G104" s="153">
        <f>ROUNDDOWN(D104*F104,-3)</f>
        <v>3000000</v>
      </c>
      <c r="H104" s="210" t="b">
        <f t="shared" si="2"/>
        <v>1</v>
      </c>
    </row>
    <row r="105" spans="1:8" ht="13.8" x14ac:dyDescent="0.25">
      <c r="A105" s="21" t="s">
        <v>810</v>
      </c>
      <c r="B105" s="152"/>
      <c r="C105" s="151" t="s">
        <v>3733</v>
      </c>
      <c r="D105" s="213">
        <v>36</v>
      </c>
      <c r="E105" s="152" t="s">
        <v>25</v>
      </c>
      <c r="F105" s="153">
        <v>200000</v>
      </c>
      <c r="G105" s="153">
        <f>ROUNDDOWN(D105*F105,-3)</f>
        <v>7200000</v>
      </c>
      <c r="H105" s="210" t="b">
        <f t="shared" si="2"/>
        <v>1</v>
      </c>
    </row>
    <row r="106" spans="1:8" ht="13.8" x14ac:dyDescent="0.25">
      <c r="A106" s="21" t="s">
        <v>490</v>
      </c>
      <c r="B106" s="60">
        <v>521219</v>
      </c>
      <c r="C106" s="41" t="s">
        <v>53</v>
      </c>
      <c r="D106" s="71"/>
      <c r="E106" s="60"/>
      <c r="F106" s="42"/>
      <c r="G106" s="42">
        <f>G107</f>
        <v>1584000</v>
      </c>
      <c r="H106" s="210" t="b">
        <f t="shared" si="2"/>
        <v>1</v>
      </c>
    </row>
    <row r="107" spans="1:8" ht="26.4" x14ac:dyDescent="0.25">
      <c r="A107" s="21" t="s">
        <v>491</v>
      </c>
      <c r="B107" s="152"/>
      <c r="C107" s="151" t="s">
        <v>3734</v>
      </c>
      <c r="D107" s="213">
        <v>36</v>
      </c>
      <c r="E107" s="152" t="s">
        <v>25</v>
      </c>
      <c r="F107" s="153">
        <v>44000</v>
      </c>
      <c r="G107" s="153">
        <f>ROUNDDOWN(D107*F107,-3)</f>
        <v>1584000</v>
      </c>
      <c r="H107" s="210" t="b">
        <f t="shared" si="2"/>
        <v>1</v>
      </c>
    </row>
    <row r="108" spans="1:8" ht="13.8" x14ac:dyDescent="0.25">
      <c r="A108" s="21" t="s">
        <v>492</v>
      </c>
      <c r="B108" s="60">
        <v>522151</v>
      </c>
      <c r="C108" s="41" t="s">
        <v>11</v>
      </c>
      <c r="D108" s="60"/>
      <c r="E108" s="60"/>
      <c r="F108" s="42"/>
      <c r="G108" s="42">
        <f>G109</f>
        <v>10000000</v>
      </c>
      <c r="H108" s="210" t="b">
        <f t="shared" si="2"/>
        <v>1</v>
      </c>
    </row>
    <row r="109" spans="1:8" ht="13.8" x14ac:dyDescent="0.25">
      <c r="A109" s="21" t="s">
        <v>493</v>
      </c>
      <c r="B109" s="152"/>
      <c r="C109" s="151" t="s">
        <v>3715</v>
      </c>
      <c r="D109" s="213">
        <v>10</v>
      </c>
      <c r="E109" s="152" t="s">
        <v>54</v>
      </c>
      <c r="F109" s="153">
        <v>1000000</v>
      </c>
      <c r="G109" s="153">
        <f>ROUNDDOWN(D109*F109,-3)</f>
        <v>10000000</v>
      </c>
      <c r="H109" s="210" t="b">
        <f t="shared" si="2"/>
        <v>1</v>
      </c>
    </row>
    <row r="110" spans="1:8" ht="13.8" x14ac:dyDescent="0.25">
      <c r="A110" s="21" t="s">
        <v>813</v>
      </c>
      <c r="B110" s="60">
        <v>522192</v>
      </c>
      <c r="C110" s="41" t="s">
        <v>24</v>
      </c>
      <c r="D110" s="60"/>
      <c r="E110" s="60"/>
      <c r="F110" s="42"/>
      <c r="G110" s="42">
        <f>G111</f>
        <v>5000000</v>
      </c>
      <c r="H110" s="210" t="b">
        <f t="shared" si="2"/>
        <v>1</v>
      </c>
    </row>
    <row r="111" spans="1:8" ht="13.8" x14ac:dyDescent="0.25">
      <c r="A111" s="21" t="s">
        <v>814</v>
      </c>
      <c r="B111" s="152"/>
      <c r="C111" s="151" t="s">
        <v>3735</v>
      </c>
      <c r="D111" s="213">
        <v>1</v>
      </c>
      <c r="E111" s="152" t="s">
        <v>153</v>
      </c>
      <c r="F111" s="153">
        <v>5000000</v>
      </c>
      <c r="G111" s="153">
        <f>ROUNDDOWN(D111*F111,-3)</f>
        <v>5000000</v>
      </c>
      <c r="H111" s="210" t="b">
        <f t="shared" si="2"/>
        <v>1</v>
      </c>
    </row>
    <row r="112" spans="1:8" ht="13.8" x14ac:dyDescent="0.25">
      <c r="A112" s="21" t="s">
        <v>816</v>
      </c>
      <c r="B112" s="60">
        <v>524111</v>
      </c>
      <c r="C112" s="41" t="s">
        <v>19</v>
      </c>
      <c r="D112" s="60"/>
      <c r="E112" s="60"/>
      <c r="F112" s="42"/>
      <c r="G112" s="42">
        <f>G113</f>
        <v>97416000</v>
      </c>
      <c r="H112" s="210" t="b">
        <f t="shared" si="2"/>
        <v>1</v>
      </c>
    </row>
    <row r="113" spans="1:8" ht="13.8" x14ac:dyDescent="0.25">
      <c r="A113" s="21" t="s">
        <v>817</v>
      </c>
      <c r="B113" s="152"/>
      <c r="C113" s="151" t="s">
        <v>3736</v>
      </c>
      <c r="D113" s="152">
        <v>36</v>
      </c>
      <c r="E113" s="152" t="s">
        <v>776</v>
      </c>
      <c r="F113" s="153">
        <v>2706000</v>
      </c>
      <c r="G113" s="153">
        <f>ROUNDDOWN(D113*F113,-3)</f>
        <v>97416000</v>
      </c>
      <c r="H113" s="210" t="b">
        <f t="shared" si="2"/>
        <v>1</v>
      </c>
    </row>
    <row r="114" spans="1:8" ht="13.8" x14ac:dyDescent="0.25">
      <c r="A114" s="21" t="s">
        <v>69</v>
      </c>
      <c r="B114" s="54" t="s">
        <v>69</v>
      </c>
      <c r="C114" s="23" t="s">
        <v>70</v>
      </c>
      <c r="D114" s="54"/>
      <c r="E114" s="54"/>
      <c r="F114" s="24"/>
      <c r="G114" s="24">
        <f>SUM(G115,G529)</f>
        <v>22342160000</v>
      </c>
      <c r="H114" s="210" t="b">
        <f t="shared" si="2"/>
        <v>1</v>
      </c>
    </row>
    <row r="115" spans="1:8" ht="26.4" x14ac:dyDescent="0.25">
      <c r="A115" s="21" t="s">
        <v>494</v>
      </c>
      <c r="B115" s="55">
        <v>2378</v>
      </c>
      <c r="C115" s="26" t="s">
        <v>71</v>
      </c>
      <c r="D115" s="68"/>
      <c r="E115" s="55"/>
      <c r="F115" s="27"/>
      <c r="G115" s="27">
        <f>SUM(G116,G122,G380,G386)</f>
        <v>13759660000</v>
      </c>
      <c r="H115" s="210" t="b">
        <f t="shared" si="2"/>
        <v>1</v>
      </c>
    </row>
    <row r="116" spans="1:8" ht="13.8" x14ac:dyDescent="0.25">
      <c r="A116" s="21" t="s">
        <v>819</v>
      </c>
      <c r="B116" s="135" t="s">
        <v>820</v>
      </c>
      <c r="C116" s="133" t="s">
        <v>821</v>
      </c>
      <c r="D116" s="134">
        <v>1</v>
      </c>
      <c r="E116" s="135" t="s">
        <v>42</v>
      </c>
      <c r="F116" s="136"/>
      <c r="G116" s="136">
        <f>G117</f>
        <v>115000000</v>
      </c>
      <c r="H116" s="210" t="b">
        <f t="shared" si="2"/>
        <v>1</v>
      </c>
    </row>
    <row r="117" spans="1:8" ht="26.4" x14ac:dyDescent="0.25">
      <c r="A117" s="21" t="s">
        <v>822</v>
      </c>
      <c r="B117" s="138" t="s">
        <v>3737</v>
      </c>
      <c r="C117" s="137" t="s">
        <v>824</v>
      </c>
      <c r="D117" s="140">
        <v>1</v>
      </c>
      <c r="E117" s="138" t="s">
        <v>42</v>
      </c>
      <c r="F117" s="139"/>
      <c r="G117" s="139">
        <f>G118</f>
        <v>115000000</v>
      </c>
      <c r="H117" s="210" t="b">
        <f t="shared" si="2"/>
        <v>1</v>
      </c>
    </row>
    <row r="118" spans="1:8" ht="26.4" x14ac:dyDescent="0.25">
      <c r="A118" s="21" t="s">
        <v>832</v>
      </c>
      <c r="B118" s="58">
        <v>301</v>
      </c>
      <c r="C118" s="35" t="s">
        <v>834</v>
      </c>
      <c r="D118" s="58"/>
      <c r="E118" s="58"/>
      <c r="F118" s="36"/>
      <c r="G118" s="36">
        <f>G119</f>
        <v>115000000</v>
      </c>
      <c r="H118" s="210" t="b">
        <f t="shared" si="2"/>
        <v>1</v>
      </c>
    </row>
    <row r="119" spans="1:8" ht="13.8" x14ac:dyDescent="0.25">
      <c r="A119" s="21" t="s">
        <v>835</v>
      </c>
      <c r="B119" s="59" t="s">
        <v>8</v>
      </c>
      <c r="C119" s="38" t="s">
        <v>836</v>
      </c>
      <c r="D119" s="70"/>
      <c r="E119" s="59"/>
      <c r="F119" s="39"/>
      <c r="G119" s="39">
        <f>G120</f>
        <v>115000000</v>
      </c>
      <c r="H119" s="210" t="b">
        <f t="shared" si="2"/>
        <v>1</v>
      </c>
    </row>
    <row r="120" spans="1:8" ht="13.8" x14ac:dyDescent="0.25">
      <c r="A120" s="21" t="s">
        <v>837</v>
      </c>
      <c r="B120" s="60">
        <v>532111</v>
      </c>
      <c r="C120" s="41" t="s">
        <v>43</v>
      </c>
      <c r="D120" s="60"/>
      <c r="E120" s="60"/>
      <c r="F120" s="42"/>
      <c r="G120" s="42">
        <f>G121</f>
        <v>115000000</v>
      </c>
      <c r="H120" s="210" t="b">
        <f t="shared" si="2"/>
        <v>1</v>
      </c>
    </row>
    <row r="121" spans="1:8" ht="13.8" x14ac:dyDescent="0.25">
      <c r="A121" s="21" t="s">
        <v>838</v>
      </c>
      <c r="B121" s="152"/>
      <c r="C121" s="151" t="s">
        <v>3739</v>
      </c>
      <c r="D121" s="213">
        <v>1</v>
      </c>
      <c r="E121" s="152" t="s">
        <v>23</v>
      </c>
      <c r="F121" s="153">
        <v>115000000</v>
      </c>
      <c r="G121" s="153">
        <f>ROUNDDOWN(D121*F121,-3)</f>
        <v>115000000</v>
      </c>
      <c r="H121" s="210" t="b">
        <f t="shared" si="2"/>
        <v>1</v>
      </c>
    </row>
    <row r="122" spans="1:8" ht="13.8" x14ac:dyDescent="0.25">
      <c r="A122" s="21" t="s">
        <v>840</v>
      </c>
      <c r="B122" s="135" t="s">
        <v>841</v>
      </c>
      <c r="C122" s="133" t="s">
        <v>842</v>
      </c>
      <c r="D122" s="135">
        <v>9</v>
      </c>
      <c r="E122" s="135" t="s">
        <v>3740</v>
      </c>
      <c r="F122" s="136"/>
      <c r="G122" s="136">
        <f>SUM(G123,G138,G263)</f>
        <v>11564936000</v>
      </c>
      <c r="H122" s="210" t="b">
        <f t="shared" si="2"/>
        <v>1</v>
      </c>
    </row>
    <row r="123" spans="1:8" ht="13.8" x14ac:dyDescent="0.25">
      <c r="A123" s="21" t="s">
        <v>1035</v>
      </c>
      <c r="B123" s="138" t="s">
        <v>3792</v>
      </c>
      <c r="C123" s="137" t="s">
        <v>1037</v>
      </c>
      <c r="D123" s="138">
        <v>2</v>
      </c>
      <c r="E123" s="138" t="s">
        <v>3740</v>
      </c>
      <c r="F123" s="139"/>
      <c r="G123" s="139">
        <f>G124</f>
        <v>153780000</v>
      </c>
      <c r="H123" s="210" t="b">
        <f t="shared" si="2"/>
        <v>1</v>
      </c>
    </row>
    <row r="124" spans="1:8" ht="13.8" x14ac:dyDescent="0.25">
      <c r="A124" s="7" t="s">
        <v>1184</v>
      </c>
      <c r="B124" s="58">
        <v>311</v>
      </c>
      <c r="C124" s="35" t="s">
        <v>1186</v>
      </c>
      <c r="D124" s="58"/>
      <c r="E124" s="58"/>
      <c r="F124" s="36"/>
      <c r="G124" s="36">
        <f>G125</f>
        <v>153780000</v>
      </c>
      <c r="H124" s="210" t="b">
        <f t="shared" si="2"/>
        <v>1</v>
      </c>
    </row>
    <row r="125" spans="1:8" ht="13.8" x14ac:dyDescent="0.25">
      <c r="A125" s="7" t="s">
        <v>1187</v>
      </c>
      <c r="B125" s="59" t="s">
        <v>8</v>
      </c>
      <c r="C125" s="38" t="s">
        <v>75</v>
      </c>
      <c r="D125" s="59"/>
      <c r="E125" s="59"/>
      <c r="F125" s="39"/>
      <c r="G125" s="39">
        <f>SUM(G126,G129,G131,G134,G136)</f>
        <v>153780000</v>
      </c>
      <c r="H125" s="210" t="b">
        <f t="shared" si="2"/>
        <v>1</v>
      </c>
    </row>
    <row r="126" spans="1:8" ht="13.8" x14ac:dyDescent="0.25">
      <c r="A126" s="7" t="s">
        <v>1188</v>
      </c>
      <c r="B126" s="60">
        <v>521211</v>
      </c>
      <c r="C126" s="41" t="s">
        <v>7</v>
      </c>
      <c r="D126" s="60"/>
      <c r="E126" s="60"/>
      <c r="F126" s="42"/>
      <c r="G126" s="42">
        <f>SUM(G127:G128)</f>
        <v>14400000</v>
      </c>
      <c r="H126" s="210" t="b">
        <f t="shared" si="2"/>
        <v>1</v>
      </c>
    </row>
    <row r="127" spans="1:8" ht="13.8" x14ac:dyDescent="0.25">
      <c r="A127" s="7" t="s">
        <v>1189</v>
      </c>
      <c r="B127" s="152"/>
      <c r="C127" s="151" t="s">
        <v>3598</v>
      </c>
      <c r="D127" s="152">
        <v>6</v>
      </c>
      <c r="E127" s="152" t="s">
        <v>52</v>
      </c>
      <c r="F127" s="153">
        <v>1000000</v>
      </c>
      <c r="G127" s="153">
        <f>ROUNDDOWN(D127*F127,-3)</f>
        <v>6000000</v>
      </c>
      <c r="H127" s="210" t="b">
        <f t="shared" si="2"/>
        <v>1</v>
      </c>
    </row>
    <row r="128" spans="1:8" ht="13.8" x14ac:dyDescent="0.25">
      <c r="A128" s="7" t="s">
        <v>1190</v>
      </c>
      <c r="B128" s="152"/>
      <c r="C128" s="151" t="s">
        <v>3720</v>
      </c>
      <c r="D128" s="152">
        <v>120</v>
      </c>
      <c r="E128" s="152" t="s">
        <v>25</v>
      </c>
      <c r="F128" s="153">
        <v>70000</v>
      </c>
      <c r="G128" s="153">
        <f>ROUNDDOWN(D128*F128,-3)</f>
        <v>8400000</v>
      </c>
      <c r="H128" s="210" t="b">
        <f t="shared" si="2"/>
        <v>1</v>
      </c>
    </row>
    <row r="129" spans="1:8" ht="13.8" x14ac:dyDescent="0.25">
      <c r="A129" s="7" t="s">
        <v>1191</v>
      </c>
      <c r="B129" s="60">
        <v>521219</v>
      </c>
      <c r="C129" s="41" t="s">
        <v>53</v>
      </c>
      <c r="D129" s="60"/>
      <c r="E129" s="60"/>
      <c r="F129" s="42"/>
      <c r="G129" s="42">
        <f>G130</f>
        <v>8000000</v>
      </c>
      <c r="H129" s="210" t="b">
        <f t="shared" si="2"/>
        <v>1</v>
      </c>
    </row>
    <row r="130" spans="1:8" ht="13.8" x14ac:dyDescent="0.25">
      <c r="A130" s="7" t="s">
        <v>1192</v>
      </c>
      <c r="B130" s="152"/>
      <c r="C130" s="151" t="s">
        <v>3840</v>
      </c>
      <c r="D130" s="152">
        <v>1</v>
      </c>
      <c r="E130" s="152" t="s">
        <v>106</v>
      </c>
      <c r="F130" s="153">
        <v>8000000</v>
      </c>
      <c r="G130" s="153">
        <f>ROUNDDOWN(D130*F130,-3)</f>
        <v>8000000</v>
      </c>
      <c r="H130" s="210" t="b">
        <f t="shared" si="2"/>
        <v>1</v>
      </c>
    </row>
    <row r="131" spans="1:8" ht="13.8" x14ac:dyDescent="0.25">
      <c r="A131" s="7" t="s">
        <v>1194</v>
      </c>
      <c r="B131" s="60">
        <v>521811</v>
      </c>
      <c r="C131" s="41" t="s">
        <v>64</v>
      </c>
      <c r="D131" s="60"/>
      <c r="E131" s="60"/>
      <c r="F131" s="42"/>
      <c r="G131" s="42">
        <f>SUM(G132:G133)</f>
        <v>12000000</v>
      </c>
      <c r="H131" s="210" t="b">
        <f t="shared" si="2"/>
        <v>1</v>
      </c>
    </row>
    <row r="132" spans="1:8" ht="13.8" x14ac:dyDescent="0.25">
      <c r="A132" s="7" t="s">
        <v>1195</v>
      </c>
      <c r="B132" s="152"/>
      <c r="C132" s="151" t="s">
        <v>3625</v>
      </c>
      <c r="D132" s="152">
        <v>6</v>
      </c>
      <c r="E132" s="152" t="s">
        <v>52</v>
      </c>
      <c r="F132" s="153">
        <v>1000000</v>
      </c>
      <c r="G132" s="153">
        <f>ROUNDDOWN(D132*F132,-3)</f>
        <v>6000000</v>
      </c>
      <c r="H132" s="210" t="b">
        <f t="shared" si="2"/>
        <v>1</v>
      </c>
    </row>
    <row r="133" spans="1:8" ht="13.8" x14ac:dyDescent="0.25">
      <c r="A133" s="7" t="s">
        <v>1196</v>
      </c>
      <c r="B133" s="152"/>
      <c r="C133" s="151" t="s">
        <v>3841</v>
      </c>
      <c r="D133" s="152">
        <v>6</v>
      </c>
      <c r="E133" s="152" t="s">
        <v>52</v>
      </c>
      <c r="F133" s="153">
        <v>1000000</v>
      </c>
      <c r="G133" s="153">
        <f>ROUNDDOWN(D133*F133,-3)</f>
        <v>6000000</v>
      </c>
      <c r="H133" s="210" t="b">
        <f t="shared" si="2"/>
        <v>1</v>
      </c>
    </row>
    <row r="134" spans="1:8" ht="13.8" x14ac:dyDescent="0.25">
      <c r="A134" s="7" t="s">
        <v>1198</v>
      </c>
      <c r="B134" s="60">
        <v>522151</v>
      </c>
      <c r="C134" s="41" t="s">
        <v>11</v>
      </c>
      <c r="D134" s="60"/>
      <c r="E134" s="60"/>
      <c r="F134" s="42"/>
      <c r="G134" s="42">
        <f>G135</f>
        <v>4000000</v>
      </c>
      <c r="H134" s="210" t="b">
        <f t="shared" si="2"/>
        <v>1</v>
      </c>
    </row>
    <row r="135" spans="1:8" ht="13.8" x14ac:dyDescent="0.25">
      <c r="A135" s="7" t="s">
        <v>1199</v>
      </c>
      <c r="B135" s="152"/>
      <c r="C135" s="151" t="s">
        <v>3715</v>
      </c>
      <c r="D135" s="152">
        <v>4</v>
      </c>
      <c r="E135" s="152" t="s">
        <v>54</v>
      </c>
      <c r="F135" s="153">
        <v>1000000</v>
      </c>
      <c r="G135" s="153">
        <f>ROUNDDOWN(D135*F135,-3)</f>
        <v>4000000</v>
      </c>
      <c r="H135" s="210" t="b">
        <f t="shared" si="2"/>
        <v>1</v>
      </c>
    </row>
    <row r="136" spans="1:8" ht="13.8" x14ac:dyDescent="0.25">
      <c r="A136" s="7" t="s">
        <v>1200</v>
      </c>
      <c r="B136" s="60">
        <v>524111</v>
      </c>
      <c r="C136" s="41" t="s">
        <v>19</v>
      </c>
      <c r="D136" s="60"/>
      <c r="E136" s="60"/>
      <c r="F136" s="42"/>
      <c r="G136" s="42">
        <f>G137</f>
        <v>115380000</v>
      </c>
      <c r="H136" s="210" t="b">
        <f t="shared" si="2"/>
        <v>1</v>
      </c>
    </row>
    <row r="137" spans="1:8" ht="13.8" x14ac:dyDescent="0.25">
      <c r="A137" s="7" t="s">
        <v>1201</v>
      </c>
      <c r="B137" s="152"/>
      <c r="C137" s="151" t="s">
        <v>3842</v>
      </c>
      <c r="D137" s="152">
        <v>20</v>
      </c>
      <c r="E137" s="152" t="s">
        <v>25</v>
      </c>
      <c r="F137" s="153">
        <v>5769000</v>
      </c>
      <c r="G137" s="153">
        <f>ROUNDDOWN(D137*F137,-3)</f>
        <v>115380000</v>
      </c>
      <c r="H137" s="210" t="b">
        <f t="shared" si="2"/>
        <v>1</v>
      </c>
    </row>
    <row r="138" spans="1:8" ht="13.8" x14ac:dyDescent="0.25">
      <c r="A138" s="7" t="s">
        <v>1268</v>
      </c>
      <c r="B138" s="138" t="s">
        <v>3855</v>
      </c>
      <c r="C138" s="137" t="s">
        <v>1270</v>
      </c>
      <c r="D138" s="138">
        <v>1</v>
      </c>
      <c r="E138" s="138" t="s">
        <v>3740</v>
      </c>
      <c r="F138" s="139"/>
      <c r="G138" s="139">
        <f>G139</f>
        <v>2736502000</v>
      </c>
      <c r="H138" s="210" t="b">
        <f t="shared" si="2"/>
        <v>1</v>
      </c>
    </row>
    <row r="139" spans="1:8" ht="26.4" x14ac:dyDescent="0.25">
      <c r="A139" s="7" t="s">
        <v>1388</v>
      </c>
      <c r="B139" s="58">
        <v>301</v>
      </c>
      <c r="C139" s="35" t="s">
        <v>1389</v>
      </c>
      <c r="D139" s="58"/>
      <c r="E139" s="58"/>
      <c r="F139" s="36"/>
      <c r="G139" s="36">
        <f>SUM(G140,G150,G161,G174,G184,G200,G216,G228,G248)</f>
        <v>2736502000</v>
      </c>
      <c r="H139" s="210" t="b">
        <f t="shared" si="2"/>
        <v>1</v>
      </c>
    </row>
    <row r="140" spans="1:8" ht="13.8" x14ac:dyDescent="0.25">
      <c r="A140" s="7" t="s">
        <v>1390</v>
      </c>
      <c r="B140" s="59" t="s">
        <v>8</v>
      </c>
      <c r="C140" s="38" t="s">
        <v>148</v>
      </c>
      <c r="D140" s="59"/>
      <c r="E140" s="59"/>
      <c r="F140" s="39"/>
      <c r="G140" s="39">
        <f>SUM(G141,G146,G148)</f>
        <v>42100000</v>
      </c>
      <c r="H140" s="210" t="b">
        <f t="shared" si="2"/>
        <v>1</v>
      </c>
    </row>
    <row r="141" spans="1:8" ht="13.8" x14ac:dyDescent="0.25">
      <c r="A141" s="7" t="s">
        <v>1391</v>
      </c>
      <c r="B141" s="60">
        <v>521211</v>
      </c>
      <c r="C141" s="41" t="s">
        <v>7</v>
      </c>
      <c r="D141" s="60"/>
      <c r="E141" s="60"/>
      <c r="F141" s="42"/>
      <c r="G141" s="42">
        <f>SUM(G142:G145)</f>
        <v>22000000</v>
      </c>
      <c r="H141" s="210" t="b">
        <f t="shared" ref="H141:H204" si="3">_xlfn.ISFORMULA(G141)</f>
        <v>1</v>
      </c>
    </row>
    <row r="142" spans="1:8" ht="13.8" x14ac:dyDescent="0.25">
      <c r="A142" s="7" t="s">
        <v>1392</v>
      </c>
      <c r="B142" s="152"/>
      <c r="C142" s="151" t="s">
        <v>3625</v>
      </c>
      <c r="D142" s="152">
        <v>4</v>
      </c>
      <c r="E142" s="152" t="s">
        <v>9</v>
      </c>
      <c r="F142" s="153">
        <v>1500000</v>
      </c>
      <c r="G142" s="153">
        <f>ROUNDDOWN(D142*F142,-3)</f>
        <v>6000000</v>
      </c>
      <c r="H142" s="210" t="b">
        <f t="shared" si="3"/>
        <v>1</v>
      </c>
    </row>
    <row r="143" spans="1:8" ht="13.8" x14ac:dyDescent="0.25">
      <c r="A143" s="7" t="s">
        <v>1393</v>
      </c>
      <c r="B143" s="152"/>
      <c r="C143" s="151" t="s">
        <v>3626</v>
      </c>
      <c r="D143" s="152">
        <v>4</v>
      </c>
      <c r="E143" s="152" t="s">
        <v>9</v>
      </c>
      <c r="F143" s="153">
        <v>1000000</v>
      </c>
      <c r="G143" s="153">
        <f>ROUNDDOWN(D143*F143,-3)</f>
        <v>4000000</v>
      </c>
      <c r="H143" s="210" t="b">
        <f t="shared" si="3"/>
        <v>1</v>
      </c>
    </row>
    <row r="144" spans="1:8" ht="13.8" x14ac:dyDescent="0.25">
      <c r="A144" s="7" t="s">
        <v>1394</v>
      </c>
      <c r="B144" s="152"/>
      <c r="C144" s="151" t="s">
        <v>3627</v>
      </c>
      <c r="D144" s="152">
        <v>4</v>
      </c>
      <c r="E144" s="152" t="s">
        <v>9</v>
      </c>
      <c r="F144" s="153">
        <v>1500000</v>
      </c>
      <c r="G144" s="153">
        <f>ROUNDDOWN(D144*F144,-3)</f>
        <v>6000000</v>
      </c>
      <c r="H144" s="210" t="b">
        <f t="shared" si="3"/>
        <v>1</v>
      </c>
    </row>
    <row r="145" spans="1:8" ht="13.8" x14ac:dyDescent="0.25">
      <c r="A145" s="7" t="s">
        <v>1395</v>
      </c>
      <c r="B145" s="152"/>
      <c r="C145" s="151" t="s">
        <v>3887</v>
      </c>
      <c r="D145" s="152">
        <v>12</v>
      </c>
      <c r="E145" s="152" t="s">
        <v>176</v>
      </c>
      <c r="F145" s="153">
        <v>500000</v>
      </c>
      <c r="G145" s="153">
        <f>ROUNDDOWN(D145*F145,-3)</f>
        <v>6000000</v>
      </c>
      <c r="H145" s="210" t="b">
        <f t="shared" si="3"/>
        <v>1</v>
      </c>
    </row>
    <row r="146" spans="1:8" ht="13.8" x14ac:dyDescent="0.25">
      <c r="A146" s="7" t="s">
        <v>1397</v>
      </c>
      <c r="B146" s="60">
        <v>524111</v>
      </c>
      <c r="C146" s="41" t="s">
        <v>19</v>
      </c>
      <c r="D146" s="60"/>
      <c r="E146" s="60"/>
      <c r="F146" s="42"/>
      <c r="G146" s="42">
        <f>G147</f>
        <v>18000000</v>
      </c>
      <c r="H146" s="210" t="b">
        <f t="shared" si="3"/>
        <v>1</v>
      </c>
    </row>
    <row r="147" spans="1:8" ht="13.8" x14ac:dyDescent="0.25">
      <c r="A147" s="7" t="s">
        <v>1398</v>
      </c>
      <c r="B147" s="152"/>
      <c r="C147" s="151" t="s">
        <v>3888</v>
      </c>
      <c r="D147" s="152">
        <v>6</v>
      </c>
      <c r="E147" s="152" t="s">
        <v>10</v>
      </c>
      <c r="F147" s="153">
        <v>3000000</v>
      </c>
      <c r="G147" s="153">
        <f>ROUNDDOWN(D147*F147,-3)</f>
        <v>18000000</v>
      </c>
      <c r="H147" s="210" t="b">
        <f t="shared" si="3"/>
        <v>1</v>
      </c>
    </row>
    <row r="148" spans="1:8" ht="13.8" x14ac:dyDescent="0.25">
      <c r="A148" s="7" t="s">
        <v>1400</v>
      </c>
      <c r="B148" s="60">
        <v>524113</v>
      </c>
      <c r="C148" s="41" t="s">
        <v>13</v>
      </c>
      <c r="D148" s="60"/>
      <c r="E148" s="60"/>
      <c r="F148" s="42"/>
      <c r="G148" s="42">
        <f>G149</f>
        <v>2100000</v>
      </c>
      <c r="H148" s="210" t="b">
        <f t="shared" si="3"/>
        <v>1</v>
      </c>
    </row>
    <row r="149" spans="1:8" ht="13.8" x14ac:dyDescent="0.25">
      <c r="A149" s="7" t="s">
        <v>1401</v>
      </c>
      <c r="B149" s="152"/>
      <c r="C149" s="151" t="s">
        <v>3889</v>
      </c>
      <c r="D149" s="152">
        <v>14</v>
      </c>
      <c r="E149" s="152" t="s">
        <v>10</v>
      </c>
      <c r="F149" s="153">
        <v>150000</v>
      </c>
      <c r="G149" s="153">
        <f>ROUNDDOWN(D149*F149,-3)</f>
        <v>2100000</v>
      </c>
      <c r="H149" s="210" t="b">
        <f t="shared" si="3"/>
        <v>1</v>
      </c>
    </row>
    <row r="150" spans="1:8" ht="13.8" x14ac:dyDescent="0.25">
      <c r="A150" s="7" t="s">
        <v>1403</v>
      </c>
      <c r="B150" s="59" t="s">
        <v>511</v>
      </c>
      <c r="C150" s="38" t="s">
        <v>150</v>
      </c>
      <c r="D150" s="59"/>
      <c r="E150" s="59"/>
      <c r="F150" s="39"/>
      <c r="G150" s="39">
        <f>SUM(G151,G154,G156,G158)</f>
        <v>571380000</v>
      </c>
      <c r="H150" s="210" t="b">
        <f t="shared" si="3"/>
        <v>1</v>
      </c>
    </row>
    <row r="151" spans="1:8" ht="13.8" x14ac:dyDescent="0.25">
      <c r="A151" s="7" t="s">
        <v>1404</v>
      </c>
      <c r="B151" s="60">
        <v>521211</v>
      </c>
      <c r="C151" s="41" t="s">
        <v>7</v>
      </c>
      <c r="D151" s="60"/>
      <c r="E151" s="60"/>
      <c r="F151" s="42"/>
      <c r="G151" s="42">
        <f>SUM(G152:G153)</f>
        <v>10000000</v>
      </c>
      <c r="H151" s="210" t="b">
        <f t="shared" si="3"/>
        <v>1</v>
      </c>
    </row>
    <row r="152" spans="1:8" ht="13.8" x14ac:dyDescent="0.25">
      <c r="A152" s="7" t="s">
        <v>1405</v>
      </c>
      <c r="B152" s="152"/>
      <c r="C152" s="151" t="s">
        <v>3625</v>
      </c>
      <c r="D152" s="152">
        <v>4</v>
      </c>
      <c r="E152" s="152" t="s">
        <v>9</v>
      </c>
      <c r="F152" s="153">
        <v>1500000</v>
      </c>
      <c r="G152" s="153">
        <f>ROUNDDOWN(D152*F152,-3)</f>
        <v>6000000</v>
      </c>
      <c r="H152" s="210" t="b">
        <f t="shared" si="3"/>
        <v>1</v>
      </c>
    </row>
    <row r="153" spans="1:8" ht="13.8" x14ac:dyDescent="0.25">
      <c r="A153" s="7" t="s">
        <v>1406</v>
      </c>
      <c r="B153" s="152"/>
      <c r="C153" s="151" t="s">
        <v>3626</v>
      </c>
      <c r="D153" s="152">
        <v>4</v>
      </c>
      <c r="E153" s="152" t="s">
        <v>9</v>
      </c>
      <c r="F153" s="153">
        <v>1000000</v>
      </c>
      <c r="G153" s="153">
        <f>ROUNDDOWN(D153*F153,-3)</f>
        <v>4000000</v>
      </c>
      <c r="H153" s="210" t="b">
        <f t="shared" si="3"/>
        <v>1</v>
      </c>
    </row>
    <row r="154" spans="1:8" ht="13.8" x14ac:dyDescent="0.25">
      <c r="A154" s="7" t="s">
        <v>1407</v>
      </c>
      <c r="B154" s="60">
        <v>521219</v>
      </c>
      <c r="C154" s="41" t="s">
        <v>53</v>
      </c>
      <c r="D154" s="60"/>
      <c r="E154" s="60"/>
      <c r="F154" s="42"/>
      <c r="G154" s="42">
        <f>G155</f>
        <v>7800000</v>
      </c>
      <c r="H154" s="210" t="b">
        <f t="shared" si="3"/>
        <v>1</v>
      </c>
    </row>
    <row r="155" spans="1:8" ht="13.8" x14ac:dyDescent="0.25">
      <c r="A155" s="7" t="s">
        <v>1408</v>
      </c>
      <c r="B155" s="152"/>
      <c r="C155" s="151" t="s">
        <v>3722</v>
      </c>
      <c r="D155" s="152">
        <v>12</v>
      </c>
      <c r="E155" s="152" t="s">
        <v>66</v>
      </c>
      <c r="F155" s="153">
        <v>650000</v>
      </c>
      <c r="G155" s="153">
        <f>ROUNDDOWN(D155*F155,-3)</f>
        <v>7800000</v>
      </c>
      <c r="H155" s="210" t="b">
        <f t="shared" si="3"/>
        <v>1</v>
      </c>
    </row>
    <row r="156" spans="1:8" ht="13.8" x14ac:dyDescent="0.25">
      <c r="A156" s="7" t="s">
        <v>1409</v>
      </c>
      <c r="B156" s="60">
        <v>522192</v>
      </c>
      <c r="C156" s="41" t="s">
        <v>24</v>
      </c>
      <c r="D156" s="60"/>
      <c r="E156" s="60"/>
      <c r="F156" s="42"/>
      <c r="G156" s="42">
        <f>G157</f>
        <v>39080000</v>
      </c>
      <c r="H156" s="210" t="b">
        <f t="shared" si="3"/>
        <v>1</v>
      </c>
    </row>
    <row r="157" spans="1:8" ht="13.8" x14ac:dyDescent="0.25">
      <c r="A157" s="7" t="s">
        <v>1410</v>
      </c>
      <c r="B157" s="152"/>
      <c r="C157" s="151" t="s">
        <v>3890</v>
      </c>
      <c r="D157" s="152">
        <v>80</v>
      </c>
      <c r="E157" s="152" t="s">
        <v>25</v>
      </c>
      <c r="F157" s="153">
        <v>488500</v>
      </c>
      <c r="G157" s="153">
        <f>ROUNDDOWN(D157*F157,-3)</f>
        <v>39080000</v>
      </c>
      <c r="H157" s="210" t="b">
        <f t="shared" si="3"/>
        <v>1</v>
      </c>
    </row>
    <row r="158" spans="1:8" ht="13.8" x14ac:dyDescent="0.25">
      <c r="A158" s="7" t="s">
        <v>1412</v>
      </c>
      <c r="B158" s="60">
        <v>524111</v>
      </c>
      <c r="C158" s="41" t="s">
        <v>19</v>
      </c>
      <c r="D158" s="60"/>
      <c r="E158" s="60"/>
      <c r="F158" s="42"/>
      <c r="G158" s="42">
        <f>SUM(G159:G160)</f>
        <v>514500000</v>
      </c>
      <c r="H158" s="210" t="b">
        <f t="shared" si="3"/>
        <v>1</v>
      </c>
    </row>
    <row r="159" spans="1:8" ht="13.8" x14ac:dyDescent="0.25">
      <c r="A159" s="7" t="s">
        <v>1413</v>
      </c>
      <c r="B159" s="152"/>
      <c r="C159" s="151" t="s">
        <v>3891</v>
      </c>
      <c r="D159" s="152">
        <v>55</v>
      </c>
      <c r="E159" s="152" t="s">
        <v>10</v>
      </c>
      <c r="F159" s="153">
        <v>6075000</v>
      </c>
      <c r="G159" s="153">
        <f>ROUNDDOWN(D159*F159,-3)</f>
        <v>334125000</v>
      </c>
      <c r="H159" s="210" t="b">
        <f t="shared" si="3"/>
        <v>1</v>
      </c>
    </row>
    <row r="160" spans="1:8" ht="26.4" x14ac:dyDescent="0.25">
      <c r="A160" s="7" t="s">
        <v>1415</v>
      </c>
      <c r="B160" s="152"/>
      <c r="C160" s="151" t="s">
        <v>3892</v>
      </c>
      <c r="D160" s="152">
        <v>30</v>
      </c>
      <c r="E160" s="152" t="s">
        <v>776</v>
      </c>
      <c r="F160" s="153">
        <v>6012500</v>
      </c>
      <c r="G160" s="153">
        <f>ROUNDDOWN(D160*F160,-3)</f>
        <v>180375000</v>
      </c>
      <c r="H160" s="210" t="b">
        <f t="shared" si="3"/>
        <v>1</v>
      </c>
    </row>
    <row r="161" spans="1:8" ht="26.4" x14ac:dyDescent="0.25">
      <c r="A161" s="7" t="s">
        <v>1417</v>
      </c>
      <c r="B161" s="59" t="s">
        <v>512</v>
      </c>
      <c r="C161" s="38" t="s">
        <v>1418</v>
      </c>
      <c r="D161" s="59"/>
      <c r="E161" s="59"/>
      <c r="F161" s="39"/>
      <c r="G161" s="39">
        <f>SUM(G162,G168,G170,G172)</f>
        <v>83500000</v>
      </c>
      <c r="H161" s="210" t="b">
        <f t="shared" si="3"/>
        <v>1</v>
      </c>
    </row>
    <row r="162" spans="1:8" ht="13.8" x14ac:dyDescent="0.25">
      <c r="A162" s="7" t="s">
        <v>1419</v>
      </c>
      <c r="B162" s="60">
        <v>521211</v>
      </c>
      <c r="C162" s="41" t="s">
        <v>7</v>
      </c>
      <c r="D162" s="60"/>
      <c r="E162" s="60"/>
      <c r="F162" s="42"/>
      <c r="G162" s="42">
        <f>SUM(G163:G167)</f>
        <v>46000000</v>
      </c>
      <c r="H162" s="210" t="b">
        <f t="shared" si="3"/>
        <v>1</v>
      </c>
    </row>
    <row r="163" spans="1:8" ht="13.8" x14ac:dyDescent="0.25">
      <c r="A163" s="7" t="s">
        <v>1420</v>
      </c>
      <c r="B163" s="152"/>
      <c r="C163" s="151" t="s">
        <v>3893</v>
      </c>
      <c r="D163" s="152">
        <v>500</v>
      </c>
      <c r="E163" s="152" t="s">
        <v>1422</v>
      </c>
      <c r="F163" s="153">
        <v>36000</v>
      </c>
      <c r="G163" s="153">
        <f>ROUNDDOWN(D163*F163,-3)</f>
        <v>18000000</v>
      </c>
      <c r="H163" s="210" t="b">
        <f t="shared" si="3"/>
        <v>1</v>
      </c>
    </row>
    <row r="164" spans="1:8" ht="13.8" x14ac:dyDescent="0.25">
      <c r="A164" s="7" t="s">
        <v>1423</v>
      </c>
      <c r="B164" s="152"/>
      <c r="C164" s="151" t="s">
        <v>3714</v>
      </c>
      <c r="D164" s="152">
        <v>4</v>
      </c>
      <c r="E164" s="152" t="s">
        <v>9</v>
      </c>
      <c r="F164" s="153">
        <v>1500000</v>
      </c>
      <c r="G164" s="153">
        <f>ROUNDDOWN(D164*F164,-3)</f>
        <v>6000000</v>
      </c>
      <c r="H164" s="210" t="b">
        <f t="shared" si="3"/>
        <v>1</v>
      </c>
    </row>
    <row r="165" spans="1:8" ht="13.8" x14ac:dyDescent="0.25">
      <c r="A165" s="7" t="s">
        <v>1424</v>
      </c>
      <c r="B165" s="152"/>
      <c r="C165" s="151" t="s">
        <v>3600</v>
      </c>
      <c r="D165" s="152">
        <v>4</v>
      </c>
      <c r="E165" s="152" t="s">
        <v>9</v>
      </c>
      <c r="F165" s="153">
        <v>1000000</v>
      </c>
      <c r="G165" s="153">
        <f>ROUNDDOWN(D165*F165,-3)</f>
        <v>4000000</v>
      </c>
      <c r="H165" s="210" t="b">
        <f t="shared" si="3"/>
        <v>1</v>
      </c>
    </row>
    <row r="166" spans="1:8" ht="13.8" x14ac:dyDescent="0.25">
      <c r="A166" s="7" t="s">
        <v>1425</v>
      </c>
      <c r="B166" s="152"/>
      <c r="C166" s="151" t="s">
        <v>3601</v>
      </c>
      <c r="D166" s="152">
        <v>4</v>
      </c>
      <c r="E166" s="152" t="s">
        <v>9</v>
      </c>
      <c r="F166" s="153">
        <v>1500000</v>
      </c>
      <c r="G166" s="153">
        <f>ROUNDDOWN(D166*F166,-3)</f>
        <v>6000000</v>
      </c>
      <c r="H166" s="210" t="b">
        <f t="shared" si="3"/>
        <v>1</v>
      </c>
    </row>
    <row r="167" spans="1:8" ht="13.8" x14ac:dyDescent="0.25">
      <c r="A167" s="7" t="s">
        <v>1426</v>
      </c>
      <c r="B167" s="152"/>
      <c r="C167" s="151" t="s">
        <v>3894</v>
      </c>
      <c r="D167" s="152">
        <v>24</v>
      </c>
      <c r="E167" s="152" t="s">
        <v>176</v>
      </c>
      <c r="F167" s="153">
        <v>500000</v>
      </c>
      <c r="G167" s="153">
        <f>ROUNDDOWN(D167*F167,-3)</f>
        <v>12000000</v>
      </c>
      <c r="H167" s="210" t="b">
        <f t="shared" si="3"/>
        <v>1</v>
      </c>
    </row>
    <row r="168" spans="1:8" ht="13.8" x14ac:dyDescent="0.25">
      <c r="A168" s="7" t="s">
        <v>1428</v>
      </c>
      <c r="B168" s="60">
        <v>522141</v>
      </c>
      <c r="C168" s="41" t="s">
        <v>95</v>
      </c>
      <c r="D168" s="60"/>
      <c r="E168" s="60"/>
      <c r="F168" s="42"/>
      <c r="G168" s="42">
        <f>G169</f>
        <v>6000000</v>
      </c>
      <c r="H168" s="210" t="b">
        <f t="shared" si="3"/>
        <v>1</v>
      </c>
    </row>
    <row r="169" spans="1:8" ht="13.8" x14ac:dyDescent="0.25">
      <c r="A169" s="7" t="s">
        <v>1429</v>
      </c>
      <c r="B169" s="152"/>
      <c r="C169" s="151" t="s">
        <v>3895</v>
      </c>
      <c r="D169" s="152">
        <v>4</v>
      </c>
      <c r="E169" s="152" t="s">
        <v>149</v>
      </c>
      <c r="F169" s="153">
        <v>1500000</v>
      </c>
      <c r="G169" s="153">
        <f>ROUNDDOWN(D169*F169,-3)</f>
        <v>6000000</v>
      </c>
      <c r="H169" s="210" t="b">
        <f t="shared" si="3"/>
        <v>1</v>
      </c>
    </row>
    <row r="170" spans="1:8" ht="13.8" x14ac:dyDescent="0.25">
      <c r="A170" s="7" t="s">
        <v>1431</v>
      </c>
      <c r="B170" s="60">
        <v>524111</v>
      </c>
      <c r="C170" s="41" t="s">
        <v>19</v>
      </c>
      <c r="D170" s="60"/>
      <c r="E170" s="60"/>
      <c r="F170" s="42"/>
      <c r="G170" s="42">
        <f>G171</f>
        <v>27000000</v>
      </c>
      <c r="H170" s="210" t="b">
        <f t="shared" si="3"/>
        <v>1</v>
      </c>
    </row>
    <row r="171" spans="1:8" ht="26.4" x14ac:dyDescent="0.25">
      <c r="A171" s="7" t="s">
        <v>1432</v>
      </c>
      <c r="B171" s="152"/>
      <c r="C171" s="151" t="s">
        <v>3896</v>
      </c>
      <c r="D171" s="152">
        <v>9</v>
      </c>
      <c r="E171" s="152" t="s">
        <v>10</v>
      </c>
      <c r="F171" s="153">
        <v>3000000</v>
      </c>
      <c r="G171" s="153">
        <f>ROUNDDOWN(D171*F171,-3)</f>
        <v>27000000</v>
      </c>
      <c r="H171" s="210" t="b">
        <f t="shared" si="3"/>
        <v>1</v>
      </c>
    </row>
    <row r="172" spans="1:8" ht="13.8" x14ac:dyDescent="0.25">
      <c r="A172" s="7" t="s">
        <v>1434</v>
      </c>
      <c r="B172" s="60">
        <v>524113</v>
      </c>
      <c r="C172" s="41" t="s">
        <v>13</v>
      </c>
      <c r="D172" s="60"/>
      <c r="E172" s="60"/>
      <c r="F172" s="42"/>
      <c r="G172" s="42">
        <f>G173</f>
        <v>4500000</v>
      </c>
      <c r="H172" s="210" t="b">
        <f t="shared" si="3"/>
        <v>1</v>
      </c>
    </row>
    <row r="173" spans="1:8" ht="13.8" x14ac:dyDescent="0.25">
      <c r="A173" s="7" t="s">
        <v>1435</v>
      </c>
      <c r="B173" s="152"/>
      <c r="C173" s="151" t="s">
        <v>3897</v>
      </c>
      <c r="D173" s="152">
        <v>30</v>
      </c>
      <c r="E173" s="152" t="s">
        <v>10</v>
      </c>
      <c r="F173" s="153">
        <v>150000</v>
      </c>
      <c r="G173" s="153">
        <f>ROUNDDOWN(D173*F173,-3)</f>
        <v>4500000</v>
      </c>
      <c r="H173" s="210" t="b">
        <f t="shared" si="3"/>
        <v>1</v>
      </c>
    </row>
    <row r="174" spans="1:8" ht="13.8" x14ac:dyDescent="0.25">
      <c r="A174" s="7" t="s">
        <v>1437</v>
      </c>
      <c r="B174" s="59" t="s">
        <v>514</v>
      </c>
      <c r="C174" s="38" t="s">
        <v>151</v>
      </c>
      <c r="D174" s="59"/>
      <c r="E174" s="59"/>
      <c r="F174" s="39"/>
      <c r="G174" s="39">
        <f>SUM(G175,G180,G182)</f>
        <v>101050000</v>
      </c>
      <c r="H174" s="210" t="b">
        <f t="shared" si="3"/>
        <v>1</v>
      </c>
    </row>
    <row r="175" spans="1:8" ht="13.8" x14ac:dyDescent="0.25">
      <c r="A175" s="7" t="s">
        <v>1438</v>
      </c>
      <c r="B175" s="60">
        <v>521211</v>
      </c>
      <c r="C175" s="41" t="s">
        <v>7</v>
      </c>
      <c r="D175" s="60"/>
      <c r="E175" s="60"/>
      <c r="F175" s="42"/>
      <c r="G175" s="42">
        <f>SUM(G176:G179)</f>
        <v>28000000</v>
      </c>
      <c r="H175" s="210" t="b">
        <f t="shared" si="3"/>
        <v>1</v>
      </c>
    </row>
    <row r="176" spans="1:8" ht="13.8" x14ac:dyDescent="0.25">
      <c r="A176" s="7" t="s">
        <v>1439</v>
      </c>
      <c r="B176" s="152"/>
      <c r="C176" s="151" t="s">
        <v>3625</v>
      </c>
      <c r="D176" s="152">
        <v>4</v>
      </c>
      <c r="E176" s="152" t="s">
        <v>9</v>
      </c>
      <c r="F176" s="153">
        <v>1000000</v>
      </c>
      <c r="G176" s="153">
        <f>ROUNDDOWN(D176*F176,-3)</f>
        <v>4000000</v>
      </c>
      <c r="H176" s="210" t="b">
        <f t="shared" si="3"/>
        <v>1</v>
      </c>
    </row>
    <row r="177" spans="1:8" ht="13.8" x14ac:dyDescent="0.25">
      <c r="A177" s="7" t="s">
        <v>1440</v>
      </c>
      <c r="B177" s="152"/>
      <c r="C177" s="151" t="s">
        <v>3626</v>
      </c>
      <c r="D177" s="152">
        <v>4</v>
      </c>
      <c r="E177" s="152" t="s">
        <v>9</v>
      </c>
      <c r="F177" s="153">
        <v>1500000</v>
      </c>
      <c r="G177" s="153">
        <f>ROUNDDOWN(D177*F177,-3)</f>
        <v>6000000</v>
      </c>
      <c r="H177" s="210" t="b">
        <f t="shared" si="3"/>
        <v>1</v>
      </c>
    </row>
    <row r="178" spans="1:8" ht="13.8" x14ac:dyDescent="0.25">
      <c r="A178" s="7" t="s">
        <v>1441</v>
      </c>
      <c r="B178" s="152"/>
      <c r="C178" s="151" t="s">
        <v>3627</v>
      </c>
      <c r="D178" s="152">
        <v>4</v>
      </c>
      <c r="E178" s="152" t="s">
        <v>9</v>
      </c>
      <c r="F178" s="153">
        <v>1500000</v>
      </c>
      <c r="G178" s="153">
        <f>ROUNDDOWN(D178*F178,-3)</f>
        <v>6000000</v>
      </c>
      <c r="H178" s="210" t="b">
        <f t="shared" si="3"/>
        <v>1</v>
      </c>
    </row>
    <row r="179" spans="1:8" ht="13.8" x14ac:dyDescent="0.25">
      <c r="A179" s="7" t="s">
        <v>1442</v>
      </c>
      <c r="B179" s="152"/>
      <c r="C179" s="151" t="s">
        <v>3898</v>
      </c>
      <c r="D179" s="152">
        <v>24</v>
      </c>
      <c r="E179" s="152" t="s">
        <v>176</v>
      </c>
      <c r="F179" s="153">
        <v>500000</v>
      </c>
      <c r="G179" s="153">
        <f>ROUNDDOWN(D179*F179,-3)</f>
        <v>12000000</v>
      </c>
      <c r="H179" s="210" t="b">
        <f t="shared" si="3"/>
        <v>1</v>
      </c>
    </row>
    <row r="180" spans="1:8" ht="13.8" x14ac:dyDescent="0.25">
      <c r="A180" s="7" t="s">
        <v>1443</v>
      </c>
      <c r="B180" s="60">
        <v>524111</v>
      </c>
      <c r="C180" s="41" t="s">
        <v>19</v>
      </c>
      <c r="D180" s="60"/>
      <c r="E180" s="60"/>
      <c r="F180" s="42"/>
      <c r="G180" s="42">
        <f>G181</f>
        <v>71250000</v>
      </c>
      <c r="H180" s="210" t="b">
        <f t="shared" si="3"/>
        <v>1</v>
      </c>
    </row>
    <row r="181" spans="1:8" ht="26.4" x14ac:dyDescent="0.25">
      <c r="A181" s="7" t="s">
        <v>1444</v>
      </c>
      <c r="B181" s="152"/>
      <c r="C181" s="151" t="s">
        <v>3899</v>
      </c>
      <c r="D181" s="152">
        <v>15</v>
      </c>
      <c r="E181" s="152" t="s">
        <v>10</v>
      </c>
      <c r="F181" s="153">
        <v>4750000</v>
      </c>
      <c r="G181" s="153">
        <f>ROUNDDOWN(D181*F181,-3)</f>
        <v>71250000</v>
      </c>
      <c r="H181" s="210" t="b">
        <f t="shared" si="3"/>
        <v>1</v>
      </c>
    </row>
    <row r="182" spans="1:8" ht="13.8" x14ac:dyDescent="0.25">
      <c r="A182" s="7" t="s">
        <v>1446</v>
      </c>
      <c r="B182" s="60">
        <v>524113</v>
      </c>
      <c r="C182" s="41" t="s">
        <v>13</v>
      </c>
      <c r="D182" s="60"/>
      <c r="E182" s="60"/>
      <c r="F182" s="42"/>
      <c r="G182" s="42">
        <f>G183</f>
        <v>1800000</v>
      </c>
      <c r="H182" s="210" t="b">
        <f t="shared" si="3"/>
        <v>1</v>
      </c>
    </row>
    <row r="183" spans="1:8" ht="13.8" x14ac:dyDescent="0.25">
      <c r="A183" s="7" t="s">
        <v>1447</v>
      </c>
      <c r="B183" s="152"/>
      <c r="C183" s="151" t="s">
        <v>3897</v>
      </c>
      <c r="D183" s="152">
        <v>12</v>
      </c>
      <c r="E183" s="152" t="s">
        <v>10</v>
      </c>
      <c r="F183" s="153">
        <v>150000</v>
      </c>
      <c r="G183" s="153">
        <f>ROUNDDOWN(D183*F183,-3)</f>
        <v>1800000</v>
      </c>
      <c r="H183" s="210" t="b">
        <f t="shared" si="3"/>
        <v>1</v>
      </c>
    </row>
    <row r="184" spans="1:8" ht="13.8" x14ac:dyDescent="0.25">
      <c r="A184" s="7" t="s">
        <v>1448</v>
      </c>
      <c r="B184" s="59" t="s">
        <v>519</v>
      </c>
      <c r="C184" s="38" t="s">
        <v>152</v>
      </c>
      <c r="D184" s="59"/>
      <c r="E184" s="59"/>
      <c r="F184" s="39"/>
      <c r="G184" s="39">
        <f>SUM(G185,G190,G194,G196,G198)</f>
        <v>388472000</v>
      </c>
      <c r="H184" s="210" t="b">
        <f t="shared" si="3"/>
        <v>1</v>
      </c>
    </row>
    <row r="185" spans="1:8" ht="13.8" x14ac:dyDescent="0.25">
      <c r="A185" s="7" t="s">
        <v>1449</v>
      </c>
      <c r="B185" s="60">
        <v>521211</v>
      </c>
      <c r="C185" s="41" t="s">
        <v>7</v>
      </c>
      <c r="D185" s="60"/>
      <c r="E185" s="60"/>
      <c r="F185" s="42"/>
      <c r="G185" s="42">
        <f>SUM(G186:G189)</f>
        <v>46000000</v>
      </c>
      <c r="H185" s="210" t="b">
        <f t="shared" si="3"/>
        <v>1</v>
      </c>
    </row>
    <row r="186" spans="1:8" ht="13.8" x14ac:dyDescent="0.25">
      <c r="A186" s="7" t="s">
        <v>1450</v>
      </c>
      <c r="B186" s="152"/>
      <c r="C186" s="151" t="s">
        <v>3598</v>
      </c>
      <c r="D186" s="152">
        <v>4</v>
      </c>
      <c r="E186" s="152" t="s">
        <v>9</v>
      </c>
      <c r="F186" s="153">
        <v>1500000</v>
      </c>
      <c r="G186" s="153">
        <f>ROUNDDOWN(D186*F186,-3)</f>
        <v>6000000</v>
      </c>
      <c r="H186" s="210" t="b">
        <f t="shared" si="3"/>
        <v>1</v>
      </c>
    </row>
    <row r="187" spans="1:8" ht="13.8" x14ac:dyDescent="0.25">
      <c r="A187" s="7" t="s">
        <v>1451</v>
      </c>
      <c r="B187" s="152"/>
      <c r="C187" s="151" t="s">
        <v>3632</v>
      </c>
      <c r="D187" s="152">
        <v>4</v>
      </c>
      <c r="E187" s="152" t="s">
        <v>9</v>
      </c>
      <c r="F187" s="153">
        <v>1000000</v>
      </c>
      <c r="G187" s="153">
        <f>ROUNDDOWN(D187*F187,-3)</f>
        <v>4000000</v>
      </c>
      <c r="H187" s="210" t="b">
        <f t="shared" si="3"/>
        <v>1</v>
      </c>
    </row>
    <row r="188" spans="1:8" ht="13.8" x14ac:dyDescent="0.25">
      <c r="A188" s="7" t="s">
        <v>1452</v>
      </c>
      <c r="B188" s="152"/>
      <c r="C188" s="151" t="s">
        <v>3633</v>
      </c>
      <c r="D188" s="152">
        <v>4</v>
      </c>
      <c r="E188" s="152" t="s">
        <v>9</v>
      </c>
      <c r="F188" s="153">
        <v>1500000</v>
      </c>
      <c r="G188" s="153">
        <f>ROUNDDOWN(D188*F188,-3)</f>
        <v>6000000</v>
      </c>
      <c r="H188" s="210" t="b">
        <f t="shared" si="3"/>
        <v>1</v>
      </c>
    </row>
    <row r="189" spans="1:8" ht="26.4" x14ac:dyDescent="0.25">
      <c r="A189" s="7" t="s">
        <v>1453</v>
      </c>
      <c r="B189" s="152"/>
      <c r="C189" s="151" t="s">
        <v>3900</v>
      </c>
      <c r="D189" s="152">
        <v>60</v>
      </c>
      <c r="E189" s="152" t="s">
        <v>176</v>
      </c>
      <c r="F189" s="153">
        <v>500000</v>
      </c>
      <c r="G189" s="153">
        <f>ROUNDDOWN(D189*F189,-3)</f>
        <v>30000000</v>
      </c>
      <c r="H189" s="210" t="b">
        <f t="shared" si="3"/>
        <v>1</v>
      </c>
    </row>
    <row r="190" spans="1:8" ht="26.4" x14ac:dyDescent="0.25">
      <c r="A190" s="7" t="s">
        <v>1455</v>
      </c>
      <c r="B190" s="60">
        <v>521241</v>
      </c>
      <c r="C190" s="41" t="s">
        <v>642</v>
      </c>
      <c r="D190" s="60"/>
      <c r="E190" s="60"/>
      <c r="F190" s="42"/>
      <c r="G190" s="42">
        <f>SUM(G191:G193)</f>
        <v>249600000</v>
      </c>
      <c r="H190" s="210" t="b">
        <f t="shared" si="3"/>
        <v>1</v>
      </c>
    </row>
    <row r="191" spans="1:8" ht="13.8" x14ac:dyDescent="0.25">
      <c r="A191" s="7" t="s">
        <v>1456</v>
      </c>
      <c r="B191" s="152"/>
      <c r="C191" s="151" t="s">
        <v>3901</v>
      </c>
      <c r="D191" s="152">
        <v>720</v>
      </c>
      <c r="E191" s="152" t="s">
        <v>32</v>
      </c>
      <c r="F191" s="153">
        <v>200000</v>
      </c>
      <c r="G191" s="153">
        <f>ROUNDDOWN(D191*F191,-3)</f>
        <v>144000000</v>
      </c>
      <c r="H191" s="210" t="b">
        <f t="shared" si="3"/>
        <v>1</v>
      </c>
    </row>
    <row r="192" spans="1:8" ht="26.4" x14ac:dyDescent="0.25">
      <c r="A192" s="7" t="s">
        <v>1458</v>
      </c>
      <c r="B192" s="152"/>
      <c r="C192" s="151" t="s">
        <v>3902</v>
      </c>
      <c r="D192" s="152">
        <v>360</v>
      </c>
      <c r="E192" s="152" t="s">
        <v>776</v>
      </c>
      <c r="F192" s="153">
        <v>280000</v>
      </c>
      <c r="G192" s="153">
        <f>ROUNDDOWN(D192*F192,-3)</f>
        <v>100800000</v>
      </c>
      <c r="H192" s="210" t="b">
        <f t="shared" si="3"/>
        <v>1</v>
      </c>
    </row>
    <row r="193" spans="1:8" ht="13.8" x14ac:dyDescent="0.25">
      <c r="A193" s="7" t="s">
        <v>1460</v>
      </c>
      <c r="B193" s="152"/>
      <c r="C193" s="151" t="s">
        <v>3903</v>
      </c>
      <c r="D193" s="152">
        <v>12</v>
      </c>
      <c r="E193" s="152" t="s">
        <v>32</v>
      </c>
      <c r="F193" s="153">
        <v>400000</v>
      </c>
      <c r="G193" s="153">
        <f>ROUNDDOWN(D193*F193,-3)</f>
        <v>4800000</v>
      </c>
      <c r="H193" s="210" t="b">
        <f t="shared" si="3"/>
        <v>1</v>
      </c>
    </row>
    <row r="194" spans="1:8" ht="13.8" x14ac:dyDescent="0.25">
      <c r="A194" s="7" t="s">
        <v>1462</v>
      </c>
      <c r="B194" s="60">
        <v>522192</v>
      </c>
      <c r="C194" s="41" t="s">
        <v>24</v>
      </c>
      <c r="D194" s="60"/>
      <c r="E194" s="60"/>
      <c r="F194" s="42"/>
      <c r="G194" s="42">
        <f>G195</f>
        <v>48000000</v>
      </c>
      <c r="H194" s="210" t="b">
        <f t="shared" si="3"/>
        <v>1</v>
      </c>
    </row>
    <row r="195" spans="1:8" ht="13.8" x14ac:dyDescent="0.25">
      <c r="A195" s="7" t="s">
        <v>1463</v>
      </c>
      <c r="B195" s="152"/>
      <c r="C195" s="151" t="s">
        <v>3890</v>
      </c>
      <c r="D195" s="152">
        <v>480</v>
      </c>
      <c r="E195" s="152" t="s">
        <v>25</v>
      </c>
      <c r="F195" s="153">
        <v>100000</v>
      </c>
      <c r="G195" s="153">
        <f>ROUNDDOWN(D195*F195,-3)</f>
        <v>48000000</v>
      </c>
      <c r="H195" s="210" t="b">
        <f t="shared" si="3"/>
        <v>1</v>
      </c>
    </row>
    <row r="196" spans="1:8" ht="13.8" x14ac:dyDescent="0.25">
      <c r="A196" s="7" t="s">
        <v>1464</v>
      </c>
      <c r="B196" s="60">
        <v>524111</v>
      </c>
      <c r="C196" s="41" t="s">
        <v>19</v>
      </c>
      <c r="D196" s="60"/>
      <c r="E196" s="60"/>
      <c r="F196" s="42"/>
      <c r="G196" s="42">
        <f>G197</f>
        <v>42772000</v>
      </c>
      <c r="H196" s="210" t="b">
        <f t="shared" si="3"/>
        <v>1</v>
      </c>
    </row>
    <row r="197" spans="1:8" ht="13.8" x14ac:dyDescent="0.25">
      <c r="A197" s="7" t="s">
        <v>1465</v>
      </c>
      <c r="B197" s="152"/>
      <c r="C197" s="151" t="s">
        <v>3904</v>
      </c>
      <c r="D197" s="152">
        <v>10</v>
      </c>
      <c r="E197" s="152" t="s">
        <v>10</v>
      </c>
      <c r="F197" s="153">
        <v>4277200</v>
      </c>
      <c r="G197" s="153">
        <f>ROUNDDOWN(D197*F197,-3)</f>
        <v>42772000</v>
      </c>
      <c r="H197" s="210" t="b">
        <f t="shared" si="3"/>
        <v>1</v>
      </c>
    </row>
    <row r="198" spans="1:8" ht="13.8" x14ac:dyDescent="0.25">
      <c r="A198" s="7" t="s">
        <v>1467</v>
      </c>
      <c r="B198" s="60">
        <v>524113</v>
      </c>
      <c r="C198" s="41" t="s">
        <v>13</v>
      </c>
      <c r="D198" s="60"/>
      <c r="E198" s="60"/>
      <c r="F198" s="42"/>
      <c r="G198" s="42">
        <f>G199</f>
        <v>2100000</v>
      </c>
      <c r="H198" s="210" t="b">
        <f t="shared" si="3"/>
        <v>1</v>
      </c>
    </row>
    <row r="199" spans="1:8" ht="13.8" x14ac:dyDescent="0.25">
      <c r="A199" s="7" t="s">
        <v>1468</v>
      </c>
      <c r="B199" s="152"/>
      <c r="C199" s="151" t="s">
        <v>3897</v>
      </c>
      <c r="D199" s="152">
        <v>14</v>
      </c>
      <c r="E199" s="152" t="s">
        <v>10</v>
      </c>
      <c r="F199" s="153">
        <v>150000</v>
      </c>
      <c r="G199" s="153">
        <f>ROUNDDOWN(D199*F199,-3)</f>
        <v>2100000</v>
      </c>
      <c r="H199" s="210" t="b">
        <f t="shared" si="3"/>
        <v>1</v>
      </c>
    </row>
    <row r="200" spans="1:8" ht="26.4" x14ac:dyDescent="0.25">
      <c r="A200" s="7" t="s">
        <v>1469</v>
      </c>
      <c r="B200" s="59" t="s">
        <v>578</v>
      </c>
      <c r="C200" s="38" t="s">
        <v>154</v>
      </c>
      <c r="D200" s="59"/>
      <c r="E200" s="59"/>
      <c r="F200" s="39"/>
      <c r="G200" s="39">
        <f>SUM(G201,G205,G210,G212,G214)</f>
        <v>450000000</v>
      </c>
      <c r="H200" s="210" t="b">
        <f t="shared" si="3"/>
        <v>1</v>
      </c>
    </row>
    <row r="201" spans="1:8" ht="13.8" x14ac:dyDescent="0.25">
      <c r="A201" s="7" t="s">
        <v>1470</v>
      </c>
      <c r="B201" s="60">
        <v>521211</v>
      </c>
      <c r="C201" s="41" t="s">
        <v>7</v>
      </c>
      <c r="D201" s="60"/>
      <c r="E201" s="60"/>
      <c r="F201" s="42"/>
      <c r="G201" s="42">
        <f>SUM(G202:G204)</f>
        <v>32000000</v>
      </c>
      <c r="H201" s="210" t="b">
        <f t="shared" si="3"/>
        <v>1</v>
      </c>
    </row>
    <row r="202" spans="1:8" ht="13.8" x14ac:dyDescent="0.25">
      <c r="A202" s="7" t="s">
        <v>1471</v>
      </c>
      <c r="B202" s="152"/>
      <c r="C202" s="151" t="s">
        <v>3598</v>
      </c>
      <c r="D202" s="152">
        <v>8</v>
      </c>
      <c r="E202" s="152" t="s">
        <v>9</v>
      </c>
      <c r="F202" s="153">
        <v>1500000</v>
      </c>
      <c r="G202" s="153">
        <f>ROUNDDOWN(D202*F202,-3)</f>
        <v>12000000</v>
      </c>
      <c r="H202" s="210" t="b">
        <f t="shared" si="3"/>
        <v>1</v>
      </c>
    </row>
    <row r="203" spans="1:8" ht="13.8" x14ac:dyDescent="0.25">
      <c r="A203" s="7" t="s">
        <v>1472</v>
      </c>
      <c r="B203" s="152"/>
      <c r="C203" s="151" t="s">
        <v>3632</v>
      </c>
      <c r="D203" s="152">
        <v>8</v>
      </c>
      <c r="E203" s="152" t="s">
        <v>9</v>
      </c>
      <c r="F203" s="153">
        <v>1000000</v>
      </c>
      <c r="G203" s="153">
        <f>ROUNDDOWN(D203*F203,-3)</f>
        <v>8000000</v>
      </c>
      <c r="H203" s="210" t="b">
        <f t="shared" si="3"/>
        <v>1</v>
      </c>
    </row>
    <row r="204" spans="1:8" ht="13.8" x14ac:dyDescent="0.25">
      <c r="A204" s="7" t="s">
        <v>1473</v>
      </c>
      <c r="B204" s="152"/>
      <c r="C204" s="151" t="s">
        <v>3633</v>
      </c>
      <c r="D204" s="152">
        <v>8</v>
      </c>
      <c r="E204" s="152" t="s">
        <v>9</v>
      </c>
      <c r="F204" s="153">
        <v>1500000</v>
      </c>
      <c r="G204" s="153">
        <f>ROUNDDOWN(D204*F204,-3)</f>
        <v>12000000</v>
      </c>
      <c r="H204" s="210" t="b">
        <f t="shared" si="3"/>
        <v>1</v>
      </c>
    </row>
    <row r="205" spans="1:8" ht="13.8" x14ac:dyDescent="0.25">
      <c r="A205" s="7" t="s">
        <v>1474</v>
      </c>
      <c r="B205" s="60">
        <v>521219</v>
      </c>
      <c r="C205" s="41" t="s">
        <v>53</v>
      </c>
      <c r="D205" s="60"/>
      <c r="E205" s="60"/>
      <c r="F205" s="42"/>
      <c r="G205" s="42">
        <f>SUM(G206:G209)</f>
        <v>298141000</v>
      </c>
      <c r="H205" s="210" t="b">
        <f t="shared" ref="H205:H268" si="4">_xlfn.ISFORMULA(G205)</f>
        <v>1</v>
      </c>
    </row>
    <row r="206" spans="1:8" ht="13.8" x14ac:dyDescent="0.25">
      <c r="A206" s="7" t="s">
        <v>1475</v>
      </c>
      <c r="B206" s="152"/>
      <c r="C206" s="151" t="s">
        <v>3905</v>
      </c>
      <c r="D206" s="152">
        <v>40</v>
      </c>
      <c r="E206" s="152" t="s">
        <v>10</v>
      </c>
      <c r="F206" s="153">
        <v>1000000</v>
      </c>
      <c r="G206" s="153">
        <f>ROUNDDOWN(D206*F206,-3)</f>
        <v>40000000</v>
      </c>
      <c r="H206" s="210" t="b">
        <f t="shared" si="4"/>
        <v>1</v>
      </c>
    </row>
    <row r="207" spans="1:8" ht="13.8" x14ac:dyDescent="0.25">
      <c r="A207" s="7" t="s">
        <v>1477</v>
      </c>
      <c r="B207" s="152"/>
      <c r="C207" s="151" t="s">
        <v>3906</v>
      </c>
      <c r="D207" s="152">
        <v>30</v>
      </c>
      <c r="E207" s="152" t="s">
        <v>776</v>
      </c>
      <c r="F207" s="153">
        <v>8000000</v>
      </c>
      <c r="G207" s="153">
        <f>ROUNDDOWN(D207*F207,-3)</f>
        <v>240000000</v>
      </c>
      <c r="H207" s="210" t="b">
        <f t="shared" si="4"/>
        <v>1</v>
      </c>
    </row>
    <row r="208" spans="1:8" ht="26.4" x14ac:dyDescent="0.25">
      <c r="A208" s="7" t="s">
        <v>1479</v>
      </c>
      <c r="B208" s="152"/>
      <c r="C208" s="151" t="s">
        <v>3907</v>
      </c>
      <c r="D208" s="152">
        <v>400</v>
      </c>
      <c r="E208" s="152" t="s">
        <v>10</v>
      </c>
      <c r="F208" s="153">
        <v>15000</v>
      </c>
      <c r="G208" s="153">
        <f>ROUNDDOWN(D208*F208,-3)</f>
        <v>6000000</v>
      </c>
      <c r="H208" s="210" t="b">
        <f t="shared" si="4"/>
        <v>1</v>
      </c>
    </row>
    <row r="209" spans="1:8" ht="13.8" x14ac:dyDescent="0.25">
      <c r="A209" s="7" t="s">
        <v>1481</v>
      </c>
      <c r="B209" s="152"/>
      <c r="C209" s="151" t="s">
        <v>3908</v>
      </c>
      <c r="D209" s="152">
        <v>1</v>
      </c>
      <c r="E209" s="152" t="s">
        <v>60</v>
      </c>
      <c r="F209" s="153">
        <v>12141000</v>
      </c>
      <c r="G209" s="153">
        <f>ROUNDDOWN(D209*F209,-3)</f>
        <v>12141000</v>
      </c>
      <c r="H209" s="210" t="b">
        <f t="shared" si="4"/>
        <v>1</v>
      </c>
    </row>
    <row r="210" spans="1:8" ht="13.8" x14ac:dyDescent="0.25">
      <c r="A210" s="7" t="s">
        <v>1483</v>
      </c>
      <c r="B210" s="60">
        <v>522151</v>
      </c>
      <c r="C210" s="41" t="s">
        <v>11</v>
      </c>
      <c r="D210" s="60"/>
      <c r="E210" s="60"/>
      <c r="F210" s="42"/>
      <c r="G210" s="42">
        <f>G211</f>
        <v>30000000</v>
      </c>
      <c r="H210" s="210" t="b">
        <f t="shared" si="4"/>
        <v>1</v>
      </c>
    </row>
    <row r="211" spans="1:8" ht="13.8" x14ac:dyDescent="0.25">
      <c r="A211" s="7" t="s">
        <v>1484</v>
      </c>
      <c r="B211" s="152"/>
      <c r="C211" s="151" t="s">
        <v>3715</v>
      </c>
      <c r="D211" s="152">
        <v>30</v>
      </c>
      <c r="E211" s="152" t="s">
        <v>54</v>
      </c>
      <c r="F211" s="153">
        <v>1000000</v>
      </c>
      <c r="G211" s="153">
        <f>ROUNDDOWN(D211*F211,-3)</f>
        <v>30000000</v>
      </c>
      <c r="H211" s="210" t="b">
        <f t="shared" si="4"/>
        <v>1</v>
      </c>
    </row>
    <row r="212" spans="1:8" ht="13.8" x14ac:dyDescent="0.25">
      <c r="A212" s="7" t="s">
        <v>1485</v>
      </c>
      <c r="B212" s="60">
        <v>522192</v>
      </c>
      <c r="C212" s="41" t="s">
        <v>24</v>
      </c>
      <c r="D212" s="60"/>
      <c r="E212" s="60"/>
      <c r="F212" s="42"/>
      <c r="G212" s="42">
        <f>G213</f>
        <v>8000000</v>
      </c>
      <c r="H212" s="210" t="b">
        <f t="shared" si="4"/>
        <v>1</v>
      </c>
    </row>
    <row r="213" spans="1:8" ht="13.8" x14ac:dyDescent="0.25">
      <c r="A213" s="7" t="s">
        <v>1486</v>
      </c>
      <c r="B213" s="152"/>
      <c r="C213" s="151" t="s">
        <v>3735</v>
      </c>
      <c r="D213" s="152">
        <v>1</v>
      </c>
      <c r="E213" s="152" t="s">
        <v>60</v>
      </c>
      <c r="F213" s="153">
        <v>8000000</v>
      </c>
      <c r="G213" s="153">
        <f>ROUNDDOWN(D213*F213,-3)</f>
        <v>8000000</v>
      </c>
      <c r="H213" s="210" t="b">
        <f t="shared" si="4"/>
        <v>1</v>
      </c>
    </row>
    <row r="214" spans="1:8" ht="13.8" x14ac:dyDescent="0.25">
      <c r="A214" s="7" t="s">
        <v>1487</v>
      </c>
      <c r="B214" s="60">
        <v>524111</v>
      </c>
      <c r="C214" s="41" t="s">
        <v>19</v>
      </c>
      <c r="D214" s="60"/>
      <c r="E214" s="60"/>
      <c r="F214" s="42"/>
      <c r="G214" s="42">
        <f>G215</f>
        <v>81859000</v>
      </c>
      <c r="H214" s="210" t="b">
        <f t="shared" si="4"/>
        <v>1</v>
      </c>
    </row>
    <row r="215" spans="1:8" ht="26.4" x14ac:dyDescent="0.25">
      <c r="A215" s="7" t="s">
        <v>1488</v>
      </c>
      <c r="B215" s="152"/>
      <c r="C215" s="151" t="s">
        <v>3909</v>
      </c>
      <c r="D215" s="152">
        <v>32</v>
      </c>
      <c r="E215" s="152" t="s">
        <v>10</v>
      </c>
      <c r="F215" s="153">
        <v>2558095</v>
      </c>
      <c r="G215" s="153">
        <f>ROUNDDOWN(D215*F215,-3)</f>
        <v>81859000</v>
      </c>
      <c r="H215" s="210" t="b">
        <f t="shared" si="4"/>
        <v>1</v>
      </c>
    </row>
    <row r="216" spans="1:8" ht="13.8" x14ac:dyDescent="0.25">
      <c r="A216" s="7" t="s">
        <v>1490</v>
      </c>
      <c r="B216" s="59" t="s">
        <v>579</v>
      </c>
      <c r="C216" s="38" t="s">
        <v>56</v>
      </c>
      <c r="D216" s="59"/>
      <c r="E216" s="59"/>
      <c r="F216" s="39"/>
      <c r="G216" s="39">
        <f>SUM(G217,G222,G224,G226)</f>
        <v>350000000</v>
      </c>
      <c r="H216" s="210" t="b">
        <f t="shared" si="4"/>
        <v>1</v>
      </c>
    </row>
    <row r="217" spans="1:8" ht="13.8" x14ac:dyDescent="0.25">
      <c r="A217" s="7" t="s">
        <v>1491</v>
      </c>
      <c r="B217" s="60">
        <v>521211</v>
      </c>
      <c r="C217" s="41" t="s">
        <v>7</v>
      </c>
      <c r="D217" s="60"/>
      <c r="E217" s="60"/>
      <c r="F217" s="42"/>
      <c r="G217" s="42">
        <f>SUM(G218:G221)</f>
        <v>31000000</v>
      </c>
      <c r="H217" s="210" t="b">
        <f t="shared" si="4"/>
        <v>1</v>
      </c>
    </row>
    <row r="218" spans="1:8" ht="13.8" x14ac:dyDescent="0.25">
      <c r="A218" s="7" t="s">
        <v>1492</v>
      </c>
      <c r="B218" s="152"/>
      <c r="C218" s="151" t="s">
        <v>3713</v>
      </c>
      <c r="D218" s="152">
        <v>300</v>
      </c>
      <c r="E218" s="152" t="s">
        <v>10</v>
      </c>
      <c r="F218" s="153">
        <v>75000</v>
      </c>
      <c r="G218" s="153">
        <f>ROUNDDOWN(D218*F218,-3)</f>
        <v>22500000</v>
      </c>
      <c r="H218" s="210" t="b">
        <f t="shared" si="4"/>
        <v>1</v>
      </c>
    </row>
    <row r="219" spans="1:8" ht="13.8" x14ac:dyDescent="0.25">
      <c r="A219" s="7" t="s">
        <v>1493</v>
      </c>
      <c r="B219" s="152"/>
      <c r="C219" s="151" t="s">
        <v>3714</v>
      </c>
      <c r="D219" s="152">
        <v>1</v>
      </c>
      <c r="E219" s="152" t="s">
        <v>9</v>
      </c>
      <c r="F219" s="153">
        <v>1000000</v>
      </c>
      <c r="G219" s="153">
        <f>ROUNDDOWN(D219*F219,-3)</f>
        <v>1000000</v>
      </c>
      <c r="H219" s="210" t="b">
        <f t="shared" si="4"/>
        <v>1</v>
      </c>
    </row>
    <row r="220" spans="1:8" ht="13.8" x14ac:dyDescent="0.25">
      <c r="A220" s="7" t="s">
        <v>1494</v>
      </c>
      <c r="B220" s="152"/>
      <c r="C220" s="151" t="s">
        <v>3600</v>
      </c>
      <c r="D220" s="152">
        <v>3</v>
      </c>
      <c r="E220" s="152" t="s">
        <v>9</v>
      </c>
      <c r="F220" s="153">
        <v>1000000</v>
      </c>
      <c r="G220" s="153">
        <f>ROUNDDOWN(D220*F220,-3)</f>
        <v>3000000</v>
      </c>
      <c r="H220" s="210" t="b">
        <f t="shared" si="4"/>
        <v>1</v>
      </c>
    </row>
    <row r="221" spans="1:8" ht="13.8" x14ac:dyDescent="0.25">
      <c r="A221" s="7" t="s">
        <v>1495</v>
      </c>
      <c r="B221" s="152"/>
      <c r="C221" s="151" t="s">
        <v>3601</v>
      </c>
      <c r="D221" s="152">
        <v>3</v>
      </c>
      <c r="E221" s="152" t="s">
        <v>9</v>
      </c>
      <c r="F221" s="153">
        <v>1500000</v>
      </c>
      <c r="G221" s="153">
        <f>ROUNDDOWN(D221*F221,-3)</f>
        <v>4500000</v>
      </c>
      <c r="H221" s="210" t="b">
        <f t="shared" si="4"/>
        <v>1</v>
      </c>
    </row>
    <row r="222" spans="1:8" ht="13.8" x14ac:dyDescent="0.25">
      <c r="A222" s="7" t="s">
        <v>1496</v>
      </c>
      <c r="B222" s="60">
        <v>521219</v>
      </c>
      <c r="C222" s="41" t="s">
        <v>53</v>
      </c>
      <c r="D222" s="60"/>
      <c r="E222" s="60"/>
      <c r="F222" s="42"/>
      <c r="G222" s="42">
        <f>G223</f>
        <v>3000000</v>
      </c>
      <c r="H222" s="210" t="b">
        <f t="shared" si="4"/>
        <v>1</v>
      </c>
    </row>
    <row r="223" spans="1:8" ht="13.8" x14ac:dyDescent="0.25">
      <c r="A223" s="7" t="s">
        <v>1497</v>
      </c>
      <c r="B223" s="152"/>
      <c r="C223" s="151" t="s">
        <v>3722</v>
      </c>
      <c r="D223" s="152">
        <v>12</v>
      </c>
      <c r="E223" s="152" t="s">
        <v>78</v>
      </c>
      <c r="F223" s="153">
        <v>250000</v>
      </c>
      <c r="G223" s="153">
        <f>ROUNDDOWN(D223*F223,-3)</f>
        <v>3000000</v>
      </c>
      <c r="H223" s="210" t="b">
        <f t="shared" si="4"/>
        <v>1</v>
      </c>
    </row>
    <row r="224" spans="1:8" ht="13.8" x14ac:dyDescent="0.25">
      <c r="A224" s="7" t="s">
        <v>1498</v>
      </c>
      <c r="B224" s="60">
        <v>522151</v>
      </c>
      <c r="C224" s="41" t="s">
        <v>11</v>
      </c>
      <c r="D224" s="60"/>
      <c r="E224" s="60"/>
      <c r="F224" s="42"/>
      <c r="G224" s="42">
        <f>G225</f>
        <v>70000000</v>
      </c>
      <c r="H224" s="210" t="b">
        <f t="shared" si="4"/>
        <v>1</v>
      </c>
    </row>
    <row r="225" spans="1:8" ht="13.8" x14ac:dyDescent="0.25">
      <c r="A225" s="7" t="s">
        <v>1499</v>
      </c>
      <c r="B225" s="152"/>
      <c r="C225" s="151" t="s">
        <v>3910</v>
      </c>
      <c r="D225" s="152">
        <v>70</v>
      </c>
      <c r="E225" s="152" t="s">
        <v>12</v>
      </c>
      <c r="F225" s="153">
        <v>1000000</v>
      </c>
      <c r="G225" s="153">
        <f>ROUNDDOWN(D225*F225,-3)</f>
        <v>70000000</v>
      </c>
      <c r="H225" s="210" t="b">
        <f t="shared" si="4"/>
        <v>1</v>
      </c>
    </row>
    <row r="226" spans="1:8" ht="13.8" x14ac:dyDescent="0.25">
      <c r="A226" s="7" t="s">
        <v>1501</v>
      </c>
      <c r="B226" s="60">
        <v>524111</v>
      </c>
      <c r="C226" s="41" t="s">
        <v>19</v>
      </c>
      <c r="D226" s="60"/>
      <c r="E226" s="60"/>
      <c r="F226" s="42"/>
      <c r="G226" s="42">
        <f>G227</f>
        <v>246000000</v>
      </c>
      <c r="H226" s="210" t="b">
        <f t="shared" si="4"/>
        <v>1</v>
      </c>
    </row>
    <row r="227" spans="1:8" ht="13.8" x14ac:dyDescent="0.25">
      <c r="A227" s="7" t="s">
        <v>1502</v>
      </c>
      <c r="B227" s="152"/>
      <c r="C227" s="151" t="s">
        <v>3911</v>
      </c>
      <c r="D227" s="152">
        <v>39</v>
      </c>
      <c r="E227" s="152" t="s">
        <v>10</v>
      </c>
      <c r="F227" s="153">
        <v>6307694</v>
      </c>
      <c r="G227" s="153">
        <f>ROUNDDOWN(D227*F227,-3)</f>
        <v>246000000</v>
      </c>
      <c r="H227" s="210" t="b">
        <f t="shared" si="4"/>
        <v>1</v>
      </c>
    </row>
    <row r="228" spans="1:8" ht="26.4" x14ac:dyDescent="0.25">
      <c r="A228" s="7" t="s">
        <v>1504</v>
      </c>
      <c r="B228" s="59" t="s">
        <v>580</v>
      </c>
      <c r="C228" s="38" t="s">
        <v>1505</v>
      </c>
      <c r="D228" s="59"/>
      <c r="E228" s="59"/>
      <c r="F228" s="39"/>
      <c r="G228" s="39">
        <f>SUM(G229,G239,G242,G246)</f>
        <v>668000000</v>
      </c>
      <c r="H228" s="210" t="b">
        <f t="shared" si="4"/>
        <v>1</v>
      </c>
    </row>
    <row r="229" spans="1:8" ht="13.8" x14ac:dyDescent="0.25">
      <c r="A229" s="7" t="s">
        <v>1506</v>
      </c>
      <c r="B229" s="60">
        <v>521211</v>
      </c>
      <c r="C229" s="41" t="s">
        <v>7</v>
      </c>
      <c r="D229" s="60"/>
      <c r="E229" s="60"/>
      <c r="F229" s="42"/>
      <c r="G229" s="42">
        <f>SUM(G230:G238)</f>
        <v>84800000</v>
      </c>
      <c r="H229" s="210" t="b">
        <f t="shared" si="4"/>
        <v>1</v>
      </c>
    </row>
    <row r="230" spans="1:8" ht="13.8" x14ac:dyDescent="0.25">
      <c r="A230" s="7" t="s">
        <v>1507</v>
      </c>
      <c r="B230" s="152"/>
      <c r="C230" s="151" t="s">
        <v>3713</v>
      </c>
      <c r="D230" s="152">
        <v>50</v>
      </c>
      <c r="E230" s="152" t="s">
        <v>10</v>
      </c>
      <c r="F230" s="153">
        <v>75000</v>
      </c>
      <c r="G230" s="153">
        <f t="shared" ref="G230:G238" si="5">ROUNDDOWN(D230*F230,-3)</f>
        <v>3750000</v>
      </c>
      <c r="H230" s="210" t="b">
        <f t="shared" si="4"/>
        <v>1</v>
      </c>
    </row>
    <row r="231" spans="1:8" ht="13.8" x14ac:dyDescent="0.25">
      <c r="A231" s="7" t="s">
        <v>1508</v>
      </c>
      <c r="B231" s="152"/>
      <c r="C231" s="151" t="s">
        <v>3714</v>
      </c>
      <c r="D231" s="152">
        <v>2</v>
      </c>
      <c r="E231" s="152" t="s">
        <v>9</v>
      </c>
      <c r="F231" s="153">
        <v>1000000</v>
      </c>
      <c r="G231" s="153">
        <f t="shared" si="5"/>
        <v>2000000</v>
      </c>
      <c r="H231" s="210" t="b">
        <f t="shared" si="4"/>
        <v>1</v>
      </c>
    </row>
    <row r="232" spans="1:8" ht="13.8" x14ac:dyDescent="0.25">
      <c r="A232" s="7" t="s">
        <v>1509</v>
      </c>
      <c r="B232" s="152"/>
      <c r="C232" s="151" t="s">
        <v>3600</v>
      </c>
      <c r="D232" s="152">
        <v>2</v>
      </c>
      <c r="E232" s="152" t="s">
        <v>9</v>
      </c>
      <c r="F232" s="153">
        <v>1000000</v>
      </c>
      <c r="G232" s="153">
        <f t="shared" si="5"/>
        <v>2000000</v>
      </c>
      <c r="H232" s="210" t="b">
        <f t="shared" si="4"/>
        <v>1</v>
      </c>
    </row>
    <row r="233" spans="1:8" ht="13.8" x14ac:dyDescent="0.25">
      <c r="A233" s="7" t="s">
        <v>1510</v>
      </c>
      <c r="B233" s="152"/>
      <c r="C233" s="151" t="s">
        <v>3601</v>
      </c>
      <c r="D233" s="152">
        <v>2</v>
      </c>
      <c r="E233" s="152" t="s">
        <v>9</v>
      </c>
      <c r="F233" s="153">
        <v>1500000</v>
      </c>
      <c r="G233" s="153">
        <f t="shared" si="5"/>
        <v>3000000</v>
      </c>
      <c r="H233" s="210" t="b">
        <f t="shared" si="4"/>
        <v>1</v>
      </c>
    </row>
    <row r="234" spans="1:8" ht="13.8" x14ac:dyDescent="0.25">
      <c r="A234" s="7" t="s">
        <v>1511</v>
      </c>
      <c r="B234" s="152"/>
      <c r="C234" s="151" t="s">
        <v>3912</v>
      </c>
      <c r="D234" s="152">
        <v>20</v>
      </c>
      <c r="E234" s="152" t="s">
        <v>58</v>
      </c>
      <c r="F234" s="153">
        <v>450000</v>
      </c>
      <c r="G234" s="153">
        <f t="shared" si="5"/>
        <v>9000000</v>
      </c>
      <c r="H234" s="210" t="b">
        <f t="shared" si="4"/>
        <v>1</v>
      </c>
    </row>
    <row r="235" spans="1:8" ht="13.8" x14ac:dyDescent="0.25">
      <c r="A235" s="7" t="s">
        <v>1513</v>
      </c>
      <c r="B235" s="152"/>
      <c r="C235" s="151" t="s">
        <v>3913</v>
      </c>
      <c r="D235" s="152">
        <v>20</v>
      </c>
      <c r="E235" s="152" t="s">
        <v>58</v>
      </c>
      <c r="F235" s="153">
        <v>450000</v>
      </c>
      <c r="G235" s="153">
        <f t="shared" si="5"/>
        <v>9000000</v>
      </c>
      <c r="H235" s="210" t="b">
        <f t="shared" si="4"/>
        <v>1</v>
      </c>
    </row>
    <row r="236" spans="1:8" ht="13.8" x14ac:dyDescent="0.25">
      <c r="A236" s="7" t="s">
        <v>1515</v>
      </c>
      <c r="B236" s="152"/>
      <c r="C236" s="151" t="s">
        <v>3914</v>
      </c>
      <c r="D236" s="152">
        <v>1</v>
      </c>
      <c r="E236" s="152" t="s">
        <v>23</v>
      </c>
      <c r="F236" s="153">
        <v>27575000</v>
      </c>
      <c r="G236" s="153">
        <f t="shared" si="5"/>
        <v>27575000</v>
      </c>
      <c r="H236" s="210" t="b">
        <f t="shared" si="4"/>
        <v>1</v>
      </c>
    </row>
    <row r="237" spans="1:8" ht="13.8" x14ac:dyDescent="0.25">
      <c r="A237" s="7" t="s">
        <v>1517</v>
      </c>
      <c r="B237" s="152"/>
      <c r="C237" s="151" t="s">
        <v>3915</v>
      </c>
      <c r="D237" s="152">
        <v>1</v>
      </c>
      <c r="E237" s="152" t="s">
        <v>23</v>
      </c>
      <c r="F237" s="153">
        <v>27575000</v>
      </c>
      <c r="G237" s="153">
        <f t="shared" si="5"/>
        <v>27575000</v>
      </c>
      <c r="H237" s="210" t="b">
        <f t="shared" si="4"/>
        <v>1</v>
      </c>
    </row>
    <row r="238" spans="1:8" ht="13.8" x14ac:dyDescent="0.25">
      <c r="A238" s="7" t="s">
        <v>1519</v>
      </c>
      <c r="B238" s="152"/>
      <c r="C238" s="151" t="s">
        <v>3916</v>
      </c>
      <c r="D238" s="152">
        <v>3</v>
      </c>
      <c r="E238" s="152" t="s">
        <v>58</v>
      </c>
      <c r="F238" s="153">
        <v>300000</v>
      </c>
      <c r="G238" s="153">
        <f t="shared" si="5"/>
        <v>900000</v>
      </c>
      <c r="H238" s="210" t="b">
        <f t="shared" si="4"/>
        <v>1</v>
      </c>
    </row>
    <row r="239" spans="1:8" ht="13.8" x14ac:dyDescent="0.25">
      <c r="A239" s="7" t="s">
        <v>1521</v>
      </c>
      <c r="B239" s="60">
        <v>521219</v>
      </c>
      <c r="C239" s="41" t="s">
        <v>53</v>
      </c>
      <c r="D239" s="60"/>
      <c r="E239" s="60"/>
      <c r="F239" s="42"/>
      <c r="G239" s="42">
        <f>SUM(G240:G241)</f>
        <v>393200000</v>
      </c>
      <c r="H239" s="210" t="b">
        <f t="shared" si="4"/>
        <v>1</v>
      </c>
    </row>
    <row r="240" spans="1:8" ht="13.8" x14ac:dyDescent="0.25">
      <c r="A240" s="7" t="s">
        <v>1522</v>
      </c>
      <c r="B240" s="152"/>
      <c r="C240" s="151" t="s">
        <v>3917</v>
      </c>
      <c r="D240" s="152">
        <v>1</v>
      </c>
      <c r="E240" s="152" t="s">
        <v>66</v>
      </c>
      <c r="F240" s="153">
        <v>196600000</v>
      </c>
      <c r="G240" s="153">
        <f>ROUNDDOWN(D240*F240,-3)</f>
        <v>196600000</v>
      </c>
      <c r="H240" s="210" t="b">
        <f t="shared" si="4"/>
        <v>1</v>
      </c>
    </row>
    <row r="241" spans="1:8" ht="13.8" x14ac:dyDescent="0.25">
      <c r="A241" s="7" t="s">
        <v>1524</v>
      </c>
      <c r="B241" s="152"/>
      <c r="C241" s="151" t="s">
        <v>3918</v>
      </c>
      <c r="D241" s="152">
        <v>1</v>
      </c>
      <c r="E241" s="152" t="s">
        <v>66</v>
      </c>
      <c r="F241" s="153">
        <v>196600000</v>
      </c>
      <c r="G241" s="153">
        <f>ROUNDDOWN(D241*F241,-3)</f>
        <v>196600000</v>
      </c>
      <c r="H241" s="210" t="b">
        <f t="shared" si="4"/>
        <v>1</v>
      </c>
    </row>
    <row r="242" spans="1:8" ht="13.8" x14ac:dyDescent="0.25">
      <c r="A242" s="7" t="s">
        <v>1526</v>
      </c>
      <c r="B242" s="60">
        <v>522141</v>
      </c>
      <c r="C242" s="41" t="s">
        <v>95</v>
      </c>
      <c r="D242" s="60"/>
      <c r="E242" s="60"/>
      <c r="F242" s="42"/>
      <c r="G242" s="42">
        <f>SUM(G243:G245)</f>
        <v>160000000</v>
      </c>
      <c r="H242" s="210" t="b">
        <f t="shared" si="4"/>
        <v>1</v>
      </c>
    </row>
    <row r="243" spans="1:8" ht="13.8" x14ac:dyDescent="0.25">
      <c r="A243" s="7" t="s">
        <v>1527</v>
      </c>
      <c r="B243" s="152"/>
      <c r="C243" s="151" t="s">
        <v>3919</v>
      </c>
      <c r="D243" s="152">
        <v>2</v>
      </c>
      <c r="E243" s="152" t="s">
        <v>23</v>
      </c>
      <c r="F243" s="153">
        <v>50000000</v>
      </c>
      <c r="G243" s="153">
        <f>ROUNDDOWN(D243*F243,-3)</f>
        <v>100000000</v>
      </c>
      <c r="H243" s="210" t="b">
        <f t="shared" si="4"/>
        <v>1</v>
      </c>
    </row>
    <row r="244" spans="1:8" ht="13.8" x14ac:dyDescent="0.25">
      <c r="A244" s="7" t="s">
        <v>1529</v>
      </c>
      <c r="B244" s="152"/>
      <c r="C244" s="151" t="s">
        <v>3920</v>
      </c>
      <c r="D244" s="152">
        <v>2</v>
      </c>
      <c r="E244" s="152" t="s">
        <v>23</v>
      </c>
      <c r="F244" s="153">
        <v>10000000</v>
      </c>
      <c r="G244" s="153">
        <f>ROUNDDOWN(D244*F244,-3)</f>
        <v>20000000</v>
      </c>
      <c r="H244" s="210" t="b">
        <f t="shared" si="4"/>
        <v>1</v>
      </c>
    </row>
    <row r="245" spans="1:8" ht="13.8" x14ac:dyDescent="0.25">
      <c r="A245" s="7" t="s">
        <v>1531</v>
      </c>
      <c r="B245" s="152"/>
      <c r="C245" s="151" t="s">
        <v>3921</v>
      </c>
      <c r="D245" s="152">
        <v>4</v>
      </c>
      <c r="E245" s="152" t="s">
        <v>23</v>
      </c>
      <c r="F245" s="153">
        <v>10000000</v>
      </c>
      <c r="G245" s="153">
        <f>ROUNDDOWN(D245*F245,-3)</f>
        <v>40000000</v>
      </c>
      <c r="H245" s="210" t="b">
        <f t="shared" si="4"/>
        <v>1</v>
      </c>
    </row>
    <row r="246" spans="1:8" ht="13.8" x14ac:dyDescent="0.25">
      <c r="A246" s="7" t="s">
        <v>1533</v>
      </c>
      <c r="B246" s="60">
        <v>524111</v>
      </c>
      <c r="C246" s="41" t="s">
        <v>19</v>
      </c>
      <c r="D246" s="60"/>
      <c r="E246" s="60"/>
      <c r="F246" s="42"/>
      <c r="G246" s="42">
        <f>G247</f>
        <v>30000000</v>
      </c>
      <c r="H246" s="210" t="b">
        <f t="shared" si="4"/>
        <v>1</v>
      </c>
    </row>
    <row r="247" spans="1:8" ht="26.4" x14ac:dyDescent="0.25">
      <c r="A247" s="7" t="s">
        <v>1534</v>
      </c>
      <c r="B247" s="152"/>
      <c r="C247" s="151" t="s">
        <v>3922</v>
      </c>
      <c r="D247" s="152">
        <v>12</v>
      </c>
      <c r="E247" s="152" t="s">
        <v>10</v>
      </c>
      <c r="F247" s="153">
        <v>2500000</v>
      </c>
      <c r="G247" s="153">
        <f>ROUNDDOWN(D247*F247,-3)</f>
        <v>30000000</v>
      </c>
      <c r="H247" s="210" t="b">
        <f t="shared" si="4"/>
        <v>1</v>
      </c>
    </row>
    <row r="248" spans="1:8" ht="26.4" x14ac:dyDescent="0.25">
      <c r="A248" s="7" t="s">
        <v>1536</v>
      </c>
      <c r="B248" s="59" t="s">
        <v>581</v>
      </c>
      <c r="C248" s="38" t="s">
        <v>1537</v>
      </c>
      <c r="D248" s="59"/>
      <c r="E248" s="59"/>
      <c r="F248" s="39"/>
      <c r="G248" s="39">
        <f>SUM(G249,G257,G259,G261)</f>
        <v>82000000</v>
      </c>
      <c r="H248" s="210" t="b">
        <f t="shared" si="4"/>
        <v>1</v>
      </c>
    </row>
    <row r="249" spans="1:8" ht="13.8" x14ac:dyDescent="0.25">
      <c r="A249" s="7" t="s">
        <v>1538</v>
      </c>
      <c r="B249" s="60">
        <v>521211</v>
      </c>
      <c r="C249" s="41" t="s">
        <v>7</v>
      </c>
      <c r="D249" s="60"/>
      <c r="E249" s="60"/>
      <c r="F249" s="42"/>
      <c r="G249" s="42">
        <f>SUM(G250:G256)</f>
        <v>17550000</v>
      </c>
      <c r="H249" s="210" t="b">
        <f t="shared" si="4"/>
        <v>1</v>
      </c>
    </row>
    <row r="250" spans="1:8" ht="13.8" x14ac:dyDescent="0.25">
      <c r="A250" s="7" t="s">
        <v>1539</v>
      </c>
      <c r="B250" s="152"/>
      <c r="C250" s="151" t="s">
        <v>3713</v>
      </c>
      <c r="D250" s="152">
        <v>20</v>
      </c>
      <c r="E250" s="152" t="s">
        <v>10</v>
      </c>
      <c r="F250" s="153">
        <v>75000</v>
      </c>
      <c r="G250" s="153">
        <f t="shared" ref="G250:G256" si="6">ROUNDDOWN(D250*F250,-3)</f>
        <v>1500000</v>
      </c>
      <c r="H250" s="210" t="b">
        <f t="shared" si="4"/>
        <v>1</v>
      </c>
    </row>
    <row r="251" spans="1:8" ht="13.8" x14ac:dyDescent="0.25">
      <c r="A251" s="7" t="s">
        <v>1540</v>
      </c>
      <c r="B251" s="152"/>
      <c r="C251" s="151" t="s">
        <v>3714</v>
      </c>
      <c r="D251" s="152">
        <v>2</v>
      </c>
      <c r="E251" s="152" t="s">
        <v>9</v>
      </c>
      <c r="F251" s="153">
        <v>1000000</v>
      </c>
      <c r="G251" s="153">
        <f t="shared" si="6"/>
        <v>2000000</v>
      </c>
      <c r="H251" s="210" t="b">
        <f t="shared" si="4"/>
        <v>1</v>
      </c>
    </row>
    <row r="252" spans="1:8" ht="13.8" x14ac:dyDescent="0.25">
      <c r="A252" s="7" t="s">
        <v>1541</v>
      </c>
      <c r="B252" s="152"/>
      <c r="C252" s="151" t="s">
        <v>3600</v>
      </c>
      <c r="D252" s="152">
        <v>2</v>
      </c>
      <c r="E252" s="152" t="s">
        <v>9</v>
      </c>
      <c r="F252" s="153">
        <v>1000000</v>
      </c>
      <c r="G252" s="153">
        <f t="shared" si="6"/>
        <v>2000000</v>
      </c>
      <c r="H252" s="210" t="b">
        <f t="shared" si="4"/>
        <v>1</v>
      </c>
    </row>
    <row r="253" spans="1:8" ht="13.8" x14ac:dyDescent="0.25">
      <c r="A253" s="7" t="s">
        <v>1542</v>
      </c>
      <c r="B253" s="152"/>
      <c r="C253" s="151" t="s">
        <v>3601</v>
      </c>
      <c r="D253" s="152">
        <v>2</v>
      </c>
      <c r="E253" s="152" t="s">
        <v>9</v>
      </c>
      <c r="F253" s="153">
        <v>1500000</v>
      </c>
      <c r="G253" s="153">
        <f t="shared" si="6"/>
        <v>3000000</v>
      </c>
      <c r="H253" s="210" t="b">
        <f t="shared" si="4"/>
        <v>1</v>
      </c>
    </row>
    <row r="254" spans="1:8" ht="13.8" x14ac:dyDescent="0.25">
      <c r="A254" s="7" t="s">
        <v>1543</v>
      </c>
      <c r="B254" s="152"/>
      <c r="C254" s="151" t="s">
        <v>3923</v>
      </c>
      <c r="D254" s="152">
        <v>10</v>
      </c>
      <c r="E254" s="152" t="s">
        <v>58</v>
      </c>
      <c r="F254" s="153">
        <v>250000</v>
      </c>
      <c r="G254" s="153">
        <f t="shared" si="6"/>
        <v>2500000</v>
      </c>
      <c r="H254" s="210" t="b">
        <f t="shared" si="4"/>
        <v>1</v>
      </c>
    </row>
    <row r="255" spans="1:8" ht="13.8" x14ac:dyDescent="0.25">
      <c r="A255" s="7" t="s">
        <v>1545</v>
      </c>
      <c r="B255" s="152"/>
      <c r="C255" s="151" t="s">
        <v>3924</v>
      </c>
      <c r="D255" s="152">
        <v>500</v>
      </c>
      <c r="E255" s="152" t="s">
        <v>58</v>
      </c>
      <c r="F255" s="153">
        <v>6000</v>
      </c>
      <c r="G255" s="153">
        <f t="shared" si="6"/>
        <v>3000000</v>
      </c>
      <c r="H255" s="210" t="b">
        <f t="shared" si="4"/>
        <v>1</v>
      </c>
    </row>
    <row r="256" spans="1:8" ht="13.8" x14ac:dyDescent="0.25">
      <c r="A256" s="7" t="s">
        <v>1547</v>
      </c>
      <c r="B256" s="152"/>
      <c r="C256" s="151" t="s">
        <v>3925</v>
      </c>
      <c r="D256" s="152">
        <v>100</v>
      </c>
      <c r="E256" s="152" t="s">
        <v>58</v>
      </c>
      <c r="F256" s="153">
        <v>35500</v>
      </c>
      <c r="G256" s="153">
        <f t="shared" si="6"/>
        <v>3550000</v>
      </c>
      <c r="H256" s="210" t="b">
        <f t="shared" si="4"/>
        <v>1</v>
      </c>
    </row>
    <row r="257" spans="1:8" ht="13.8" x14ac:dyDescent="0.25">
      <c r="A257" s="7" t="s">
        <v>1549</v>
      </c>
      <c r="B257" s="60">
        <v>521219</v>
      </c>
      <c r="C257" s="41" t="s">
        <v>53</v>
      </c>
      <c r="D257" s="60"/>
      <c r="E257" s="60"/>
      <c r="F257" s="42"/>
      <c r="G257" s="42">
        <f>G258</f>
        <v>3000000</v>
      </c>
      <c r="H257" s="210" t="b">
        <f t="shared" si="4"/>
        <v>1</v>
      </c>
    </row>
    <row r="258" spans="1:8" ht="13.8" x14ac:dyDescent="0.25">
      <c r="A258" s="7" t="s">
        <v>1550</v>
      </c>
      <c r="B258" s="152"/>
      <c r="C258" s="151" t="s">
        <v>3722</v>
      </c>
      <c r="D258" s="152">
        <v>12</v>
      </c>
      <c r="E258" s="152" t="s">
        <v>66</v>
      </c>
      <c r="F258" s="153">
        <v>250000</v>
      </c>
      <c r="G258" s="153">
        <f>ROUNDDOWN(D258*F258,-3)</f>
        <v>3000000</v>
      </c>
      <c r="H258" s="210" t="b">
        <f t="shared" si="4"/>
        <v>1</v>
      </c>
    </row>
    <row r="259" spans="1:8" ht="13.8" x14ac:dyDescent="0.25">
      <c r="A259" s="7" t="s">
        <v>1551</v>
      </c>
      <c r="B259" s="60">
        <v>522151</v>
      </c>
      <c r="C259" s="41" t="s">
        <v>11</v>
      </c>
      <c r="D259" s="60"/>
      <c r="E259" s="60"/>
      <c r="F259" s="42"/>
      <c r="G259" s="42">
        <f>G260</f>
        <v>40000000</v>
      </c>
      <c r="H259" s="210" t="b">
        <f t="shared" si="4"/>
        <v>1</v>
      </c>
    </row>
    <row r="260" spans="1:8" ht="13.8" x14ac:dyDescent="0.25">
      <c r="A260" s="7" t="s">
        <v>1552</v>
      </c>
      <c r="B260" s="152"/>
      <c r="C260" s="151" t="s">
        <v>3910</v>
      </c>
      <c r="D260" s="152">
        <v>40</v>
      </c>
      <c r="E260" s="152" t="s">
        <v>54</v>
      </c>
      <c r="F260" s="153">
        <v>1000000</v>
      </c>
      <c r="G260" s="153">
        <f>ROUNDDOWN(D260*F260,-3)</f>
        <v>40000000</v>
      </c>
      <c r="H260" s="210" t="b">
        <f t="shared" si="4"/>
        <v>1</v>
      </c>
    </row>
    <row r="261" spans="1:8" ht="13.8" x14ac:dyDescent="0.25">
      <c r="A261" s="7" t="s">
        <v>1553</v>
      </c>
      <c r="B261" s="60">
        <v>524111</v>
      </c>
      <c r="C261" s="41" t="s">
        <v>19</v>
      </c>
      <c r="D261" s="60"/>
      <c r="E261" s="60"/>
      <c r="F261" s="42"/>
      <c r="G261" s="42">
        <f>G262</f>
        <v>21450000</v>
      </c>
      <c r="H261" s="210" t="b">
        <f t="shared" si="4"/>
        <v>1</v>
      </c>
    </row>
    <row r="262" spans="1:8" ht="26.4" x14ac:dyDescent="0.25">
      <c r="A262" s="7" t="s">
        <v>1554</v>
      </c>
      <c r="B262" s="152"/>
      <c r="C262" s="151" t="s">
        <v>3926</v>
      </c>
      <c r="D262" s="152">
        <v>10</v>
      </c>
      <c r="E262" s="152" t="s">
        <v>10</v>
      </c>
      <c r="F262" s="153">
        <v>2145000</v>
      </c>
      <c r="G262" s="153">
        <f>ROUNDDOWN(D262*F262,-3)</f>
        <v>21450000</v>
      </c>
      <c r="H262" s="210" t="b">
        <f t="shared" si="4"/>
        <v>1</v>
      </c>
    </row>
    <row r="263" spans="1:8" ht="13.8" x14ac:dyDescent="0.25">
      <c r="A263" s="7" t="s">
        <v>1699</v>
      </c>
      <c r="B263" s="138" t="s">
        <v>3986</v>
      </c>
      <c r="C263" s="137" t="s">
        <v>1701</v>
      </c>
      <c r="D263" s="138">
        <v>1</v>
      </c>
      <c r="E263" s="138" t="s">
        <v>3740</v>
      </c>
      <c r="F263" s="139"/>
      <c r="G263" s="139">
        <f>SUM(G264,G307)</f>
        <v>8674654000</v>
      </c>
      <c r="H263" s="210" t="b">
        <f t="shared" si="4"/>
        <v>1</v>
      </c>
    </row>
    <row r="264" spans="1:8" ht="13.8" x14ac:dyDescent="0.25">
      <c r="A264" s="7" t="s">
        <v>1702</v>
      </c>
      <c r="B264" s="58" t="s">
        <v>501</v>
      </c>
      <c r="C264" s="35" t="s">
        <v>76</v>
      </c>
      <c r="D264" s="58"/>
      <c r="E264" s="58"/>
      <c r="F264" s="36"/>
      <c r="G264" s="36">
        <f>SUM(G265,G304)</f>
        <v>6478996000</v>
      </c>
      <c r="H264" s="210" t="b">
        <f t="shared" si="4"/>
        <v>1</v>
      </c>
    </row>
    <row r="265" spans="1:8" ht="13.8" x14ac:dyDescent="0.25">
      <c r="A265" s="7" t="s">
        <v>1806</v>
      </c>
      <c r="B265" s="59" t="s">
        <v>1807</v>
      </c>
      <c r="C265" s="38" t="s">
        <v>1808</v>
      </c>
      <c r="D265" s="59"/>
      <c r="E265" s="59"/>
      <c r="F265" s="39"/>
      <c r="G265" s="39">
        <f>SUM(G266,G270,G274,G278,G282,G286,G290,G294,G296,G298,G302)</f>
        <v>6155047000</v>
      </c>
      <c r="H265" s="210" t="b">
        <f t="shared" si="4"/>
        <v>1</v>
      </c>
    </row>
    <row r="266" spans="1:8" ht="13.8" x14ac:dyDescent="0.25">
      <c r="A266" s="7" t="s">
        <v>1809</v>
      </c>
      <c r="B266" s="60">
        <v>511111</v>
      </c>
      <c r="C266" s="41" t="s">
        <v>77</v>
      </c>
      <c r="D266" s="60"/>
      <c r="E266" s="60"/>
      <c r="F266" s="42"/>
      <c r="G266" s="42">
        <f>SUM(G267:G269)</f>
        <v>2483477000</v>
      </c>
      <c r="H266" s="210" t="b">
        <f t="shared" si="4"/>
        <v>1</v>
      </c>
    </row>
    <row r="267" spans="1:8" ht="13.8" x14ac:dyDescent="0.25">
      <c r="A267" s="7" t="s">
        <v>1810</v>
      </c>
      <c r="B267" s="152"/>
      <c r="C267" s="151" t="s">
        <v>3987</v>
      </c>
      <c r="D267" s="152">
        <v>1</v>
      </c>
      <c r="E267" s="152" t="s">
        <v>97</v>
      </c>
      <c r="F267" s="153">
        <v>180000000</v>
      </c>
      <c r="G267" s="153">
        <f>ROUNDDOWN(D267*F267,-3)</f>
        <v>180000000</v>
      </c>
      <c r="H267" s="210" t="b">
        <f t="shared" si="4"/>
        <v>1</v>
      </c>
    </row>
    <row r="268" spans="1:8" ht="13.8" x14ac:dyDescent="0.25">
      <c r="A268" s="7" t="s">
        <v>1811</v>
      </c>
      <c r="B268" s="152"/>
      <c r="C268" s="151" t="s">
        <v>3988</v>
      </c>
      <c r="D268" s="152">
        <v>1</v>
      </c>
      <c r="E268" s="152" t="s">
        <v>60</v>
      </c>
      <c r="F268" s="153">
        <v>2123477000</v>
      </c>
      <c r="G268" s="153">
        <f>ROUNDDOWN(D268*F268,-3)</f>
        <v>2123477000</v>
      </c>
      <c r="H268" s="210" t="b">
        <f t="shared" si="4"/>
        <v>1</v>
      </c>
    </row>
    <row r="269" spans="1:8" ht="13.8" x14ac:dyDescent="0.25">
      <c r="A269" s="7" t="s">
        <v>1812</v>
      </c>
      <c r="B269" s="152"/>
      <c r="C269" s="151" t="s">
        <v>3989</v>
      </c>
      <c r="D269" s="152">
        <v>1</v>
      </c>
      <c r="E269" s="152" t="s">
        <v>97</v>
      </c>
      <c r="F269" s="153">
        <v>180000000</v>
      </c>
      <c r="G269" s="153">
        <f>ROUNDDOWN(D269*F269,-3)</f>
        <v>180000000</v>
      </c>
      <c r="H269" s="210" t="b">
        <f t="shared" ref="H269:H332" si="7">_xlfn.ISFORMULA(G269)</f>
        <v>1</v>
      </c>
    </row>
    <row r="270" spans="1:8" ht="13.8" x14ac:dyDescent="0.25">
      <c r="A270" s="7" t="s">
        <v>1813</v>
      </c>
      <c r="B270" s="60">
        <v>511119</v>
      </c>
      <c r="C270" s="41" t="s">
        <v>79</v>
      </c>
      <c r="D270" s="60"/>
      <c r="E270" s="60"/>
      <c r="F270" s="42"/>
      <c r="G270" s="42">
        <f>SUM(G271:G273)</f>
        <v>38000</v>
      </c>
      <c r="H270" s="210" t="b">
        <f t="shared" si="7"/>
        <v>1</v>
      </c>
    </row>
    <row r="271" spans="1:8" ht="13.8" x14ac:dyDescent="0.25">
      <c r="A271" s="7" t="s">
        <v>1814</v>
      </c>
      <c r="B271" s="152"/>
      <c r="C271" s="151" t="s">
        <v>3990</v>
      </c>
      <c r="D271" s="152">
        <v>1</v>
      </c>
      <c r="E271" s="152" t="s">
        <v>97</v>
      </c>
      <c r="F271" s="153">
        <v>3000</v>
      </c>
      <c r="G271" s="153">
        <f>ROUNDDOWN(D271*F271,-3)</f>
        <v>3000</v>
      </c>
      <c r="H271" s="210" t="b">
        <f t="shared" si="7"/>
        <v>1</v>
      </c>
    </row>
    <row r="272" spans="1:8" ht="13.8" x14ac:dyDescent="0.25">
      <c r="A272" s="7" t="s">
        <v>1815</v>
      </c>
      <c r="B272" s="152"/>
      <c r="C272" s="151" t="s">
        <v>3991</v>
      </c>
      <c r="D272" s="152">
        <v>1</v>
      </c>
      <c r="E272" s="152" t="s">
        <v>153</v>
      </c>
      <c r="F272" s="153">
        <v>32000</v>
      </c>
      <c r="G272" s="153">
        <f>ROUNDDOWN(D272*F272,-3)</f>
        <v>32000</v>
      </c>
      <c r="H272" s="210" t="b">
        <f t="shared" si="7"/>
        <v>1</v>
      </c>
    </row>
    <row r="273" spans="1:8" ht="13.8" x14ac:dyDescent="0.25">
      <c r="A273" s="7" t="s">
        <v>1816</v>
      </c>
      <c r="B273" s="152"/>
      <c r="C273" s="151" t="s">
        <v>3992</v>
      </c>
      <c r="D273" s="152">
        <v>1</v>
      </c>
      <c r="E273" s="152" t="s">
        <v>97</v>
      </c>
      <c r="F273" s="153">
        <v>3000</v>
      </c>
      <c r="G273" s="153">
        <f>ROUNDDOWN(D273*F273,-3)</f>
        <v>3000</v>
      </c>
      <c r="H273" s="210" t="b">
        <f t="shared" si="7"/>
        <v>1</v>
      </c>
    </row>
    <row r="274" spans="1:8" ht="13.8" x14ac:dyDescent="0.25">
      <c r="A274" s="7" t="s">
        <v>1817</v>
      </c>
      <c r="B274" s="60">
        <v>511121</v>
      </c>
      <c r="C274" s="41" t="s">
        <v>80</v>
      </c>
      <c r="D274" s="60"/>
      <c r="E274" s="60"/>
      <c r="F274" s="42"/>
      <c r="G274" s="42">
        <f>SUM(G275:G277)</f>
        <v>171959000</v>
      </c>
      <c r="H274" s="210" t="b">
        <f t="shared" si="7"/>
        <v>1</v>
      </c>
    </row>
    <row r="275" spans="1:8" ht="13.8" x14ac:dyDescent="0.25">
      <c r="A275" s="7" t="s">
        <v>1818</v>
      </c>
      <c r="B275" s="152"/>
      <c r="C275" s="151" t="s">
        <v>3993</v>
      </c>
      <c r="D275" s="152">
        <v>1</v>
      </c>
      <c r="E275" s="152" t="s">
        <v>153</v>
      </c>
      <c r="F275" s="153">
        <v>147267000</v>
      </c>
      <c r="G275" s="153">
        <f>ROUNDDOWN(D275*F275,-3)</f>
        <v>147267000</v>
      </c>
      <c r="H275" s="210" t="b">
        <f t="shared" si="7"/>
        <v>1</v>
      </c>
    </row>
    <row r="276" spans="1:8" ht="13.8" x14ac:dyDescent="0.25">
      <c r="A276" s="7" t="s">
        <v>1819</v>
      </c>
      <c r="B276" s="152"/>
      <c r="C276" s="151" t="s">
        <v>3994</v>
      </c>
      <c r="D276" s="152">
        <v>1</v>
      </c>
      <c r="E276" s="152" t="s">
        <v>97</v>
      </c>
      <c r="F276" s="153">
        <v>12494000</v>
      </c>
      <c r="G276" s="153">
        <f>ROUNDDOWN(D276*F276,-3)</f>
        <v>12494000</v>
      </c>
      <c r="H276" s="210" t="b">
        <f t="shared" si="7"/>
        <v>1</v>
      </c>
    </row>
    <row r="277" spans="1:8" ht="13.8" x14ac:dyDescent="0.25">
      <c r="A277" s="7" t="s">
        <v>1820</v>
      </c>
      <c r="B277" s="152"/>
      <c r="C277" s="151" t="s">
        <v>3995</v>
      </c>
      <c r="D277" s="152">
        <v>1</v>
      </c>
      <c r="E277" s="152" t="s">
        <v>97</v>
      </c>
      <c r="F277" s="153">
        <v>12198000</v>
      </c>
      <c r="G277" s="153">
        <f>ROUNDDOWN(D277*F277,-3)</f>
        <v>12198000</v>
      </c>
      <c r="H277" s="210" t="b">
        <f t="shared" si="7"/>
        <v>1</v>
      </c>
    </row>
    <row r="278" spans="1:8" ht="13.8" x14ac:dyDescent="0.25">
      <c r="A278" s="7" t="s">
        <v>1821</v>
      </c>
      <c r="B278" s="60">
        <v>511122</v>
      </c>
      <c r="C278" s="41" t="s">
        <v>81</v>
      </c>
      <c r="D278" s="60"/>
      <c r="E278" s="60"/>
      <c r="F278" s="42"/>
      <c r="G278" s="42">
        <f>SUM(G279:G281)</f>
        <v>46700000</v>
      </c>
      <c r="H278" s="210" t="b">
        <f t="shared" si="7"/>
        <v>1</v>
      </c>
    </row>
    <row r="279" spans="1:8" ht="13.8" x14ac:dyDescent="0.25">
      <c r="A279" s="7" t="s">
        <v>1822</v>
      </c>
      <c r="B279" s="152"/>
      <c r="C279" s="151" t="s">
        <v>3996</v>
      </c>
      <c r="D279" s="152">
        <v>1</v>
      </c>
      <c r="E279" s="152" t="s">
        <v>97</v>
      </c>
      <c r="F279" s="153">
        <v>3282000</v>
      </c>
      <c r="G279" s="153">
        <f>ROUNDDOWN(D279*F279,-3)</f>
        <v>3282000</v>
      </c>
      <c r="H279" s="210" t="b">
        <f t="shared" si="7"/>
        <v>1</v>
      </c>
    </row>
    <row r="280" spans="1:8" ht="13.8" x14ac:dyDescent="0.25">
      <c r="A280" s="7" t="s">
        <v>1823</v>
      </c>
      <c r="B280" s="152"/>
      <c r="C280" s="151" t="s">
        <v>3997</v>
      </c>
      <c r="D280" s="152">
        <v>1</v>
      </c>
      <c r="E280" s="152" t="s">
        <v>153</v>
      </c>
      <c r="F280" s="153">
        <v>40080000</v>
      </c>
      <c r="G280" s="153">
        <f>ROUNDDOWN(D280*F280,-3)</f>
        <v>40080000</v>
      </c>
      <c r="H280" s="210" t="b">
        <f t="shared" si="7"/>
        <v>1</v>
      </c>
    </row>
    <row r="281" spans="1:8" ht="13.8" x14ac:dyDescent="0.25">
      <c r="A281" s="7" t="s">
        <v>1824</v>
      </c>
      <c r="B281" s="152"/>
      <c r="C281" s="151" t="s">
        <v>3998</v>
      </c>
      <c r="D281" s="152">
        <v>1</v>
      </c>
      <c r="E281" s="152" t="s">
        <v>97</v>
      </c>
      <c r="F281" s="153">
        <v>3338000</v>
      </c>
      <c r="G281" s="153">
        <f>ROUNDDOWN(D281*F281,-3)</f>
        <v>3338000</v>
      </c>
      <c r="H281" s="210" t="b">
        <f t="shared" si="7"/>
        <v>1</v>
      </c>
    </row>
    <row r="282" spans="1:8" ht="13.8" x14ac:dyDescent="0.25">
      <c r="A282" s="7" t="s">
        <v>1825</v>
      </c>
      <c r="B282" s="60">
        <v>511123</v>
      </c>
      <c r="C282" s="41" t="s">
        <v>82</v>
      </c>
      <c r="D282" s="60"/>
      <c r="E282" s="60"/>
      <c r="F282" s="42"/>
      <c r="G282" s="42">
        <f>SUM(G283:G285)</f>
        <v>158000000</v>
      </c>
      <c r="H282" s="210" t="b">
        <f t="shared" si="7"/>
        <v>1</v>
      </c>
    </row>
    <row r="283" spans="1:8" ht="13.8" x14ac:dyDescent="0.25">
      <c r="A283" s="7" t="s">
        <v>1826</v>
      </c>
      <c r="B283" s="152"/>
      <c r="C283" s="151" t="s">
        <v>3999</v>
      </c>
      <c r="D283" s="152">
        <v>1</v>
      </c>
      <c r="E283" s="152" t="s">
        <v>97</v>
      </c>
      <c r="F283" s="153">
        <v>12070000</v>
      </c>
      <c r="G283" s="153">
        <f>ROUNDDOWN(D283*F283,-3)</f>
        <v>12070000</v>
      </c>
      <c r="H283" s="210" t="b">
        <f t="shared" si="7"/>
        <v>1</v>
      </c>
    </row>
    <row r="284" spans="1:8" ht="13.8" x14ac:dyDescent="0.25">
      <c r="A284" s="7" t="s">
        <v>1827</v>
      </c>
      <c r="B284" s="152"/>
      <c r="C284" s="151" t="s">
        <v>4000</v>
      </c>
      <c r="D284" s="152">
        <v>1</v>
      </c>
      <c r="E284" s="152" t="s">
        <v>60</v>
      </c>
      <c r="F284" s="153">
        <v>133860000</v>
      </c>
      <c r="G284" s="153">
        <f>ROUNDDOWN(D284*F284,-3)</f>
        <v>133860000</v>
      </c>
      <c r="H284" s="210" t="b">
        <f t="shared" si="7"/>
        <v>1</v>
      </c>
    </row>
    <row r="285" spans="1:8" ht="13.8" x14ac:dyDescent="0.25">
      <c r="A285" s="7" t="s">
        <v>1828</v>
      </c>
      <c r="B285" s="152"/>
      <c r="C285" s="151" t="s">
        <v>4001</v>
      </c>
      <c r="D285" s="152">
        <v>1</v>
      </c>
      <c r="E285" s="152" t="s">
        <v>97</v>
      </c>
      <c r="F285" s="153">
        <v>12070000</v>
      </c>
      <c r="G285" s="153">
        <f>ROUNDDOWN(D285*F285,-3)</f>
        <v>12070000</v>
      </c>
      <c r="H285" s="210" t="b">
        <f t="shared" si="7"/>
        <v>1</v>
      </c>
    </row>
    <row r="286" spans="1:8" ht="13.8" x14ac:dyDescent="0.25">
      <c r="A286" s="7" t="s">
        <v>1829</v>
      </c>
      <c r="B286" s="60">
        <v>511124</v>
      </c>
      <c r="C286" s="41" t="s">
        <v>83</v>
      </c>
      <c r="D286" s="60"/>
      <c r="E286" s="60"/>
      <c r="F286" s="42"/>
      <c r="G286" s="42">
        <f>SUM(G287:G289)</f>
        <v>48180000</v>
      </c>
      <c r="H286" s="210" t="b">
        <f t="shared" si="7"/>
        <v>1</v>
      </c>
    </row>
    <row r="287" spans="1:8" ht="13.8" x14ac:dyDescent="0.25">
      <c r="A287" s="7" t="s">
        <v>1830</v>
      </c>
      <c r="B287" s="152"/>
      <c r="C287" s="151" t="s">
        <v>4002</v>
      </c>
      <c r="D287" s="152">
        <v>1</v>
      </c>
      <c r="E287" s="152" t="s">
        <v>97</v>
      </c>
      <c r="F287" s="153">
        <v>2000000</v>
      </c>
      <c r="G287" s="153">
        <f>ROUNDDOWN(D287*F287,-3)</f>
        <v>2000000</v>
      </c>
      <c r="H287" s="210" t="b">
        <f t="shared" si="7"/>
        <v>1</v>
      </c>
    </row>
    <row r="288" spans="1:8" ht="13.8" x14ac:dyDescent="0.25">
      <c r="A288" s="7" t="s">
        <v>1831</v>
      </c>
      <c r="B288" s="152"/>
      <c r="C288" s="151" t="s">
        <v>4003</v>
      </c>
      <c r="D288" s="152">
        <v>1</v>
      </c>
      <c r="E288" s="152" t="s">
        <v>60</v>
      </c>
      <c r="F288" s="153">
        <v>44180000</v>
      </c>
      <c r="G288" s="153">
        <f>ROUNDDOWN(D288*F288,-3)</f>
        <v>44180000</v>
      </c>
      <c r="H288" s="210" t="b">
        <f t="shared" si="7"/>
        <v>1</v>
      </c>
    </row>
    <row r="289" spans="1:8" ht="13.8" x14ac:dyDescent="0.25">
      <c r="A289" s="7" t="s">
        <v>1832</v>
      </c>
      <c r="B289" s="152"/>
      <c r="C289" s="151" t="s">
        <v>4004</v>
      </c>
      <c r="D289" s="152">
        <v>1</v>
      </c>
      <c r="E289" s="152" t="s">
        <v>97</v>
      </c>
      <c r="F289" s="153">
        <v>2000000</v>
      </c>
      <c r="G289" s="153">
        <f>ROUNDDOWN(D289*F289,-3)</f>
        <v>2000000</v>
      </c>
      <c r="H289" s="210" t="b">
        <f t="shared" si="7"/>
        <v>1</v>
      </c>
    </row>
    <row r="290" spans="1:8" ht="13.8" x14ac:dyDescent="0.25">
      <c r="A290" s="7" t="s">
        <v>1833</v>
      </c>
      <c r="B290" s="60">
        <v>511125</v>
      </c>
      <c r="C290" s="41" t="s">
        <v>84</v>
      </c>
      <c r="D290" s="60"/>
      <c r="E290" s="60"/>
      <c r="F290" s="42"/>
      <c r="G290" s="42">
        <f>SUM(G291:G293)</f>
        <v>13133000</v>
      </c>
      <c r="H290" s="210" t="b">
        <f t="shared" si="7"/>
        <v>1</v>
      </c>
    </row>
    <row r="291" spans="1:8" ht="13.8" x14ac:dyDescent="0.25">
      <c r="A291" s="7" t="s">
        <v>1834</v>
      </c>
      <c r="B291" s="152"/>
      <c r="C291" s="151" t="s">
        <v>4005</v>
      </c>
      <c r="D291" s="152">
        <v>1</v>
      </c>
      <c r="E291" s="152" t="s">
        <v>97</v>
      </c>
      <c r="F291" s="153">
        <v>3360000</v>
      </c>
      <c r="G291" s="153">
        <f>ROUNDDOWN(D291*F291,-3)</f>
        <v>3360000</v>
      </c>
      <c r="H291" s="210" t="b">
        <f t="shared" si="7"/>
        <v>1</v>
      </c>
    </row>
    <row r="292" spans="1:8" ht="13.8" x14ac:dyDescent="0.25">
      <c r="A292" s="7" t="s">
        <v>1835</v>
      </c>
      <c r="B292" s="152"/>
      <c r="C292" s="151" t="s">
        <v>4006</v>
      </c>
      <c r="D292" s="152">
        <v>1</v>
      </c>
      <c r="E292" s="152" t="s">
        <v>153</v>
      </c>
      <c r="F292" s="153">
        <v>6407000</v>
      </c>
      <c r="G292" s="153">
        <f>ROUNDDOWN(D292*F292,-3)</f>
        <v>6407000</v>
      </c>
      <c r="H292" s="210" t="b">
        <f t="shared" si="7"/>
        <v>1</v>
      </c>
    </row>
    <row r="293" spans="1:8" ht="13.8" x14ac:dyDescent="0.25">
      <c r="A293" s="7" t="s">
        <v>1836</v>
      </c>
      <c r="B293" s="152"/>
      <c r="C293" s="151" t="s">
        <v>4007</v>
      </c>
      <c r="D293" s="152">
        <v>1</v>
      </c>
      <c r="E293" s="152" t="s">
        <v>97</v>
      </c>
      <c r="F293" s="153">
        <v>3366000</v>
      </c>
      <c r="G293" s="153">
        <f>ROUNDDOWN(D293*F293,-3)</f>
        <v>3366000</v>
      </c>
      <c r="H293" s="210" t="b">
        <f t="shared" si="7"/>
        <v>1</v>
      </c>
    </row>
    <row r="294" spans="1:8" ht="13.8" x14ac:dyDescent="0.25">
      <c r="A294" s="7" t="s">
        <v>1837</v>
      </c>
      <c r="B294" s="60">
        <v>511126</v>
      </c>
      <c r="C294" s="41" t="s">
        <v>85</v>
      </c>
      <c r="D294" s="60"/>
      <c r="E294" s="60"/>
      <c r="F294" s="42"/>
      <c r="G294" s="42">
        <f>G295</f>
        <v>130333000</v>
      </c>
      <c r="H294" s="210" t="b">
        <f t="shared" si="7"/>
        <v>1</v>
      </c>
    </row>
    <row r="295" spans="1:8" ht="13.8" x14ac:dyDescent="0.25">
      <c r="A295" s="7" t="s">
        <v>1838</v>
      </c>
      <c r="B295" s="152"/>
      <c r="C295" s="151" t="s">
        <v>4008</v>
      </c>
      <c r="D295" s="152">
        <v>1</v>
      </c>
      <c r="E295" s="152" t="s">
        <v>60</v>
      </c>
      <c r="F295" s="153">
        <v>130333000</v>
      </c>
      <c r="G295" s="153">
        <f>ROUNDDOWN(D295*F295,-3)</f>
        <v>130333000</v>
      </c>
      <c r="H295" s="210" t="b">
        <f t="shared" si="7"/>
        <v>1</v>
      </c>
    </row>
    <row r="296" spans="1:8" ht="13.8" x14ac:dyDescent="0.25">
      <c r="A296" s="7" t="s">
        <v>1839</v>
      </c>
      <c r="B296" s="60">
        <v>511129</v>
      </c>
      <c r="C296" s="41" t="s">
        <v>86</v>
      </c>
      <c r="D296" s="60"/>
      <c r="E296" s="60"/>
      <c r="F296" s="42"/>
      <c r="G296" s="42">
        <f>G297</f>
        <v>379379000</v>
      </c>
      <c r="H296" s="210" t="b">
        <f t="shared" si="7"/>
        <v>1</v>
      </c>
    </row>
    <row r="297" spans="1:8" ht="13.8" x14ac:dyDescent="0.25">
      <c r="A297" s="7" t="s">
        <v>1840</v>
      </c>
      <c r="B297" s="152"/>
      <c r="C297" s="151" t="s">
        <v>4009</v>
      </c>
      <c r="D297" s="152">
        <v>1</v>
      </c>
      <c r="E297" s="152" t="s">
        <v>153</v>
      </c>
      <c r="F297" s="153">
        <v>379379000</v>
      </c>
      <c r="G297" s="153">
        <f>ROUNDDOWN(D297*F297,-3)</f>
        <v>379379000</v>
      </c>
      <c r="H297" s="210" t="b">
        <f t="shared" si="7"/>
        <v>1</v>
      </c>
    </row>
    <row r="298" spans="1:8" ht="13.8" x14ac:dyDescent="0.25">
      <c r="A298" s="7" t="s">
        <v>1841</v>
      </c>
      <c r="B298" s="60">
        <v>511151</v>
      </c>
      <c r="C298" s="41" t="s">
        <v>87</v>
      </c>
      <c r="D298" s="60"/>
      <c r="E298" s="60"/>
      <c r="F298" s="42"/>
      <c r="G298" s="42">
        <f>SUM(G299:G301)</f>
        <v>88360000</v>
      </c>
      <c r="H298" s="210" t="b">
        <f t="shared" si="7"/>
        <v>1</v>
      </c>
    </row>
    <row r="299" spans="1:8" ht="13.8" x14ac:dyDescent="0.25">
      <c r="A299" s="7" t="s">
        <v>1842</v>
      </c>
      <c r="B299" s="152"/>
      <c r="C299" s="151" t="s">
        <v>4010</v>
      </c>
      <c r="D299" s="152">
        <v>1</v>
      </c>
      <c r="E299" s="152" t="s">
        <v>97</v>
      </c>
      <c r="F299" s="153">
        <v>6655000</v>
      </c>
      <c r="G299" s="153">
        <f>ROUNDDOWN(D299*F299,-3)</f>
        <v>6655000</v>
      </c>
      <c r="H299" s="210" t="b">
        <f t="shared" si="7"/>
        <v>1</v>
      </c>
    </row>
    <row r="300" spans="1:8" ht="13.8" x14ac:dyDescent="0.25">
      <c r="A300" s="7" t="s">
        <v>1843</v>
      </c>
      <c r="B300" s="152"/>
      <c r="C300" s="151" t="s">
        <v>4011</v>
      </c>
      <c r="D300" s="152">
        <v>1</v>
      </c>
      <c r="E300" s="152" t="s">
        <v>60</v>
      </c>
      <c r="F300" s="153">
        <v>75605000</v>
      </c>
      <c r="G300" s="153">
        <f>ROUNDDOWN(D300*F300,-3)</f>
        <v>75605000</v>
      </c>
      <c r="H300" s="210" t="b">
        <f t="shared" si="7"/>
        <v>1</v>
      </c>
    </row>
    <row r="301" spans="1:8" ht="13.8" x14ac:dyDescent="0.25">
      <c r="A301" s="7" t="s">
        <v>1844</v>
      </c>
      <c r="B301" s="152"/>
      <c r="C301" s="151" t="s">
        <v>4012</v>
      </c>
      <c r="D301" s="152">
        <v>1</v>
      </c>
      <c r="E301" s="152" t="s">
        <v>97</v>
      </c>
      <c r="F301" s="153">
        <v>6100000</v>
      </c>
      <c r="G301" s="153">
        <f>ROUNDDOWN(D301*F301,-3)</f>
        <v>6100000</v>
      </c>
      <c r="H301" s="210" t="b">
        <f t="shared" si="7"/>
        <v>1</v>
      </c>
    </row>
    <row r="302" spans="1:8" ht="13.8" x14ac:dyDescent="0.25">
      <c r="A302" s="7" t="s">
        <v>1845</v>
      </c>
      <c r="B302" s="60">
        <v>512411</v>
      </c>
      <c r="C302" s="41" t="s">
        <v>88</v>
      </c>
      <c r="D302" s="60"/>
      <c r="E302" s="60"/>
      <c r="F302" s="42"/>
      <c r="G302" s="42">
        <f>G303</f>
        <v>2635488000</v>
      </c>
      <c r="H302" s="210" t="b">
        <f t="shared" si="7"/>
        <v>1</v>
      </c>
    </row>
    <row r="303" spans="1:8" ht="13.8" x14ac:dyDescent="0.25">
      <c r="A303" s="7" t="s">
        <v>1846</v>
      </c>
      <c r="B303" s="152"/>
      <c r="C303" s="151" t="s">
        <v>4013</v>
      </c>
      <c r="D303" s="152">
        <v>1</v>
      </c>
      <c r="E303" s="152" t="s">
        <v>153</v>
      </c>
      <c r="F303" s="153">
        <v>2635488000</v>
      </c>
      <c r="G303" s="153">
        <f>ROUNDDOWN(D303*F303,-3)</f>
        <v>2635488000</v>
      </c>
      <c r="H303" s="210" t="b">
        <f t="shared" si="7"/>
        <v>1</v>
      </c>
    </row>
    <row r="304" spans="1:8" ht="13.8" x14ac:dyDescent="0.25">
      <c r="A304" s="7" t="s">
        <v>4041</v>
      </c>
      <c r="B304" s="59" t="s">
        <v>2208</v>
      </c>
      <c r="C304" s="38" t="s">
        <v>4042</v>
      </c>
      <c r="D304" s="59"/>
      <c r="E304" s="59"/>
      <c r="F304" s="39"/>
      <c r="G304" s="39">
        <f>G305</f>
        <v>323949000</v>
      </c>
      <c r="H304" s="210" t="b">
        <f t="shared" si="7"/>
        <v>1</v>
      </c>
    </row>
    <row r="305" spans="1:8" ht="13.8" x14ac:dyDescent="0.25">
      <c r="A305" s="7" t="s">
        <v>4043</v>
      </c>
      <c r="B305" s="60">
        <v>512411</v>
      </c>
      <c r="C305" s="41" t="s">
        <v>88</v>
      </c>
      <c r="D305" s="60"/>
      <c r="E305" s="60"/>
      <c r="F305" s="42"/>
      <c r="G305" s="42">
        <f>G306</f>
        <v>323949000</v>
      </c>
      <c r="H305" s="210" t="b">
        <f t="shared" si="7"/>
        <v>1</v>
      </c>
    </row>
    <row r="306" spans="1:8" ht="13.8" x14ac:dyDescent="0.25">
      <c r="A306" s="7" t="s">
        <v>4044</v>
      </c>
      <c r="B306" s="152"/>
      <c r="C306" s="151" t="s">
        <v>4045</v>
      </c>
      <c r="D306" s="152">
        <v>1</v>
      </c>
      <c r="E306" s="152" t="s">
        <v>4046</v>
      </c>
      <c r="F306" s="153">
        <v>323949000</v>
      </c>
      <c r="G306" s="153">
        <f>ROUNDDOWN(D306*F306,-3)</f>
        <v>323949000</v>
      </c>
      <c r="H306" s="210" t="b">
        <f t="shared" si="7"/>
        <v>1</v>
      </c>
    </row>
    <row r="307" spans="1:8" ht="13.8" x14ac:dyDescent="0.25">
      <c r="A307" s="7" t="s">
        <v>1847</v>
      </c>
      <c r="B307" s="58" t="s">
        <v>557</v>
      </c>
      <c r="C307" s="35" t="s">
        <v>89</v>
      </c>
      <c r="D307" s="58"/>
      <c r="E307" s="58"/>
      <c r="F307" s="36"/>
      <c r="G307" s="36">
        <f>SUM(G308,G329,G335,G348,G363)</f>
        <v>2195658000</v>
      </c>
      <c r="H307" s="210" t="b">
        <f t="shared" si="7"/>
        <v>1</v>
      </c>
    </row>
    <row r="308" spans="1:8" ht="26.4" x14ac:dyDescent="0.25">
      <c r="A308" s="7" t="s">
        <v>2170</v>
      </c>
      <c r="B308" s="59" t="s">
        <v>1807</v>
      </c>
      <c r="C308" s="38" t="s">
        <v>2171</v>
      </c>
      <c r="D308" s="59"/>
      <c r="E308" s="59"/>
      <c r="F308" s="39"/>
      <c r="G308" s="39">
        <f>SUM(G309,G319)</f>
        <v>1254380000</v>
      </c>
      <c r="H308" s="210" t="b">
        <f t="shared" si="7"/>
        <v>1</v>
      </c>
    </row>
    <row r="309" spans="1:8" ht="13.8" x14ac:dyDescent="0.25">
      <c r="A309" s="7" t="s">
        <v>2172</v>
      </c>
      <c r="B309" s="60">
        <v>521111</v>
      </c>
      <c r="C309" s="41" t="s">
        <v>90</v>
      </c>
      <c r="D309" s="60"/>
      <c r="E309" s="60"/>
      <c r="F309" s="42"/>
      <c r="G309" s="42">
        <f>SUM(G310:G318)</f>
        <v>1076220000</v>
      </c>
      <c r="H309" s="210" t="b">
        <f t="shared" si="7"/>
        <v>1</v>
      </c>
    </row>
    <row r="310" spans="1:8" ht="13.8" x14ac:dyDescent="0.25">
      <c r="A310" s="7" t="s">
        <v>2173</v>
      </c>
      <c r="B310" s="152"/>
      <c r="C310" s="151" t="s">
        <v>4154</v>
      </c>
      <c r="D310" s="152">
        <v>60</v>
      </c>
      <c r="E310" s="152" t="s">
        <v>116</v>
      </c>
      <c r="F310" s="153">
        <v>1300000</v>
      </c>
      <c r="G310" s="153">
        <f t="shared" ref="G310:G318" si="8">ROUNDDOWN(D310*F310,-3)</f>
        <v>78000000</v>
      </c>
      <c r="H310" s="210" t="b">
        <f t="shared" si="7"/>
        <v>1</v>
      </c>
    </row>
    <row r="311" spans="1:8" ht="13.8" x14ac:dyDescent="0.25">
      <c r="A311" s="7" t="s">
        <v>2174</v>
      </c>
      <c r="B311" s="152"/>
      <c r="C311" s="151" t="s">
        <v>4182</v>
      </c>
      <c r="D311" s="152">
        <v>1</v>
      </c>
      <c r="E311" s="152" t="s">
        <v>60</v>
      </c>
      <c r="F311" s="153">
        <v>60000000</v>
      </c>
      <c r="G311" s="153">
        <f t="shared" si="8"/>
        <v>60000000</v>
      </c>
      <c r="H311" s="210" t="b">
        <f t="shared" si="7"/>
        <v>1</v>
      </c>
    </row>
    <row r="312" spans="1:8" ht="13.8" x14ac:dyDescent="0.25">
      <c r="A312" s="7" t="s">
        <v>2176</v>
      </c>
      <c r="B312" s="152"/>
      <c r="C312" s="151" t="s">
        <v>4183</v>
      </c>
      <c r="D312" s="152">
        <v>156</v>
      </c>
      <c r="E312" s="152" t="s">
        <v>21</v>
      </c>
      <c r="F312" s="153">
        <v>4858000</v>
      </c>
      <c r="G312" s="153">
        <f t="shared" si="8"/>
        <v>757848000</v>
      </c>
      <c r="H312" s="210" t="b">
        <f t="shared" si="7"/>
        <v>1</v>
      </c>
    </row>
    <row r="313" spans="1:8" ht="13.8" x14ac:dyDescent="0.25">
      <c r="A313" s="7" t="s">
        <v>2178</v>
      </c>
      <c r="B313" s="152"/>
      <c r="C313" s="151" t="s">
        <v>4184</v>
      </c>
      <c r="D313" s="152">
        <v>13</v>
      </c>
      <c r="E313" s="152" t="s">
        <v>32</v>
      </c>
      <c r="F313" s="153">
        <v>5344000</v>
      </c>
      <c r="G313" s="153">
        <f t="shared" si="8"/>
        <v>69472000</v>
      </c>
      <c r="H313" s="210" t="b">
        <f t="shared" si="7"/>
        <v>1</v>
      </c>
    </row>
    <row r="314" spans="1:8" ht="13.8" x14ac:dyDescent="0.25">
      <c r="A314" s="7" t="s">
        <v>2179</v>
      </c>
      <c r="B314" s="152"/>
      <c r="C314" s="151" t="s">
        <v>4185</v>
      </c>
      <c r="D314" s="152">
        <v>12</v>
      </c>
      <c r="E314" s="152" t="s">
        <v>78</v>
      </c>
      <c r="F314" s="153">
        <v>500000</v>
      </c>
      <c r="G314" s="153">
        <f t="shared" si="8"/>
        <v>6000000</v>
      </c>
      <c r="H314" s="210" t="b">
        <f t="shared" si="7"/>
        <v>1</v>
      </c>
    </row>
    <row r="315" spans="1:8" ht="13.8" x14ac:dyDescent="0.25">
      <c r="A315" s="7" t="s">
        <v>2181</v>
      </c>
      <c r="B315" s="152"/>
      <c r="C315" s="151" t="s">
        <v>4186</v>
      </c>
      <c r="D315" s="152">
        <v>100</v>
      </c>
      <c r="E315" s="152" t="s">
        <v>58</v>
      </c>
      <c r="F315" s="153">
        <v>500000</v>
      </c>
      <c r="G315" s="153">
        <f t="shared" si="8"/>
        <v>50000000</v>
      </c>
      <c r="H315" s="210" t="b">
        <f t="shared" si="7"/>
        <v>1</v>
      </c>
    </row>
    <row r="316" spans="1:8" ht="13.8" x14ac:dyDescent="0.25">
      <c r="A316" s="7" t="s">
        <v>2183</v>
      </c>
      <c r="B316" s="152"/>
      <c r="C316" s="151" t="s">
        <v>4187</v>
      </c>
      <c r="D316" s="152">
        <v>12</v>
      </c>
      <c r="E316" s="152" t="s">
        <v>115</v>
      </c>
      <c r="F316" s="153">
        <v>750000</v>
      </c>
      <c r="G316" s="153">
        <f t="shared" si="8"/>
        <v>9000000</v>
      </c>
      <c r="H316" s="210" t="b">
        <f t="shared" si="7"/>
        <v>1</v>
      </c>
    </row>
    <row r="317" spans="1:8" ht="13.8" x14ac:dyDescent="0.25">
      <c r="A317" s="7" t="s">
        <v>2185</v>
      </c>
      <c r="B317" s="152"/>
      <c r="C317" s="151" t="s">
        <v>4188</v>
      </c>
      <c r="D317" s="152">
        <v>12</v>
      </c>
      <c r="E317" s="152" t="s">
        <v>115</v>
      </c>
      <c r="F317" s="153">
        <v>1325000</v>
      </c>
      <c r="G317" s="153">
        <f t="shared" si="8"/>
        <v>15900000</v>
      </c>
      <c r="H317" s="210" t="b">
        <f t="shared" si="7"/>
        <v>1</v>
      </c>
    </row>
    <row r="318" spans="1:8" ht="13.8" x14ac:dyDescent="0.25">
      <c r="A318" s="7" t="s">
        <v>2187</v>
      </c>
      <c r="B318" s="152"/>
      <c r="C318" s="151" t="s">
        <v>4189</v>
      </c>
      <c r="D318" s="152">
        <v>12</v>
      </c>
      <c r="E318" s="152" t="s">
        <v>78</v>
      </c>
      <c r="F318" s="153">
        <v>2500000</v>
      </c>
      <c r="G318" s="153">
        <f t="shared" si="8"/>
        <v>30000000</v>
      </c>
      <c r="H318" s="210" t="b">
        <f t="shared" si="7"/>
        <v>1</v>
      </c>
    </row>
    <row r="319" spans="1:8" ht="13.8" x14ac:dyDescent="0.25">
      <c r="A319" s="7" t="s">
        <v>2189</v>
      </c>
      <c r="B319" s="60">
        <v>521811</v>
      </c>
      <c r="C319" s="41" t="s">
        <v>64</v>
      </c>
      <c r="D319" s="60"/>
      <c r="E319" s="60"/>
      <c r="F319" s="42"/>
      <c r="G319" s="42">
        <f>SUM(G320:G328)</f>
        <v>178160000</v>
      </c>
      <c r="H319" s="210" t="b">
        <f t="shared" si="7"/>
        <v>1</v>
      </c>
    </row>
    <row r="320" spans="1:8" ht="13.8" x14ac:dyDescent="0.25">
      <c r="A320" s="7" t="s">
        <v>2190</v>
      </c>
      <c r="B320" s="152"/>
      <c r="C320" s="151" t="s">
        <v>3625</v>
      </c>
      <c r="D320" s="152">
        <v>40</v>
      </c>
      <c r="E320" s="152" t="s">
        <v>9</v>
      </c>
      <c r="F320" s="153">
        <v>1000000</v>
      </c>
      <c r="G320" s="153">
        <f t="shared" ref="G320:G328" si="9">ROUNDDOWN(D320*F320,-3)</f>
        <v>40000000</v>
      </c>
      <c r="H320" s="210" t="b">
        <f t="shared" si="7"/>
        <v>1</v>
      </c>
    </row>
    <row r="321" spans="1:8" ht="13.8" x14ac:dyDescent="0.25">
      <c r="A321" s="7" t="s">
        <v>2191</v>
      </c>
      <c r="B321" s="152"/>
      <c r="C321" s="151" t="s">
        <v>3626</v>
      </c>
      <c r="D321" s="152">
        <v>40</v>
      </c>
      <c r="E321" s="152" t="s">
        <v>9</v>
      </c>
      <c r="F321" s="153">
        <v>1500000</v>
      </c>
      <c r="G321" s="153">
        <f t="shared" si="9"/>
        <v>60000000</v>
      </c>
      <c r="H321" s="210" t="b">
        <f t="shared" si="7"/>
        <v>1</v>
      </c>
    </row>
    <row r="322" spans="1:8" ht="13.8" x14ac:dyDescent="0.25">
      <c r="A322" s="7" t="s">
        <v>2192</v>
      </c>
      <c r="B322" s="152"/>
      <c r="C322" s="151" t="s">
        <v>4190</v>
      </c>
      <c r="D322" s="152">
        <v>192</v>
      </c>
      <c r="E322" s="152" t="s">
        <v>9</v>
      </c>
      <c r="F322" s="153">
        <v>50000</v>
      </c>
      <c r="G322" s="153">
        <f t="shared" si="9"/>
        <v>9600000</v>
      </c>
      <c r="H322" s="210" t="b">
        <f t="shared" si="7"/>
        <v>1</v>
      </c>
    </row>
    <row r="323" spans="1:8" ht="13.8" x14ac:dyDescent="0.25">
      <c r="A323" s="7" t="s">
        <v>2194</v>
      </c>
      <c r="B323" s="152"/>
      <c r="C323" s="151" t="s">
        <v>4191</v>
      </c>
      <c r="D323" s="152">
        <v>192</v>
      </c>
      <c r="E323" s="152" t="s">
        <v>9</v>
      </c>
      <c r="F323" s="153">
        <v>55000</v>
      </c>
      <c r="G323" s="153">
        <f t="shared" si="9"/>
        <v>10560000</v>
      </c>
      <c r="H323" s="210" t="b">
        <f t="shared" si="7"/>
        <v>1</v>
      </c>
    </row>
    <row r="324" spans="1:8" ht="13.8" x14ac:dyDescent="0.25">
      <c r="A324" s="7" t="s">
        <v>2196</v>
      </c>
      <c r="B324" s="152"/>
      <c r="C324" s="151" t="s">
        <v>4192</v>
      </c>
      <c r="D324" s="152">
        <v>50</v>
      </c>
      <c r="E324" s="152" t="s">
        <v>2198</v>
      </c>
      <c r="F324" s="153">
        <v>220000</v>
      </c>
      <c r="G324" s="153">
        <f t="shared" si="9"/>
        <v>11000000</v>
      </c>
      <c r="H324" s="210" t="b">
        <f t="shared" si="7"/>
        <v>1</v>
      </c>
    </row>
    <row r="325" spans="1:8" ht="13.8" x14ac:dyDescent="0.25">
      <c r="A325" s="7" t="s">
        <v>2199</v>
      </c>
      <c r="B325" s="152"/>
      <c r="C325" s="151" t="s">
        <v>4193</v>
      </c>
      <c r="D325" s="152">
        <v>50</v>
      </c>
      <c r="E325" s="152" t="s">
        <v>2198</v>
      </c>
      <c r="F325" s="153">
        <v>240000</v>
      </c>
      <c r="G325" s="153">
        <f t="shared" si="9"/>
        <v>12000000</v>
      </c>
      <c r="H325" s="210" t="b">
        <f t="shared" si="7"/>
        <v>1</v>
      </c>
    </row>
    <row r="326" spans="1:8" ht="13.8" x14ac:dyDescent="0.25">
      <c r="A326" s="7" t="s">
        <v>2201</v>
      </c>
      <c r="B326" s="152"/>
      <c r="C326" s="151" t="s">
        <v>4194</v>
      </c>
      <c r="D326" s="152">
        <v>800</v>
      </c>
      <c r="E326" s="152" t="s">
        <v>120</v>
      </c>
      <c r="F326" s="153">
        <v>5000</v>
      </c>
      <c r="G326" s="153">
        <f t="shared" si="9"/>
        <v>4000000</v>
      </c>
      <c r="H326" s="210" t="b">
        <f t="shared" si="7"/>
        <v>1</v>
      </c>
    </row>
    <row r="327" spans="1:8" ht="13.8" x14ac:dyDescent="0.25">
      <c r="A327" s="7" t="s">
        <v>2203</v>
      </c>
      <c r="B327" s="152"/>
      <c r="C327" s="151" t="s">
        <v>4195</v>
      </c>
      <c r="D327" s="152">
        <v>50</v>
      </c>
      <c r="E327" s="152" t="s">
        <v>1422</v>
      </c>
      <c r="F327" s="153">
        <v>220000</v>
      </c>
      <c r="G327" s="153">
        <f t="shared" si="9"/>
        <v>11000000</v>
      </c>
      <c r="H327" s="210" t="b">
        <f t="shared" si="7"/>
        <v>1</v>
      </c>
    </row>
    <row r="328" spans="1:8" ht="13.8" x14ac:dyDescent="0.25">
      <c r="A328" s="7" t="s">
        <v>2205</v>
      </c>
      <c r="B328" s="152"/>
      <c r="C328" s="151" t="s">
        <v>4196</v>
      </c>
      <c r="D328" s="152">
        <v>800</v>
      </c>
      <c r="E328" s="152" t="s">
        <v>120</v>
      </c>
      <c r="F328" s="153">
        <v>25000</v>
      </c>
      <c r="G328" s="153">
        <f t="shared" si="9"/>
        <v>20000000</v>
      </c>
      <c r="H328" s="210" t="b">
        <f t="shared" si="7"/>
        <v>1</v>
      </c>
    </row>
    <row r="329" spans="1:8" ht="13.8" x14ac:dyDescent="0.25">
      <c r="A329" s="7" t="s">
        <v>2207</v>
      </c>
      <c r="B329" s="59" t="s">
        <v>2208</v>
      </c>
      <c r="C329" s="38" t="s">
        <v>2209</v>
      </c>
      <c r="D329" s="59"/>
      <c r="E329" s="59"/>
      <c r="F329" s="39"/>
      <c r="G329" s="39">
        <f>SUM(G330,G332)</f>
        <v>148852000</v>
      </c>
      <c r="H329" s="210" t="b">
        <f t="shared" si="7"/>
        <v>1</v>
      </c>
    </row>
    <row r="330" spans="1:8" ht="13.8" x14ac:dyDescent="0.25">
      <c r="A330" s="7" t="s">
        <v>2210</v>
      </c>
      <c r="B330" s="60">
        <v>521114</v>
      </c>
      <c r="C330" s="41" t="s">
        <v>94</v>
      </c>
      <c r="D330" s="60"/>
      <c r="E330" s="60"/>
      <c r="F330" s="42"/>
      <c r="G330" s="42">
        <f>G331</f>
        <v>30000000</v>
      </c>
      <c r="H330" s="210" t="b">
        <f t="shared" si="7"/>
        <v>1</v>
      </c>
    </row>
    <row r="331" spans="1:8" ht="13.8" x14ac:dyDescent="0.25">
      <c r="A331" s="7" t="s">
        <v>2211</v>
      </c>
      <c r="B331" s="152"/>
      <c r="C331" s="151" t="s">
        <v>4197</v>
      </c>
      <c r="D331" s="152">
        <v>12</v>
      </c>
      <c r="E331" s="152" t="s">
        <v>78</v>
      </c>
      <c r="F331" s="153">
        <v>2500000</v>
      </c>
      <c r="G331" s="153">
        <f>ROUNDDOWN(D331*F331,-3)</f>
        <v>30000000</v>
      </c>
      <c r="H331" s="210" t="b">
        <f t="shared" si="7"/>
        <v>1</v>
      </c>
    </row>
    <row r="332" spans="1:8" ht="13.8" x14ac:dyDescent="0.25">
      <c r="A332" s="7" t="s">
        <v>2213</v>
      </c>
      <c r="B332" s="60">
        <v>522141</v>
      </c>
      <c r="C332" s="41" t="s">
        <v>95</v>
      </c>
      <c r="D332" s="60"/>
      <c r="E332" s="60"/>
      <c r="F332" s="42"/>
      <c r="G332" s="42">
        <f>SUM(G333:G334)</f>
        <v>118852000</v>
      </c>
      <c r="H332" s="210" t="b">
        <f t="shared" si="7"/>
        <v>1</v>
      </c>
    </row>
    <row r="333" spans="1:8" ht="13.8" x14ac:dyDescent="0.25">
      <c r="A333" s="7" t="s">
        <v>2214</v>
      </c>
      <c r="B333" s="152"/>
      <c r="C333" s="151" t="s">
        <v>4198</v>
      </c>
      <c r="D333" s="152">
        <v>12</v>
      </c>
      <c r="E333" s="152" t="s">
        <v>78</v>
      </c>
      <c r="F333" s="153">
        <v>5000000</v>
      </c>
      <c r="G333" s="153">
        <f>ROUNDDOWN(D333*F333,-3)</f>
        <v>60000000</v>
      </c>
      <c r="H333" s="210" t="b">
        <f t="shared" ref="H333:H396" si="10">_xlfn.ISFORMULA(G333)</f>
        <v>1</v>
      </c>
    </row>
    <row r="334" spans="1:8" ht="13.8" x14ac:dyDescent="0.25">
      <c r="A334" s="7" t="s">
        <v>2216</v>
      </c>
      <c r="B334" s="152"/>
      <c r="C334" s="151" t="s">
        <v>4199</v>
      </c>
      <c r="D334" s="152">
        <v>1</v>
      </c>
      <c r="E334" s="152" t="s">
        <v>60</v>
      </c>
      <c r="F334" s="153">
        <v>58852000</v>
      </c>
      <c r="G334" s="153">
        <f>ROUNDDOWN(D334*F334,-3)</f>
        <v>58852000</v>
      </c>
      <c r="H334" s="210" t="b">
        <f t="shared" si="10"/>
        <v>1</v>
      </c>
    </row>
    <row r="335" spans="1:8" ht="13.8" x14ac:dyDescent="0.25">
      <c r="A335" s="7" t="s">
        <v>2218</v>
      </c>
      <c r="B335" s="59" t="s">
        <v>2219</v>
      </c>
      <c r="C335" s="38" t="s">
        <v>2220</v>
      </c>
      <c r="D335" s="59"/>
      <c r="E335" s="59"/>
      <c r="F335" s="39"/>
      <c r="G335" s="39">
        <f>SUM(G336,G346)</f>
        <v>533050000</v>
      </c>
      <c r="H335" s="210" t="b">
        <f t="shared" si="10"/>
        <v>1</v>
      </c>
    </row>
    <row r="336" spans="1:8" ht="13.8" x14ac:dyDescent="0.25">
      <c r="A336" s="7" t="s">
        <v>2221</v>
      </c>
      <c r="B336" s="60">
        <v>523121</v>
      </c>
      <c r="C336" s="41" t="s">
        <v>99</v>
      </c>
      <c r="D336" s="60"/>
      <c r="E336" s="60"/>
      <c r="F336" s="42"/>
      <c r="G336" s="42">
        <f>SUM(G337:G345)</f>
        <v>497050000</v>
      </c>
      <c r="H336" s="210" t="b">
        <f t="shared" si="10"/>
        <v>1</v>
      </c>
    </row>
    <row r="337" spans="1:8" ht="26.4" x14ac:dyDescent="0.25">
      <c r="A337" s="7" t="s">
        <v>2222</v>
      </c>
      <c r="B337" s="152"/>
      <c r="C337" s="151" t="s">
        <v>4200</v>
      </c>
      <c r="D337" s="152">
        <v>1</v>
      </c>
      <c r="E337" s="152" t="s">
        <v>44</v>
      </c>
      <c r="F337" s="153">
        <v>38730000</v>
      </c>
      <c r="G337" s="153">
        <f t="shared" ref="G337:G345" si="11">ROUNDDOWN(D337*F337,-3)</f>
        <v>38730000</v>
      </c>
      <c r="H337" s="210" t="b">
        <f t="shared" si="10"/>
        <v>1</v>
      </c>
    </row>
    <row r="338" spans="1:8" ht="13.8" x14ac:dyDescent="0.25">
      <c r="A338" s="7" t="s">
        <v>2224</v>
      </c>
      <c r="B338" s="152"/>
      <c r="C338" s="151" t="s">
        <v>4201</v>
      </c>
      <c r="D338" s="152">
        <v>9</v>
      </c>
      <c r="E338" s="152" t="s">
        <v>4202</v>
      </c>
      <c r="F338" s="153">
        <v>32850000</v>
      </c>
      <c r="G338" s="153">
        <f t="shared" si="11"/>
        <v>295650000</v>
      </c>
      <c r="H338" s="210" t="b">
        <f t="shared" si="10"/>
        <v>1</v>
      </c>
    </row>
    <row r="339" spans="1:8" ht="13.8" x14ac:dyDescent="0.25">
      <c r="A339" s="7" t="s">
        <v>2226</v>
      </c>
      <c r="B339" s="152"/>
      <c r="C339" s="151" t="s">
        <v>4203</v>
      </c>
      <c r="D339" s="152">
        <v>5</v>
      </c>
      <c r="E339" s="152" t="s">
        <v>42</v>
      </c>
      <c r="F339" s="153">
        <v>3640000</v>
      </c>
      <c r="G339" s="153">
        <f t="shared" si="11"/>
        <v>18200000</v>
      </c>
      <c r="H339" s="210" t="b">
        <f t="shared" si="10"/>
        <v>1</v>
      </c>
    </row>
    <row r="340" spans="1:8" ht="13.8" x14ac:dyDescent="0.25">
      <c r="A340" s="7" t="s">
        <v>2228</v>
      </c>
      <c r="B340" s="152"/>
      <c r="C340" s="151" t="s">
        <v>4204</v>
      </c>
      <c r="D340" s="152">
        <v>40</v>
      </c>
      <c r="E340" s="152" t="s">
        <v>42</v>
      </c>
      <c r="F340" s="153">
        <v>730000</v>
      </c>
      <c r="G340" s="153">
        <f t="shared" si="11"/>
        <v>29200000</v>
      </c>
      <c r="H340" s="210" t="b">
        <f t="shared" si="10"/>
        <v>1</v>
      </c>
    </row>
    <row r="341" spans="1:8" ht="13.8" x14ac:dyDescent="0.25">
      <c r="A341" s="7" t="s">
        <v>2229</v>
      </c>
      <c r="B341" s="152"/>
      <c r="C341" s="151" t="s">
        <v>4205</v>
      </c>
      <c r="D341" s="152">
        <v>35</v>
      </c>
      <c r="E341" s="152" t="s">
        <v>44</v>
      </c>
      <c r="F341" s="153">
        <v>730000</v>
      </c>
      <c r="G341" s="153">
        <f t="shared" si="11"/>
        <v>25550000</v>
      </c>
      <c r="H341" s="210" t="b">
        <f t="shared" si="10"/>
        <v>1</v>
      </c>
    </row>
    <row r="342" spans="1:8" ht="13.8" x14ac:dyDescent="0.25">
      <c r="A342" s="7" t="s">
        <v>2230</v>
      </c>
      <c r="B342" s="152"/>
      <c r="C342" s="151" t="s">
        <v>4206</v>
      </c>
      <c r="D342" s="152">
        <v>35</v>
      </c>
      <c r="E342" s="152" t="s">
        <v>44</v>
      </c>
      <c r="F342" s="153">
        <v>690000</v>
      </c>
      <c r="G342" s="153">
        <f t="shared" si="11"/>
        <v>24150000</v>
      </c>
      <c r="H342" s="210" t="b">
        <f t="shared" si="10"/>
        <v>1</v>
      </c>
    </row>
    <row r="343" spans="1:8" ht="13.8" x14ac:dyDescent="0.25">
      <c r="A343" s="7" t="s">
        <v>2231</v>
      </c>
      <c r="B343" s="152"/>
      <c r="C343" s="151" t="s">
        <v>4207</v>
      </c>
      <c r="D343" s="152">
        <v>3</v>
      </c>
      <c r="E343" s="152" t="s">
        <v>44</v>
      </c>
      <c r="F343" s="153">
        <v>3500000</v>
      </c>
      <c r="G343" s="153">
        <f t="shared" si="11"/>
        <v>10500000</v>
      </c>
      <c r="H343" s="210" t="b">
        <f t="shared" si="10"/>
        <v>1</v>
      </c>
    </row>
    <row r="344" spans="1:8" ht="13.8" x14ac:dyDescent="0.25">
      <c r="A344" s="7" t="s">
        <v>2232</v>
      </c>
      <c r="B344" s="152"/>
      <c r="C344" s="151" t="s">
        <v>4208</v>
      </c>
      <c r="D344" s="152">
        <v>6</v>
      </c>
      <c r="E344" s="152" t="s">
        <v>44</v>
      </c>
      <c r="F344" s="153">
        <v>470000</v>
      </c>
      <c r="G344" s="153">
        <f t="shared" si="11"/>
        <v>2820000</v>
      </c>
      <c r="H344" s="210" t="b">
        <f t="shared" si="10"/>
        <v>1</v>
      </c>
    </row>
    <row r="345" spans="1:8" ht="13.8" x14ac:dyDescent="0.25">
      <c r="A345" s="7" t="s">
        <v>2234</v>
      </c>
      <c r="B345" s="152"/>
      <c r="C345" s="151" t="s">
        <v>4209</v>
      </c>
      <c r="D345" s="152">
        <v>1</v>
      </c>
      <c r="E345" s="152" t="s">
        <v>60</v>
      </c>
      <c r="F345" s="153">
        <v>52250000</v>
      </c>
      <c r="G345" s="153">
        <f t="shared" si="11"/>
        <v>52250000</v>
      </c>
      <c r="H345" s="210" t="b">
        <f t="shared" si="10"/>
        <v>1</v>
      </c>
    </row>
    <row r="346" spans="1:8" ht="13.8" x14ac:dyDescent="0.25">
      <c r="A346" s="7" t="s">
        <v>2235</v>
      </c>
      <c r="B346" s="60">
        <v>523199</v>
      </c>
      <c r="C346" s="41" t="s">
        <v>102</v>
      </c>
      <c r="D346" s="60"/>
      <c r="E346" s="60"/>
      <c r="F346" s="42"/>
      <c r="G346" s="42">
        <f>G347</f>
        <v>36000000</v>
      </c>
      <c r="H346" s="210" t="b">
        <f t="shared" si="10"/>
        <v>1</v>
      </c>
    </row>
    <row r="347" spans="1:8" ht="13.8" x14ac:dyDescent="0.25">
      <c r="A347" s="7" t="s">
        <v>2236</v>
      </c>
      <c r="B347" s="152"/>
      <c r="C347" s="151" t="s">
        <v>4210</v>
      </c>
      <c r="D347" s="152">
        <v>24</v>
      </c>
      <c r="E347" s="152" t="s">
        <v>96</v>
      </c>
      <c r="F347" s="153">
        <v>1500000</v>
      </c>
      <c r="G347" s="153">
        <f>ROUNDDOWN(D347*F347,-3)</f>
        <v>36000000</v>
      </c>
      <c r="H347" s="210" t="b">
        <f t="shared" si="10"/>
        <v>1</v>
      </c>
    </row>
    <row r="348" spans="1:8" ht="26.4" x14ac:dyDescent="0.25">
      <c r="A348" s="7" t="s">
        <v>2238</v>
      </c>
      <c r="B348" s="59" t="s">
        <v>2239</v>
      </c>
      <c r="C348" s="38" t="s">
        <v>2240</v>
      </c>
      <c r="D348" s="59"/>
      <c r="E348" s="59"/>
      <c r="F348" s="39"/>
      <c r="G348" s="39">
        <f>SUM(G349,G352)</f>
        <v>159376000</v>
      </c>
      <c r="H348" s="210" t="b">
        <f t="shared" si="10"/>
        <v>1</v>
      </c>
    </row>
    <row r="349" spans="1:8" ht="13.8" x14ac:dyDescent="0.25">
      <c r="A349" s="7" t="s">
        <v>2241</v>
      </c>
      <c r="B349" s="60">
        <v>521111</v>
      </c>
      <c r="C349" s="41" t="s">
        <v>90</v>
      </c>
      <c r="D349" s="60"/>
      <c r="E349" s="60"/>
      <c r="F349" s="42"/>
      <c r="G349" s="42">
        <f>SUM(G350:G351)</f>
        <v>101040000</v>
      </c>
      <c r="H349" s="210" t="b">
        <f t="shared" si="10"/>
        <v>1</v>
      </c>
    </row>
    <row r="350" spans="1:8" s="212" customFormat="1" ht="13.8" x14ac:dyDescent="0.25">
      <c r="A350" s="211" t="s">
        <v>2242</v>
      </c>
      <c r="B350" s="152"/>
      <c r="C350" s="151" t="s">
        <v>4211</v>
      </c>
      <c r="D350" s="152">
        <v>100</v>
      </c>
      <c r="E350" s="152" t="s">
        <v>2244</v>
      </c>
      <c r="F350" s="153">
        <v>857000</v>
      </c>
      <c r="G350" s="153">
        <f>ROUNDDOWN(D350*F350,-3)</f>
        <v>85700000</v>
      </c>
      <c r="H350" s="210" t="b">
        <f t="shared" si="10"/>
        <v>1</v>
      </c>
    </row>
    <row r="351" spans="1:8" ht="13.8" x14ac:dyDescent="0.25">
      <c r="A351" s="7" t="s">
        <v>2245</v>
      </c>
      <c r="B351" s="152"/>
      <c r="C351" s="151" t="s">
        <v>4212</v>
      </c>
      <c r="D351" s="152">
        <v>26</v>
      </c>
      <c r="E351" s="152" t="s">
        <v>121</v>
      </c>
      <c r="F351" s="153">
        <v>590000</v>
      </c>
      <c r="G351" s="153">
        <f>ROUNDDOWN(D351*F351,-3)</f>
        <v>15340000</v>
      </c>
      <c r="H351" s="210" t="b">
        <f t="shared" si="10"/>
        <v>1</v>
      </c>
    </row>
    <row r="352" spans="1:8" ht="13.8" x14ac:dyDescent="0.25">
      <c r="A352" s="7" t="s">
        <v>2247</v>
      </c>
      <c r="B352" s="60">
        <v>521115</v>
      </c>
      <c r="C352" s="41" t="s">
        <v>104</v>
      </c>
      <c r="D352" s="60"/>
      <c r="E352" s="60"/>
      <c r="F352" s="42"/>
      <c r="G352" s="42">
        <f>SUM(G353:G362)</f>
        <v>58336000</v>
      </c>
      <c r="H352" s="210" t="b">
        <f t="shared" si="10"/>
        <v>1</v>
      </c>
    </row>
    <row r="353" spans="1:8" ht="13.8" x14ac:dyDescent="0.25">
      <c r="A353" s="7" t="s">
        <v>2248</v>
      </c>
      <c r="B353" s="152"/>
      <c r="C353" s="151" t="s">
        <v>4213</v>
      </c>
      <c r="D353" s="152">
        <v>12</v>
      </c>
      <c r="E353" s="152" t="s">
        <v>32</v>
      </c>
      <c r="F353" s="153">
        <v>2920000</v>
      </c>
      <c r="G353" s="153">
        <f t="shared" ref="G353:G362" si="12">ROUNDDOWN(D353*F353,-3)</f>
        <v>35040000</v>
      </c>
      <c r="H353" s="210" t="b">
        <f t="shared" si="10"/>
        <v>1</v>
      </c>
    </row>
    <row r="354" spans="1:8" ht="13.8" x14ac:dyDescent="0.25">
      <c r="A354" s="7" t="s">
        <v>2250</v>
      </c>
      <c r="B354" s="152"/>
      <c r="C354" s="151" t="s">
        <v>4214</v>
      </c>
      <c r="D354" s="152">
        <v>12</v>
      </c>
      <c r="E354" s="152" t="s">
        <v>32</v>
      </c>
      <c r="F354" s="153">
        <v>324000</v>
      </c>
      <c r="G354" s="153">
        <f t="shared" si="12"/>
        <v>3888000</v>
      </c>
      <c r="H354" s="210" t="b">
        <f t="shared" si="10"/>
        <v>1</v>
      </c>
    </row>
    <row r="355" spans="1:8" ht="13.8" x14ac:dyDescent="0.25">
      <c r="A355" s="7" t="s">
        <v>2252</v>
      </c>
      <c r="B355" s="152"/>
      <c r="C355" s="151" t="s">
        <v>4215</v>
      </c>
      <c r="D355" s="152">
        <v>12</v>
      </c>
      <c r="E355" s="152" t="s">
        <v>32</v>
      </c>
      <c r="F355" s="153">
        <v>324000</v>
      </c>
      <c r="G355" s="153">
        <f t="shared" si="12"/>
        <v>3888000</v>
      </c>
      <c r="H355" s="210" t="b">
        <f t="shared" si="10"/>
        <v>1</v>
      </c>
    </row>
    <row r="356" spans="1:8" s="212" customFormat="1" ht="26.4" x14ac:dyDescent="0.25">
      <c r="A356" s="211" t="s">
        <v>2254</v>
      </c>
      <c r="B356" s="152"/>
      <c r="C356" s="151" t="s">
        <v>4216</v>
      </c>
      <c r="D356" s="152">
        <v>12</v>
      </c>
      <c r="E356" s="152" t="s">
        <v>32</v>
      </c>
      <c r="F356" s="153">
        <v>680000</v>
      </c>
      <c r="G356" s="153">
        <f t="shared" si="12"/>
        <v>8160000</v>
      </c>
      <c r="H356" s="210" t="b">
        <f t="shared" si="10"/>
        <v>1</v>
      </c>
    </row>
    <row r="357" spans="1:8" ht="13.8" x14ac:dyDescent="0.25">
      <c r="A357" s="7" t="s">
        <v>2256</v>
      </c>
      <c r="B357" s="152"/>
      <c r="C357" s="151" t="s">
        <v>4217</v>
      </c>
      <c r="D357" s="152">
        <v>12</v>
      </c>
      <c r="E357" s="152" t="s">
        <v>32</v>
      </c>
      <c r="F357" s="153">
        <v>200000</v>
      </c>
      <c r="G357" s="153">
        <f t="shared" si="12"/>
        <v>2400000</v>
      </c>
      <c r="H357" s="210" t="b">
        <f t="shared" si="10"/>
        <v>1</v>
      </c>
    </row>
    <row r="358" spans="1:8" ht="13.8" x14ac:dyDescent="0.25">
      <c r="A358" s="7" t="s">
        <v>2258</v>
      </c>
      <c r="B358" s="152"/>
      <c r="C358" s="151" t="s">
        <v>4218</v>
      </c>
      <c r="D358" s="152">
        <v>12</v>
      </c>
      <c r="E358" s="152" t="s">
        <v>32</v>
      </c>
      <c r="F358" s="153">
        <v>80000</v>
      </c>
      <c r="G358" s="153">
        <f t="shared" si="12"/>
        <v>960000</v>
      </c>
      <c r="H358" s="210" t="b">
        <f t="shared" si="10"/>
        <v>1</v>
      </c>
    </row>
    <row r="359" spans="1:8" ht="13.8" x14ac:dyDescent="0.25">
      <c r="A359" s="7" t="s">
        <v>2260</v>
      </c>
      <c r="B359" s="152"/>
      <c r="C359" s="151" t="s">
        <v>4219</v>
      </c>
      <c r="D359" s="152">
        <v>12</v>
      </c>
      <c r="E359" s="152" t="s">
        <v>32</v>
      </c>
      <c r="F359" s="153">
        <v>200000</v>
      </c>
      <c r="G359" s="153">
        <f t="shared" si="12"/>
        <v>2400000</v>
      </c>
      <c r="H359" s="210" t="b">
        <f t="shared" si="10"/>
        <v>1</v>
      </c>
    </row>
    <row r="360" spans="1:8" ht="13.8" x14ac:dyDescent="0.25">
      <c r="A360" s="7" t="s">
        <v>2262</v>
      </c>
      <c r="B360" s="152"/>
      <c r="C360" s="151" t="s">
        <v>4220</v>
      </c>
      <c r="D360" s="152">
        <v>1</v>
      </c>
      <c r="E360" s="152" t="s">
        <v>776</v>
      </c>
      <c r="F360" s="153">
        <v>400000</v>
      </c>
      <c r="G360" s="153">
        <f t="shared" si="12"/>
        <v>400000</v>
      </c>
      <c r="H360" s="210" t="b">
        <f t="shared" si="10"/>
        <v>1</v>
      </c>
    </row>
    <row r="361" spans="1:8" s="212" customFormat="1" ht="13.8" x14ac:dyDescent="0.25">
      <c r="A361" s="211" t="s">
        <v>2264</v>
      </c>
      <c r="B361" s="152"/>
      <c r="C361" s="151" t="s">
        <v>4221</v>
      </c>
      <c r="D361" s="152">
        <v>1</v>
      </c>
      <c r="E361" s="152" t="s">
        <v>25</v>
      </c>
      <c r="F361" s="153">
        <v>300000</v>
      </c>
      <c r="G361" s="153">
        <f t="shared" si="12"/>
        <v>300000</v>
      </c>
      <c r="H361" s="210" t="b">
        <f t="shared" si="10"/>
        <v>1</v>
      </c>
    </row>
    <row r="362" spans="1:8" ht="13.8" x14ac:dyDescent="0.25">
      <c r="A362" s="7" t="s">
        <v>2266</v>
      </c>
      <c r="B362" s="152"/>
      <c r="C362" s="151" t="s">
        <v>4222</v>
      </c>
      <c r="D362" s="152">
        <v>3</v>
      </c>
      <c r="E362" s="152" t="s">
        <v>25</v>
      </c>
      <c r="F362" s="153">
        <v>300000</v>
      </c>
      <c r="G362" s="153">
        <f t="shared" si="12"/>
        <v>900000</v>
      </c>
      <c r="H362" s="210" t="b">
        <f t="shared" si="10"/>
        <v>1</v>
      </c>
    </row>
    <row r="363" spans="1:8" ht="13.8" x14ac:dyDescent="0.25">
      <c r="A363" s="7" t="s">
        <v>4223</v>
      </c>
      <c r="B363" s="59" t="s">
        <v>4224</v>
      </c>
      <c r="C363" s="38" t="s">
        <v>4225</v>
      </c>
      <c r="D363" s="59"/>
      <c r="E363" s="59"/>
      <c r="F363" s="39"/>
      <c r="G363" s="39">
        <f>SUM(G364,G369,G374)</f>
        <v>100000000</v>
      </c>
      <c r="H363" s="210" t="b">
        <f t="shared" si="10"/>
        <v>1</v>
      </c>
    </row>
    <row r="364" spans="1:8" ht="13.8" x14ac:dyDescent="0.25">
      <c r="A364" s="7" t="s">
        <v>4226</v>
      </c>
      <c r="B364" s="60">
        <v>521111</v>
      </c>
      <c r="C364" s="41" t="s">
        <v>90</v>
      </c>
      <c r="D364" s="60"/>
      <c r="E364" s="60"/>
      <c r="F364" s="42"/>
      <c r="G364" s="42">
        <f>SUM(G365:G368)</f>
        <v>45000000</v>
      </c>
      <c r="H364" s="210" t="b">
        <f t="shared" si="10"/>
        <v>1</v>
      </c>
    </row>
    <row r="365" spans="1:8" ht="13.8" x14ac:dyDescent="0.25">
      <c r="A365" s="7" t="s">
        <v>4227</v>
      </c>
      <c r="B365" s="152"/>
      <c r="C365" s="151" t="s">
        <v>4228</v>
      </c>
      <c r="D365" s="152">
        <v>1</v>
      </c>
      <c r="E365" s="152" t="s">
        <v>60</v>
      </c>
      <c r="F365" s="153">
        <v>3000000</v>
      </c>
      <c r="G365" s="153">
        <f>ROUNDDOWN(D365*F365,-3)</f>
        <v>3000000</v>
      </c>
      <c r="H365" s="210" t="b">
        <f t="shared" si="10"/>
        <v>1</v>
      </c>
    </row>
    <row r="366" spans="1:8" s="212" customFormat="1" ht="13.8" x14ac:dyDescent="0.25">
      <c r="A366" s="211" t="s">
        <v>4229</v>
      </c>
      <c r="B366" s="152"/>
      <c r="C366" s="151" t="s">
        <v>4230</v>
      </c>
      <c r="D366" s="152">
        <v>48</v>
      </c>
      <c r="E366" s="152" t="s">
        <v>58</v>
      </c>
      <c r="F366" s="153">
        <v>500000</v>
      </c>
      <c r="G366" s="153">
        <f>ROUNDDOWN(D366*F366,-3)</f>
        <v>24000000</v>
      </c>
      <c r="H366" s="210" t="b">
        <f t="shared" si="10"/>
        <v>1</v>
      </c>
    </row>
    <row r="367" spans="1:8" ht="13.8" x14ac:dyDescent="0.25">
      <c r="A367" s="7" t="s">
        <v>4231</v>
      </c>
      <c r="B367" s="152"/>
      <c r="C367" s="151" t="s">
        <v>4232</v>
      </c>
      <c r="D367" s="152">
        <v>12</v>
      </c>
      <c r="E367" s="152" t="s">
        <v>78</v>
      </c>
      <c r="F367" s="153">
        <v>500000</v>
      </c>
      <c r="G367" s="153">
        <f>ROUNDDOWN(D367*F367,-3)</f>
        <v>6000000</v>
      </c>
      <c r="H367" s="210" t="b">
        <f t="shared" si="10"/>
        <v>1</v>
      </c>
    </row>
    <row r="368" spans="1:8" ht="13.8" x14ac:dyDescent="0.25">
      <c r="A368" s="7" t="s">
        <v>4233</v>
      </c>
      <c r="B368" s="152"/>
      <c r="C368" s="151" t="s">
        <v>4234</v>
      </c>
      <c r="D368" s="152">
        <v>60</v>
      </c>
      <c r="E368" s="152" t="s">
        <v>116</v>
      </c>
      <c r="F368" s="153">
        <v>200000</v>
      </c>
      <c r="G368" s="153">
        <f>ROUNDDOWN(D368*F368,-3)</f>
        <v>12000000</v>
      </c>
      <c r="H368" s="210" t="b">
        <f t="shared" si="10"/>
        <v>1</v>
      </c>
    </row>
    <row r="369" spans="1:8" ht="13.8" x14ac:dyDescent="0.25">
      <c r="A369" s="7" t="s">
        <v>4235</v>
      </c>
      <c r="B369" s="60">
        <v>521811</v>
      </c>
      <c r="C369" s="41" t="s">
        <v>64</v>
      </c>
      <c r="D369" s="60"/>
      <c r="E369" s="60"/>
      <c r="F369" s="42"/>
      <c r="G369" s="42">
        <f>SUM(G370:G373)</f>
        <v>26000000</v>
      </c>
      <c r="H369" s="210" t="b">
        <f t="shared" si="10"/>
        <v>1</v>
      </c>
    </row>
    <row r="370" spans="1:8" ht="13.8" x14ac:dyDescent="0.25">
      <c r="A370" s="7" t="s">
        <v>4236</v>
      </c>
      <c r="B370" s="152"/>
      <c r="C370" s="151" t="s">
        <v>3625</v>
      </c>
      <c r="D370" s="152">
        <v>8</v>
      </c>
      <c r="E370" s="152" t="s">
        <v>9</v>
      </c>
      <c r="F370" s="153">
        <v>1000000</v>
      </c>
      <c r="G370" s="153">
        <f>ROUNDDOWN(D370*F370,-3)</f>
        <v>8000000</v>
      </c>
      <c r="H370" s="210" t="b">
        <f t="shared" si="10"/>
        <v>1</v>
      </c>
    </row>
    <row r="371" spans="1:8" ht="13.8" x14ac:dyDescent="0.25">
      <c r="A371" s="7" t="s">
        <v>4237</v>
      </c>
      <c r="B371" s="152"/>
      <c r="C371" s="151" t="s">
        <v>3626</v>
      </c>
      <c r="D371" s="152">
        <v>8</v>
      </c>
      <c r="E371" s="152" t="s">
        <v>9</v>
      </c>
      <c r="F371" s="153">
        <v>1500000</v>
      </c>
      <c r="G371" s="153">
        <f>ROUNDDOWN(D371*F371,-3)</f>
        <v>12000000</v>
      </c>
      <c r="H371" s="210" t="b">
        <f t="shared" si="10"/>
        <v>1</v>
      </c>
    </row>
    <row r="372" spans="1:8" ht="13.8" x14ac:dyDescent="0.25">
      <c r="A372" s="7" t="s">
        <v>4238</v>
      </c>
      <c r="B372" s="152"/>
      <c r="C372" s="151" t="s">
        <v>4239</v>
      </c>
      <c r="D372" s="152">
        <v>200</v>
      </c>
      <c r="E372" s="152" t="s">
        <v>120</v>
      </c>
      <c r="F372" s="153">
        <v>5000</v>
      </c>
      <c r="G372" s="153">
        <f>ROUNDDOWN(D372*F372,-3)</f>
        <v>1000000</v>
      </c>
      <c r="H372" s="210" t="b">
        <f t="shared" si="10"/>
        <v>1</v>
      </c>
    </row>
    <row r="373" spans="1:8" s="212" customFormat="1" ht="13.8" x14ac:dyDescent="0.25">
      <c r="A373" s="211" t="s">
        <v>4240</v>
      </c>
      <c r="B373" s="152"/>
      <c r="C373" s="151" t="s">
        <v>4241</v>
      </c>
      <c r="D373" s="152">
        <v>200</v>
      </c>
      <c r="E373" s="152" t="s">
        <v>120</v>
      </c>
      <c r="F373" s="153">
        <v>25000</v>
      </c>
      <c r="G373" s="153">
        <f>ROUNDDOWN(D373*F373,-3)</f>
        <v>5000000</v>
      </c>
      <c r="H373" s="210" t="b">
        <f t="shared" si="10"/>
        <v>1</v>
      </c>
    </row>
    <row r="374" spans="1:8" ht="13.8" x14ac:dyDescent="0.25">
      <c r="A374" s="7" t="s">
        <v>4242</v>
      </c>
      <c r="B374" s="60">
        <v>523121</v>
      </c>
      <c r="C374" s="41" t="s">
        <v>99</v>
      </c>
      <c r="D374" s="60"/>
      <c r="E374" s="60"/>
      <c r="F374" s="42"/>
      <c r="G374" s="42">
        <f>SUM(G375:G379)</f>
        <v>29000000</v>
      </c>
      <c r="H374" s="210" t="b">
        <f t="shared" si="10"/>
        <v>1</v>
      </c>
    </row>
    <row r="375" spans="1:8" s="212" customFormat="1" ht="13.8" x14ac:dyDescent="0.25">
      <c r="A375" s="211" t="s">
        <v>4243</v>
      </c>
      <c r="B375" s="152"/>
      <c r="C375" s="151" t="s">
        <v>4244</v>
      </c>
      <c r="D375" s="152">
        <v>1</v>
      </c>
      <c r="E375" s="152" t="s">
        <v>42</v>
      </c>
      <c r="F375" s="153">
        <v>7200000</v>
      </c>
      <c r="G375" s="153">
        <f>ROUNDDOWN(D375*F375,-3)</f>
        <v>7200000</v>
      </c>
      <c r="H375" s="210" t="b">
        <f t="shared" si="10"/>
        <v>1</v>
      </c>
    </row>
    <row r="376" spans="1:8" ht="13.8" x14ac:dyDescent="0.25">
      <c r="A376" s="7" t="s">
        <v>4245</v>
      </c>
      <c r="B376" s="152"/>
      <c r="C376" s="151" t="s">
        <v>4246</v>
      </c>
      <c r="D376" s="152">
        <v>10</v>
      </c>
      <c r="E376" s="152" t="s">
        <v>42</v>
      </c>
      <c r="F376" s="153">
        <v>730000</v>
      </c>
      <c r="G376" s="153">
        <f>ROUNDDOWN(D376*F376,-3)</f>
        <v>7300000</v>
      </c>
      <c r="H376" s="210" t="b">
        <f t="shared" si="10"/>
        <v>1</v>
      </c>
    </row>
    <row r="377" spans="1:8" ht="13.8" x14ac:dyDescent="0.25">
      <c r="A377" s="7" t="s">
        <v>4247</v>
      </c>
      <c r="B377" s="152"/>
      <c r="C377" s="151" t="s">
        <v>4248</v>
      </c>
      <c r="D377" s="152">
        <v>10</v>
      </c>
      <c r="E377" s="152" t="s">
        <v>44</v>
      </c>
      <c r="F377" s="153">
        <v>730000</v>
      </c>
      <c r="G377" s="153">
        <f>ROUNDDOWN(D377*F377,-3)</f>
        <v>7300000</v>
      </c>
      <c r="H377" s="210" t="b">
        <f t="shared" si="10"/>
        <v>1</v>
      </c>
    </row>
    <row r="378" spans="1:8" ht="13.8" x14ac:dyDescent="0.25">
      <c r="A378" s="7" t="s">
        <v>4249</v>
      </c>
      <c r="B378" s="152"/>
      <c r="C378" s="151" t="s">
        <v>4250</v>
      </c>
      <c r="D378" s="152">
        <v>10</v>
      </c>
      <c r="E378" s="152" t="s">
        <v>44</v>
      </c>
      <c r="F378" s="153">
        <v>690000</v>
      </c>
      <c r="G378" s="153">
        <f>ROUNDDOWN(D378*F378,-3)</f>
        <v>6900000</v>
      </c>
      <c r="H378" s="210" t="b">
        <f t="shared" si="10"/>
        <v>1</v>
      </c>
    </row>
    <row r="379" spans="1:8" ht="13.8" x14ac:dyDescent="0.25">
      <c r="A379" s="7" t="s">
        <v>4251</v>
      </c>
      <c r="B379" s="152"/>
      <c r="C379" s="151" t="s">
        <v>4252</v>
      </c>
      <c r="D379" s="152">
        <v>1</v>
      </c>
      <c r="E379" s="152" t="s">
        <v>60</v>
      </c>
      <c r="F379" s="153">
        <v>300000</v>
      </c>
      <c r="G379" s="153">
        <f>ROUNDDOWN(D379*F379,-3)</f>
        <v>300000</v>
      </c>
      <c r="H379" s="210" t="b">
        <f t="shared" si="10"/>
        <v>1</v>
      </c>
    </row>
    <row r="380" spans="1:8" ht="13.8" x14ac:dyDescent="0.25">
      <c r="A380" s="7" t="s">
        <v>2268</v>
      </c>
      <c r="B380" s="135" t="s">
        <v>2269</v>
      </c>
      <c r="C380" s="133" t="s">
        <v>2270</v>
      </c>
      <c r="D380" s="135">
        <v>2</v>
      </c>
      <c r="E380" s="135" t="s">
        <v>42</v>
      </c>
      <c r="F380" s="136"/>
      <c r="G380" s="136">
        <f>G381</f>
        <v>540934000</v>
      </c>
      <c r="H380" s="210" t="b">
        <f t="shared" si="10"/>
        <v>1</v>
      </c>
    </row>
    <row r="381" spans="1:8" ht="13.8" x14ac:dyDescent="0.25">
      <c r="A381" s="7" t="s">
        <v>2271</v>
      </c>
      <c r="B381" s="138" t="s">
        <v>4253</v>
      </c>
      <c r="C381" s="137" t="s">
        <v>2273</v>
      </c>
      <c r="D381" s="138">
        <v>1</v>
      </c>
      <c r="E381" s="138" t="s">
        <v>42</v>
      </c>
      <c r="F381" s="139"/>
      <c r="G381" s="139">
        <f>G382</f>
        <v>540934000</v>
      </c>
      <c r="H381" s="210" t="b">
        <f t="shared" si="10"/>
        <v>1</v>
      </c>
    </row>
    <row r="382" spans="1:8" ht="13.8" x14ac:dyDescent="0.25">
      <c r="A382" s="7" t="s">
        <v>2289</v>
      </c>
      <c r="B382" s="58">
        <v>301</v>
      </c>
      <c r="C382" s="35" t="s">
        <v>2290</v>
      </c>
      <c r="D382" s="58"/>
      <c r="E382" s="58"/>
      <c r="F382" s="36"/>
      <c r="G382" s="36">
        <f>G383</f>
        <v>540934000</v>
      </c>
      <c r="H382" s="210" t="b">
        <f t="shared" si="10"/>
        <v>1</v>
      </c>
    </row>
    <row r="383" spans="1:8" ht="13.8" x14ac:dyDescent="0.25">
      <c r="A383" s="7" t="s">
        <v>2291</v>
      </c>
      <c r="B383" s="59" t="s">
        <v>8</v>
      </c>
      <c r="C383" s="38" t="s">
        <v>2292</v>
      </c>
      <c r="D383" s="59"/>
      <c r="E383" s="59"/>
      <c r="F383" s="39"/>
      <c r="G383" s="39">
        <f>G384</f>
        <v>540934000</v>
      </c>
      <c r="H383" s="210" t="b">
        <f t="shared" si="10"/>
        <v>1</v>
      </c>
    </row>
    <row r="384" spans="1:8" ht="13.8" x14ac:dyDescent="0.25">
      <c r="A384" s="7" t="s">
        <v>2293</v>
      </c>
      <c r="B384" s="60">
        <v>532111</v>
      </c>
      <c r="C384" s="41" t="s">
        <v>43</v>
      </c>
      <c r="D384" s="60"/>
      <c r="E384" s="60"/>
      <c r="F384" s="42"/>
      <c r="G384" s="42">
        <f>G385</f>
        <v>540934000</v>
      </c>
      <c r="H384" s="210" t="b">
        <f t="shared" si="10"/>
        <v>1</v>
      </c>
    </row>
    <row r="385" spans="1:8" ht="13.8" x14ac:dyDescent="0.25">
      <c r="A385" s="7" t="s">
        <v>2294</v>
      </c>
      <c r="B385" s="152"/>
      <c r="C385" s="151" t="s">
        <v>4258</v>
      </c>
      <c r="D385" s="152">
        <v>1</v>
      </c>
      <c r="E385" s="152" t="s">
        <v>42</v>
      </c>
      <c r="F385" s="153">
        <v>540934000</v>
      </c>
      <c r="G385" s="153">
        <f>ROUNDDOWN(D385*F385,-3)</f>
        <v>540934000</v>
      </c>
      <c r="H385" s="210" t="b">
        <f t="shared" si="10"/>
        <v>1</v>
      </c>
    </row>
    <row r="386" spans="1:8" ht="13.8" x14ac:dyDescent="0.25">
      <c r="A386" s="7" t="s">
        <v>2465</v>
      </c>
      <c r="B386" s="135" t="s">
        <v>2466</v>
      </c>
      <c r="C386" s="133" t="s">
        <v>2467</v>
      </c>
      <c r="D386" s="135">
        <v>5</v>
      </c>
      <c r="E386" s="135" t="s">
        <v>4315</v>
      </c>
      <c r="F386" s="136"/>
      <c r="G386" s="136">
        <f>SUM(G387,G427,G469)</f>
        <v>1538790000</v>
      </c>
      <c r="H386" s="210" t="b">
        <f t="shared" si="10"/>
        <v>1</v>
      </c>
    </row>
    <row r="387" spans="1:8" ht="13.8" x14ac:dyDescent="0.25">
      <c r="A387" s="7" t="s">
        <v>2468</v>
      </c>
      <c r="B387" s="138" t="s">
        <v>4316</v>
      </c>
      <c r="C387" s="137" t="s">
        <v>2470</v>
      </c>
      <c r="D387" s="138">
        <v>1</v>
      </c>
      <c r="E387" s="138" t="s">
        <v>4315</v>
      </c>
      <c r="F387" s="139"/>
      <c r="G387" s="139">
        <f>G388</f>
        <v>615138000</v>
      </c>
      <c r="H387" s="210" t="b">
        <f t="shared" si="10"/>
        <v>1</v>
      </c>
    </row>
    <row r="388" spans="1:8" ht="26.4" x14ac:dyDescent="0.25">
      <c r="A388" s="7" t="s">
        <v>2739</v>
      </c>
      <c r="B388" s="58">
        <v>301</v>
      </c>
      <c r="C388" s="35" t="s">
        <v>2740</v>
      </c>
      <c r="D388" s="58"/>
      <c r="E388" s="58"/>
      <c r="F388" s="36"/>
      <c r="G388" s="36">
        <f>SUM(G389,G401,G415)</f>
        <v>615138000</v>
      </c>
      <c r="H388" s="210" t="b">
        <f t="shared" si="10"/>
        <v>1</v>
      </c>
    </row>
    <row r="389" spans="1:8" ht="13.8" x14ac:dyDescent="0.25">
      <c r="A389" s="7" t="s">
        <v>2741</v>
      </c>
      <c r="B389" s="59" t="s">
        <v>8</v>
      </c>
      <c r="C389" s="38" t="s">
        <v>129</v>
      </c>
      <c r="D389" s="59"/>
      <c r="E389" s="59"/>
      <c r="F389" s="39"/>
      <c r="G389" s="39">
        <f>SUM(G390,G394,G396,G399)</f>
        <v>101050000</v>
      </c>
      <c r="H389" s="210" t="b">
        <f t="shared" si="10"/>
        <v>1</v>
      </c>
    </row>
    <row r="390" spans="1:8" ht="13.8" x14ac:dyDescent="0.25">
      <c r="A390" s="7" t="s">
        <v>2742</v>
      </c>
      <c r="B390" s="60">
        <v>521211</v>
      </c>
      <c r="C390" s="41" t="s">
        <v>7</v>
      </c>
      <c r="D390" s="60"/>
      <c r="E390" s="60"/>
      <c r="F390" s="42"/>
      <c r="G390" s="42">
        <f>SUM(G391:G393)</f>
        <v>22650000</v>
      </c>
      <c r="H390" s="210" t="b">
        <f t="shared" si="10"/>
        <v>1</v>
      </c>
    </row>
    <row r="391" spans="1:8" ht="13.8" x14ac:dyDescent="0.25">
      <c r="A391" s="7" t="s">
        <v>2743</v>
      </c>
      <c r="B391" s="152"/>
      <c r="C391" s="151" t="s">
        <v>3598</v>
      </c>
      <c r="D391" s="152">
        <v>6</v>
      </c>
      <c r="E391" s="152" t="s">
        <v>9</v>
      </c>
      <c r="F391" s="153">
        <v>1500000</v>
      </c>
      <c r="G391" s="153">
        <f>ROUNDDOWN(D391*F391,-3)</f>
        <v>9000000</v>
      </c>
      <c r="H391" s="210" t="b">
        <f t="shared" si="10"/>
        <v>1</v>
      </c>
    </row>
    <row r="392" spans="1:8" ht="13.8" x14ac:dyDescent="0.25">
      <c r="A392" s="7" t="s">
        <v>2744</v>
      </c>
      <c r="B392" s="152"/>
      <c r="C392" s="151" t="s">
        <v>4420</v>
      </c>
      <c r="D392" s="152">
        <v>70</v>
      </c>
      <c r="E392" s="152" t="s">
        <v>10</v>
      </c>
      <c r="F392" s="153">
        <v>70000</v>
      </c>
      <c r="G392" s="153">
        <f>ROUNDDOWN(D392*F392,-3)</f>
        <v>4900000</v>
      </c>
      <c r="H392" s="210" t="b">
        <f t="shared" si="10"/>
        <v>1</v>
      </c>
    </row>
    <row r="393" spans="1:8" ht="13.8" x14ac:dyDescent="0.25">
      <c r="A393" s="7" t="s">
        <v>2746</v>
      </c>
      <c r="B393" s="152"/>
      <c r="C393" s="151" t="s">
        <v>4421</v>
      </c>
      <c r="D393" s="152">
        <v>25</v>
      </c>
      <c r="E393" s="152" t="s">
        <v>176</v>
      </c>
      <c r="F393" s="153">
        <v>350000</v>
      </c>
      <c r="G393" s="153">
        <f>ROUNDDOWN(D393*F393,-3)</f>
        <v>8750000</v>
      </c>
      <c r="H393" s="210" t="b">
        <f t="shared" si="10"/>
        <v>1</v>
      </c>
    </row>
    <row r="394" spans="1:8" ht="13.8" x14ac:dyDescent="0.25">
      <c r="A394" s="7" t="s">
        <v>2747</v>
      </c>
      <c r="B394" s="60">
        <v>521219</v>
      </c>
      <c r="C394" s="41" t="s">
        <v>53</v>
      </c>
      <c r="D394" s="60"/>
      <c r="E394" s="60"/>
      <c r="F394" s="42"/>
      <c r="G394" s="42">
        <f>G395</f>
        <v>1000000</v>
      </c>
      <c r="H394" s="210" t="b">
        <f t="shared" si="10"/>
        <v>1</v>
      </c>
    </row>
    <row r="395" spans="1:8" ht="13.8" x14ac:dyDescent="0.25">
      <c r="A395" s="7" t="s">
        <v>2748</v>
      </c>
      <c r="B395" s="152"/>
      <c r="C395" s="151" t="s">
        <v>3722</v>
      </c>
      <c r="D395" s="152">
        <v>4</v>
      </c>
      <c r="E395" s="152" t="s">
        <v>2749</v>
      </c>
      <c r="F395" s="153">
        <v>250000</v>
      </c>
      <c r="G395" s="153">
        <f>ROUNDDOWN(D395*F395,-3)</f>
        <v>1000000</v>
      </c>
      <c r="H395" s="210" t="b">
        <f t="shared" si="10"/>
        <v>1</v>
      </c>
    </row>
    <row r="396" spans="1:8" ht="13.8" x14ac:dyDescent="0.25">
      <c r="A396" s="7" t="s">
        <v>2750</v>
      </c>
      <c r="B396" s="60">
        <v>521811</v>
      </c>
      <c r="C396" s="41" t="s">
        <v>64</v>
      </c>
      <c r="D396" s="60"/>
      <c r="E396" s="60"/>
      <c r="F396" s="42"/>
      <c r="G396" s="42">
        <f>SUM(G397:G398)</f>
        <v>15000000</v>
      </c>
      <c r="H396" s="210" t="b">
        <f t="shared" si="10"/>
        <v>1</v>
      </c>
    </row>
    <row r="397" spans="1:8" ht="13.8" x14ac:dyDescent="0.25">
      <c r="A397" s="7" t="s">
        <v>2751</v>
      </c>
      <c r="B397" s="152"/>
      <c r="C397" s="151" t="s">
        <v>3625</v>
      </c>
      <c r="D397" s="152">
        <v>6</v>
      </c>
      <c r="E397" s="152" t="s">
        <v>106</v>
      </c>
      <c r="F397" s="153">
        <v>1000000</v>
      </c>
      <c r="G397" s="153">
        <f>ROUNDDOWN(D397*F397,-3)</f>
        <v>6000000</v>
      </c>
      <c r="H397" s="210" t="b">
        <f t="shared" ref="H397:H460" si="13">_xlfn.ISFORMULA(G397)</f>
        <v>1</v>
      </c>
    </row>
    <row r="398" spans="1:8" ht="13.8" x14ac:dyDescent="0.25">
      <c r="A398" s="7" t="s">
        <v>2752</v>
      </c>
      <c r="B398" s="152"/>
      <c r="C398" s="151" t="s">
        <v>3626</v>
      </c>
      <c r="D398" s="152">
        <v>6</v>
      </c>
      <c r="E398" s="152" t="s">
        <v>106</v>
      </c>
      <c r="F398" s="153">
        <v>1500000</v>
      </c>
      <c r="G398" s="153">
        <f>ROUNDDOWN(D398*F398,-3)</f>
        <v>9000000</v>
      </c>
      <c r="H398" s="210" t="b">
        <f t="shared" si="13"/>
        <v>1</v>
      </c>
    </row>
    <row r="399" spans="1:8" ht="13.8" x14ac:dyDescent="0.25">
      <c r="A399" s="7" t="s">
        <v>2753</v>
      </c>
      <c r="B399" s="60">
        <v>524111</v>
      </c>
      <c r="C399" s="41" t="s">
        <v>19</v>
      </c>
      <c r="D399" s="60"/>
      <c r="E399" s="60"/>
      <c r="F399" s="42"/>
      <c r="G399" s="42">
        <f>G400</f>
        <v>62400000</v>
      </c>
      <c r="H399" s="210" t="b">
        <f t="shared" si="13"/>
        <v>1</v>
      </c>
    </row>
    <row r="400" spans="1:8" ht="13.8" x14ac:dyDescent="0.25">
      <c r="A400" s="7" t="s">
        <v>2754</v>
      </c>
      <c r="B400" s="152"/>
      <c r="C400" s="151" t="s">
        <v>4422</v>
      </c>
      <c r="D400" s="152">
        <v>12</v>
      </c>
      <c r="E400" s="152" t="s">
        <v>10</v>
      </c>
      <c r="F400" s="153">
        <v>5200000</v>
      </c>
      <c r="G400" s="153">
        <f>ROUNDDOWN(D400*F400,-3)</f>
        <v>62400000</v>
      </c>
      <c r="H400" s="210" t="b">
        <f t="shared" si="13"/>
        <v>1</v>
      </c>
    </row>
    <row r="401" spans="1:8" ht="13.8" x14ac:dyDescent="0.25">
      <c r="A401" s="7" t="s">
        <v>2756</v>
      </c>
      <c r="B401" s="59" t="s">
        <v>511</v>
      </c>
      <c r="C401" s="38" t="s">
        <v>130</v>
      </c>
      <c r="D401" s="59"/>
      <c r="E401" s="59"/>
      <c r="F401" s="39"/>
      <c r="G401" s="39">
        <f>SUM(G402,G406,G408,G411,G413)</f>
        <v>345988000</v>
      </c>
      <c r="H401" s="210" t="b">
        <f t="shared" si="13"/>
        <v>1</v>
      </c>
    </row>
    <row r="402" spans="1:8" ht="13.8" x14ac:dyDescent="0.25">
      <c r="A402" s="7" t="s">
        <v>2757</v>
      </c>
      <c r="B402" s="60">
        <v>521211</v>
      </c>
      <c r="C402" s="41" t="s">
        <v>7</v>
      </c>
      <c r="D402" s="60"/>
      <c r="E402" s="60"/>
      <c r="F402" s="42"/>
      <c r="G402" s="42">
        <f>SUM(G403:G405)</f>
        <v>49300000</v>
      </c>
      <c r="H402" s="210" t="b">
        <f t="shared" si="13"/>
        <v>1</v>
      </c>
    </row>
    <row r="403" spans="1:8" ht="13.8" x14ac:dyDescent="0.25">
      <c r="A403" s="7" t="s">
        <v>2758</v>
      </c>
      <c r="B403" s="152"/>
      <c r="C403" s="151" t="s">
        <v>3598</v>
      </c>
      <c r="D403" s="152">
        <v>10</v>
      </c>
      <c r="E403" s="152" t="s">
        <v>9</v>
      </c>
      <c r="F403" s="153">
        <v>1500000</v>
      </c>
      <c r="G403" s="153">
        <f>ROUNDDOWN(D403*F403,-3)</f>
        <v>15000000</v>
      </c>
      <c r="H403" s="210" t="b">
        <f t="shared" si="13"/>
        <v>1</v>
      </c>
    </row>
    <row r="404" spans="1:8" ht="13.8" x14ac:dyDescent="0.25">
      <c r="A404" s="7" t="s">
        <v>2759</v>
      </c>
      <c r="B404" s="152"/>
      <c r="C404" s="151" t="s">
        <v>4420</v>
      </c>
      <c r="D404" s="152">
        <v>290</v>
      </c>
      <c r="E404" s="152" t="s">
        <v>10</v>
      </c>
      <c r="F404" s="153">
        <v>70000</v>
      </c>
      <c r="G404" s="153">
        <f>ROUNDDOWN(D404*F404,-3)</f>
        <v>20300000</v>
      </c>
      <c r="H404" s="210" t="b">
        <f t="shared" si="13"/>
        <v>1</v>
      </c>
    </row>
    <row r="405" spans="1:8" ht="13.8" x14ac:dyDescent="0.25">
      <c r="A405" s="7" t="s">
        <v>2760</v>
      </c>
      <c r="B405" s="152"/>
      <c r="C405" s="151" t="s">
        <v>4421</v>
      </c>
      <c r="D405" s="152">
        <v>40</v>
      </c>
      <c r="E405" s="152" t="s">
        <v>176</v>
      </c>
      <c r="F405" s="153">
        <v>350000</v>
      </c>
      <c r="G405" s="153">
        <f>ROUNDDOWN(D405*F405,-3)</f>
        <v>14000000</v>
      </c>
      <c r="H405" s="210" t="b">
        <f t="shared" si="13"/>
        <v>1</v>
      </c>
    </row>
    <row r="406" spans="1:8" ht="13.8" x14ac:dyDescent="0.25">
      <c r="A406" s="7" t="s">
        <v>2761</v>
      </c>
      <c r="B406" s="60">
        <v>521219</v>
      </c>
      <c r="C406" s="41" t="s">
        <v>53</v>
      </c>
      <c r="D406" s="60"/>
      <c r="E406" s="60"/>
      <c r="F406" s="42"/>
      <c r="G406" s="42">
        <f>G407</f>
        <v>1000000</v>
      </c>
      <c r="H406" s="210" t="b">
        <f t="shared" si="13"/>
        <v>1</v>
      </c>
    </row>
    <row r="407" spans="1:8" ht="13.8" x14ac:dyDescent="0.25">
      <c r="A407" s="7" t="s">
        <v>2762</v>
      </c>
      <c r="B407" s="152"/>
      <c r="C407" s="151" t="s">
        <v>3722</v>
      </c>
      <c r="D407" s="152">
        <v>4</v>
      </c>
      <c r="E407" s="152" t="s">
        <v>9</v>
      </c>
      <c r="F407" s="153">
        <v>250000</v>
      </c>
      <c r="G407" s="153">
        <f>ROUNDDOWN(D407*F407,-3)</f>
        <v>1000000</v>
      </c>
      <c r="H407" s="210" t="b">
        <f t="shared" si="13"/>
        <v>1</v>
      </c>
    </row>
    <row r="408" spans="1:8" ht="13.8" x14ac:dyDescent="0.25">
      <c r="A408" s="7" t="s">
        <v>2763</v>
      </c>
      <c r="B408" s="60">
        <v>521811</v>
      </c>
      <c r="C408" s="41" t="s">
        <v>64</v>
      </c>
      <c r="D408" s="60"/>
      <c r="E408" s="60"/>
      <c r="F408" s="42"/>
      <c r="G408" s="42">
        <f>SUM(G409:G410)</f>
        <v>25000000</v>
      </c>
      <c r="H408" s="210" t="b">
        <f t="shared" si="13"/>
        <v>1</v>
      </c>
    </row>
    <row r="409" spans="1:8" ht="13.8" x14ac:dyDescent="0.25">
      <c r="A409" s="7" t="s">
        <v>2764</v>
      </c>
      <c r="B409" s="152"/>
      <c r="C409" s="151" t="s">
        <v>3625</v>
      </c>
      <c r="D409" s="152">
        <v>10</v>
      </c>
      <c r="E409" s="152" t="s">
        <v>106</v>
      </c>
      <c r="F409" s="153">
        <v>1000000</v>
      </c>
      <c r="G409" s="153">
        <f>ROUNDDOWN(D409*F409,-3)</f>
        <v>10000000</v>
      </c>
      <c r="H409" s="210" t="b">
        <f t="shared" si="13"/>
        <v>1</v>
      </c>
    </row>
    <row r="410" spans="1:8" ht="13.8" x14ac:dyDescent="0.25">
      <c r="A410" s="7" t="s">
        <v>2765</v>
      </c>
      <c r="B410" s="152"/>
      <c r="C410" s="151" t="s">
        <v>3626</v>
      </c>
      <c r="D410" s="152">
        <v>10</v>
      </c>
      <c r="E410" s="152" t="s">
        <v>106</v>
      </c>
      <c r="F410" s="153">
        <v>1500000</v>
      </c>
      <c r="G410" s="153">
        <f>ROUNDDOWN(D410*F410,-3)</f>
        <v>15000000</v>
      </c>
      <c r="H410" s="210" t="b">
        <f t="shared" si="13"/>
        <v>1</v>
      </c>
    </row>
    <row r="411" spans="1:8" ht="13.8" x14ac:dyDescent="0.25">
      <c r="A411" s="7" t="s">
        <v>2766</v>
      </c>
      <c r="B411" s="60">
        <v>522151</v>
      </c>
      <c r="C411" s="41" t="s">
        <v>11</v>
      </c>
      <c r="D411" s="60"/>
      <c r="E411" s="60"/>
      <c r="F411" s="42"/>
      <c r="G411" s="42">
        <f>G412</f>
        <v>12000000</v>
      </c>
      <c r="H411" s="210" t="b">
        <f t="shared" si="13"/>
        <v>1</v>
      </c>
    </row>
    <row r="412" spans="1:8" ht="13.8" x14ac:dyDescent="0.25">
      <c r="A412" s="7" t="s">
        <v>2767</v>
      </c>
      <c r="B412" s="152"/>
      <c r="C412" s="151" t="s">
        <v>3715</v>
      </c>
      <c r="D412" s="152">
        <v>12</v>
      </c>
      <c r="E412" s="152" t="s">
        <v>54</v>
      </c>
      <c r="F412" s="153">
        <v>1000000</v>
      </c>
      <c r="G412" s="153">
        <f>ROUNDDOWN(D412*F412,-3)</f>
        <v>12000000</v>
      </c>
      <c r="H412" s="210" t="b">
        <f t="shared" si="13"/>
        <v>1</v>
      </c>
    </row>
    <row r="413" spans="1:8" ht="13.8" x14ac:dyDescent="0.25">
      <c r="A413" s="7" t="s">
        <v>2768</v>
      </c>
      <c r="B413" s="60">
        <v>524111</v>
      </c>
      <c r="C413" s="41" t="s">
        <v>19</v>
      </c>
      <c r="D413" s="60"/>
      <c r="E413" s="60"/>
      <c r="F413" s="42"/>
      <c r="G413" s="42">
        <f>G414</f>
        <v>258688000</v>
      </c>
      <c r="H413" s="210" t="b">
        <f t="shared" si="13"/>
        <v>1</v>
      </c>
    </row>
    <row r="414" spans="1:8" ht="13.8" x14ac:dyDescent="0.25">
      <c r="A414" s="7" t="s">
        <v>2769</v>
      </c>
      <c r="B414" s="152"/>
      <c r="C414" s="151" t="s">
        <v>4423</v>
      </c>
      <c r="D414" s="152">
        <v>40</v>
      </c>
      <c r="E414" s="152" t="s">
        <v>10</v>
      </c>
      <c r="F414" s="153">
        <v>6467200</v>
      </c>
      <c r="G414" s="153">
        <f>ROUNDDOWN(D414*F414,-3)</f>
        <v>258688000</v>
      </c>
      <c r="H414" s="210" t="b">
        <f t="shared" si="13"/>
        <v>1</v>
      </c>
    </row>
    <row r="415" spans="1:8" ht="13.8" x14ac:dyDescent="0.25">
      <c r="A415" s="7" t="s">
        <v>2771</v>
      </c>
      <c r="B415" s="59" t="s">
        <v>512</v>
      </c>
      <c r="C415" s="38" t="s">
        <v>131</v>
      </c>
      <c r="D415" s="59"/>
      <c r="E415" s="59"/>
      <c r="F415" s="39"/>
      <c r="G415" s="39">
        <f>SUM(G416,G420,G423,G425)</f>
        <v>168100000</v>
      </c>
      <c r="H415" s="210" t="b">
        <f t="shared" si="13"/>
        <v>1</v>
      </c>
    </row>
    <row r="416" spans="1:8" ht="13.8" x14ac:dyDescent="0.25">
      <c r="A416" s="7" t="s">
        <v>2772</v>
      </c>
      <c r="B416" s="60">
        <v>521211</v>
      </c>
      <c r="C416" s="41" t="s">
        <v>7</v>
      </c>
      <c r="D416" s="60"/>
      <c r="E416" s="60"/>
      <c r="F416" s="42"/>
      <c r="G416" s="42">
        <f>SUM(G417:G419)</f>
        <v>39500000</v>
      </c>
      <c r="H416" s="210" t="b">
        <f t="shared" si="13"/>
        <v>1</v>
      </c>
    </row>
    <row r="417" spans="1:8" ht="13.8" x14ac:dyDescent="0.25">
      <c r="A417" s="7" t="s">
        <v>2773</v>
      </c>
      <c r="B417" s="152"/>
      <c r="C417" s="151" t="s">
        <v>3598</v>
      </c>
      <c r="D417" s="152">
        <v>10</v>
      </c>
      <c r="E417" s="152" t="s">
        <v>9</v>
      </c>
      <c r="F417" s="153">
        <v>1500000</v>
      </c>
      <c r="G417" s="153">
        <f>ROUNDDOWN(D417*F417,-3)</f>
        <v>15000000</v>
      </c>
      <c r="H417" s="210" t="b">
        <f t="shared" si="13"/>
        <v>1</v>
      </c>
    </row>
    <row r="418" spans="1:8" ht="13.8" x14ac:dyDescent="0.25">
      <c r="A418" s="7" t="s">
        <v>2774</v>
      </c>
      <c r="B418" s="152"/>
      <c r="C418" s="151" t="s">
        <v>4420</v>
      </c>
      <c r="D418" s="152">
        <v>150</v>
      </c>
      <c r="E418" s="152" t="s">
        <v>10</v>
      </c>
      <c r="F418" s="153">
        <v>70000</v>
      </c>
      <c r="G418" s="153">
        <f>ROUNDDOWN(D418*F418,-3)</f>
        <v>10500000</v>
      </c>
      <c r="H418" s="210" t="b">
        <f t="shared" si="13"/>
        <v>1</v>
      </c>
    </row>
    <row r="419" spans="1:8" ht="13.8" x14ac:dyDescent="0.25">
      <c r="A419" s="7" t="s">
        <v>2775</v>
      </c>
      <c r="B419" s="152"/>
      <c r="C419" s="151" t="s">
        <v>4421</v>
      </c>
      <c r="D419" s="152">
        <v>40</v>
      </c>
      <c r="E419" s="152" t="s">
        <v>176</v>
      </c>
      <c r="F419" s="153">
        <v>350000</v>
      </c>
      <c r="G419" s="153">
        <f>ROUNDDOWN(D419*F419,-3)</f>
        <v>14000000</v>
      </c>
      <c r="H419" s="210" t="b">
        <f t="shared" si="13"/>
        <v>1</v>
      </c>
    </row>
    <row r="420" spans="1:8" ht="13.8" x14ac:dyDescent="0.25">
      <c r="A420" s="7" t="s">
        <v>2776</v>
      </c>
      <c r="B420" s="60">
        <v>521811</v>
      </c>
      <c r="C420" s="41" t="s">
        <v>64</v>
      </c>
      <c r="D420" s="60"/>
      <c r="E420" s="60"/>
      <c r="F420" s="42"/>
      <c r="G420" s="42">
        <f>SUM(G421:G422)</f>
        <v>25000000</v>
      </c>
      <c r="H420" s="210" t="b">
        <f t="shared" si="13"/>
        <v>1</v>
      </c>
    </row>
    <row r="421" spans="1:8" ht="13.8" x14ac:dyDescent="0.25">
      <c r="A421" s="7" t="s">
        <v>2777</v>
      </c>
      <c r="B421" s="152"/>
      <c r="C421" s="151" t="s">
        <v>3625</v>
      </c>
      <c r="D421" s="152">
        <v>10</v>
      </c>
      <c r="E421" s="152" t="s">
        <v>106</v>
      </c>
      <c r="F421" s="153">
        <v>1000000</v>
      </c>
      <c r="G421" s="153">
        <f>ROUNDDOWN(D421*F421,-3)</f>
        <v>10000000</v>
      </c>
      <c r="H421" s="210" t="b">
        <f t="shared" si="13"/>
        <v>1</v>
      </c>
    </row>
    <row r="422" spans="1:8" ht="13.8" x14ac:dyDescent="0.25">
      <c r="A422" s="7" t="s">
        <v>2778</v>
      </c>
      <c r="B422" s="152"/>
      <c r="C422" s="151" t="s">
        <v>3626</v>
      </c>
      <c r="D422" s="152">
        <v>10</v>
      </c>
      <c r="E422" s="152" t="s">
        <v>106</v>
      </c>
      <c r="F422" s="153">
        <v>1500000</v>
      </c>
      <c r="G422" s="153">
        <f>ROUNDDOWN(D422*F422,-3)</f>
        <v>15000000</v>
      </c>
      <c r="H422" s="210" t="b">
        <f t="shared" si="13"/>
        <v>1</v>
      </c>
    </row>
    <row r="423" spans="1:8" ht="13.8" x14ac:dyDescent="0.25">
      <c r="A423" s="7" t="s">
        <v>2779</v>
      </c>
      <c r="B423" s="60">
        <v>522151</v>
      </c>
      <c r="C423" s="41" t="s">
        <v>11</v>
      </c>
      <c r="D423" s="60"/>
      <c r="E423" s="60"/>
      <c r="F423" s="42"/>
      <c r="G423" s="42">
        <f>G424</f>
        <v>10000000</v>
      </c>
      <c r="H423" s="210" t="b">
        <f t="shared" si="13"/>
        <v>1</v>
      </c>
    </row>
    <row r="424" spans="1:8" ht="13.8" x14ac:dyDescent="0.25">
      <c r="A424" s="7" t="s">
        <v>2780</v>
      </c>
      <c r="B424" s="152"/>
      <c r="C424" s="151" t="s">
        <v>3715</v>
      </c>
      <c r="D424" s="152">
        <v>10</v>
      </c>
      <c r="E424" s="152" t="s">
        <v>54</v>
      </c>
      <c r="F424" s="153">
        <v>1000000</v>
      </c>
      <c r="G424" s="153">
        <f>ROUNDDOWN(D424*F424,-3)</f>
        <v>10000000</v>
      </c>
      <c r="H424" s="210" t="b">
        <f t="shared" si="13"/>
        <v>1</v>
      </c>
    </row>
    <row r="425" spans="1:8" ht="13.8" x14ac:dyDescent="0.25">
      <c r="A425" s="7" t="s">
        <v>2781</v>
      </c>
      <c r="B425" s="60">
        <v>524111</v>
      </c>
      <c r="C425" s="41" t="s">
        <v>19</v>
      </c>
      <c r="D425" s="60"/>
      <c r="E425" s="60"/>
      <c r="F425" s="42"/>
      <c r="G425" s="42">
        <f>G426</f>
        <v>93600000</v>
      </c>
      <c r="H425" s="210" t="b">
        <f t="shared" si="13"/>
        <v>1</v>
      </c>
    </row>
    <row r="426" spans="1:8" ht="26.4" x14ac:dyDescent="0.25">
      <c r="A426" s="7" t="s">
        <v>2782</v>
      </c>
      <c r="B426" s="152"/>
      <c r="C426" s="151" t="s">
        <v>4424</v>
      </c>
      <c r="D426" s="152">
        <v>18</v>
      </c>
      <c r="E426" s="152" t="s">
        <v>10</v>
      </c>
      <c r="F426" s="153">
        <v>5200000</v>
      </c>
      <c r="G426" s="153">
        <f>ROUNDDOWN(D426*F426,-3)</f>
        <v>93600000</v>
      </c>
      <c r="H426" s="210" t="b">
        <f t="shared" si="13"/>
        <v>1</v>
      </c>
    </row>
    <row r="427" spans="1:8" ht="13.8" x14ac:dyDescent="0.25">
      <c r="A427" s="7" t="s">
        <v>2784</v>
      </c>
      <c r="B427" s="138" t="s">
        <v>4425</v>
      </c>
      <c r="C427" s="137" t="s">
        <v>2786</v>
      </c>
      <c r="D427" s="138">
        <v>2</v>
      </c>
      <c r="E427" s="138" t="s">
        <v>4315</v>
      </c>
      <c r="F427" s="139"/>
      <c r="G427" s="139">
        <f>SUM(G428,G457)</f>
        <v>633732000</v>
      </c>
      <c r="H427" s="210" t="b">
        <f t="shared" si="13"/>
        <v>1</v>
      </c>
    </row>
    <row r="428" spans="1:8" ht="26.4" x14ac:dyDescent="0.25">
      <c r="A428" s="7" t="s">
        <v>3052</v>
      </c>
      <c r="B428" s="58">
        <v>301</v>
      </c>
      <c r="C428" s="35" t="s">
        <v>3053</v>
      </c>
      <c r="D428" s="58"/>
      <c r="E428" s="58"/>
      <c r="F428" s="36"/>
      <c r="G428" s="36">
        <f>SUM(G429,G440)</f>
        <v>507200000</v>
      </c>
      <c r="H428" s="210" t="b">
        <f t="shared" si="13"/>
        <v>1</v>
      </c>
    </row>
    <row r="429" spans="1:8" ht="13.8" x14ac:dyDescent="0.25">
      <c r="A429" s="7" t="s">
        <v>3054</v>
      </c>
      <c r="B429" s="59" t="s">
        <v>8</v>
      </c>
      <c r="C429" s="38" t="s">
        <v>174</v>
      </c>
      <c r="D429" s="59"/>
      <c r="E429" s="59"/>
      <c r="F429" s="39"/>
      <c r="G429" s="39">
        <f>SUM(G430,G436,G438)</f>
        <v>295200000</v>
      </c>
      <c r="H429" s="210" t="b">
        <f t="shared" si="13"/>
        <v>1</v>
      </c>
    </row>
    <row r="430" spans="1:8" ht="13.8" x14ac:dyDescent="0.25">
      <c r="A430" s="7" t="s">
        <v>3055</v>
      </c>
      <c r="B430" s="60">
        <v>521211</v>
      </c>
      <c r="C430" s="41" t="s">
        <v>7</v>
      </c>
      <c r="D430" s="60"/>
      <c r="E430" s="60"/>
      <c r="F430" s="42"/>
      <c r="G430" s="42">
        <f>SUM(G431:G435)</f>
        <v>46000000</v>
      </c>
      <c r="H430" s="210" t="b">
        <f t="shared" si="13"/>
        <v>1</v>
      </c>
    </row>
    <row r="431" spans="1:8" ht="13.8" x14ac:dyDescent="0.25">
      <c r="A431" s="7" t="s">
        <v>3056</v>
      </c>
      <c r="B431" s="152"/>
      <c r="C431" s="151" t="s">
        <v>3598</v>
      </c>
      <c r="D431" s="152">
        <v>5</v>
      </c>
      <c r="E431" s="152" t="s">
        <v>9</v>
      </c>
      <c r="F431" s="153">
        <v>1500000</v>
      </c>
      <c r="G431" s="153">
        <f>ROUNDDOWN(D431*F431,-3)</f>
        <v>7500000</v>
      </c>
      <c r="H431" s="210" t="b">
        <f t="shared" si="13"/>
        <v>1</v>
      </c>
    </row>
    <row r="432" spans="1:8" ht="13.8" x14ac:dyDescent="0.25">
      <c r="A432" s="7" t="s">
        <v>3057</v>
      </c>
      <c r="B432" s="152"/>
      <c r="C432" s="151" t="s">
        <v>4420</v>
      </c>
      <c r="D432" s="152">
        <v>280</v>
      </c>
      <c r="E432" s="152" t="s">
        <v>10</v>
      </c>
      <c r="F432" s="153">
        <v>75000</v>
      </c>
      <c r="G432" s="153">
        <f>ROUNDDOWN(D432*F432,-3)</f>
        <v>21000000</v>
      </c>
      <c r="H432" s="210" t="b">
        <f t="shared" si="13"/>
        <v>1</v>
      </c>
    </row>
    <row r="433" spans="1:8" ht="13.8" x14ac:dyDescent="0.25">
      <c r="A433" s="7" t="s">
        <v>3058</v>
      </c>
      <c r="B433" s="152"/>
      <c r="C433" s="151" t="s">
        <v>4421</v>
      </c>
      <c r="D433" s="152">
        <v>30</v>
      </c>
      <c r="E433" s="152" t="s">
        <v>176</v>
      </c>
      <c r="F433" s="153">
        <v>250000</v>
      </c>
      <c r="G433" s="153">
        <f>ROUNDDOWN(D433*F433,-3)</f>
        <v>7500000</v>
      </c>
      <c r="H433" s="210" t="b">
        <f t="shared" si="13"/>
        <v>1</v>
      </c>
    </row>
    <row r="434" spans="1:8" ht="13.8" x14ac:dyDescent="0.25">
      <c r="A434" s="7" t="s">
        <v>3059</v>
      </c>
      <c r="B434" s="152"/>
      <c r="C434" s="151" t="s">
        <v>3610</v>
      </c>
      <c r="D434" s="152">
        <v>4</v>
      </c>
      <c r="E434" s="152" t="s">
        <v>106</v>
      </c>
      <c r="F434" s="153">
        <v>1000000</v>
      </c>
      <c r="G434" s="153">
        <f>ROUNDDOWN(D434*F434,-3)</f>
        <v>4000000</v>
      </c>
      <c r="H434" s="210" t="b">
        <f t="shared" si="13"/>
        <v>1</v>
      </c>
    </row>
    <row r="435" spans="1:8" ht="13.8" x14ac:dyDescent="0.25">
      <c r="A435" s="7" t="s">
        <v>3060</v>
      </c>
      <c r="B435" s="152"/>
      <c r="C435" s="151" t="s">
        <v>3611</v>
      </c>
      <c r="D435" s="152">
        <v>4</v>
      </c>
      <c r="E435" s="152" t="s">
        <v>106</v>
      </c>
      <c r="F435" s="153">
        <v>1500000</v>
      </c>
      <c r="G435" s="153">
        <f>ROUNDDOWN(D435*F435,-3)</f>
        <v>6000000</v>
      </c>
      <c r="H435" s="210" t="b">
        <f t="shared" si="13"/>
        <v>1</v>
      </c>
    </row>
    <row r="436" spans="1:8" ht="13.8" x14ac:dyDescent="0.25">
      <c r="A436" s="7" t="s">
        <v>3061</v>
      </c>
      <c r="B436" s="60">
        <v>521219</v>
      </c>
      <c r="C436" s="41" t="s">
        <v>53</v>
      </c>
      <c r="D436" s="60"/>
      <c r="E436" s="60"/>
      <c r="F436" s="42"/>
      <c r="G436" s="42">
        <f>G437</f>
        <v>2000000</v>
      </c>
      <c r="H436" s="210" t="b">
        <f t="shared" si="13"/>
        <v>1</v>
      </c>
    </row>
    <row r="437" spans="1:8" ht="26.4" x14ac:dyDescent="0.25">
      <c r="A437" s="7" t="s">
        <v>3062</v>
      </c>
      <c r="B437" s="152"/>
      <c r="C437" s="151" t="s">
        <v>4508</v>
      </c>
      <c r="D437" s="152">
        <v>1</v>
      </c>
      <c r="E437" s="152" t="s">
        <v>153</v>
      </c>
      <c r="F437" s="153">
        <v>2000000</v>
      </c>
      <c r="G437" s="153">
        <f>ROUNDDOWN(D437*F437,-3)</f>
        <v>2000000</v>
      </c>
      <c r="H437" s="210" t="b">
        <f t="shared" si="13"/>
        <v>1</v>
      </c>
    </row>
    <row r="438" spans="1:8" ht="13.8" x14ac:dyDescent="0.25">
      <c r="A438" s="7" t="s">
        <v>3064</v>
      </c>
      <c r="B438" s="60">
        <v>524111</v>
      </c>
      <c r="C438" s="41" t="s">
        <v>19</v>
      </c>
      <c r="D438" s="60"/>
      <c r="E438" s="60"/>
      <c r="F438" s="42"/>
      <c r="G438" s="42">
        <f>G439</f>
        <v>247200000</v>
      </c>
      <c r="H438" s="210" t="b">
        <f t="shared" si="13"/>
        <v>1</v>
      </c>
    </row>
    <row r="439" spans="1:8" ht="13.8" x14ac:dyDescent="0.25">
      <c r="A439" s="7" t="s">
        <v>3065</v>
      </c>
      <c r="B439" s="152"/>
      <c r="C439" s="151" t="s">
        <v>4509</v>
      </c>
      <c r="D439" s="152">
        <v>40</v>
      </c>
      <c r="E439" s="152" t="s">
        <v>10</v>
      </c>
      <c r="F439" s="153">
        <v>6180000</v>
      </c>
      <c r="G439" s="153">
        <f>ROUNDDOWN(D439*F439,-3)</f>
        <v>247200000</v>
      </c>
      <c r="H439" s="210" t="b">
        <f t="shared" si="13"/>
        <v>1</v>
      </c>
    </row>
    <row r="440" spans="1:8" ht="13.8" x14ac:dyDescent="0.25">
      <c r="A440" s="7" t="s">
        <v>3067</v>
      </c>
      <c r="B440" s="59" t="s">
        <v>511</v>
      </c>
      <c r="C440" s="38" t="s">
        <v>175</v>
      </c>
      <c r="D440" s="59"/>
      <c r="E440" s="59"/>
      <c r="F440" s="39"/>
      <c r="G440" s="39">
        <f>SUM(G441,G448,G451,G453,G455)</f>
        <v>212000000</v>
      </c>
      <c r="H440" s="210" t="b">
        <f t="shared" si="13"/>
        <v>1</v>
      </c>
    </row>
    <row r="441" spans="1:8" ht="13.8" x14ac:dyDescent="0.25">
      <c r="A441" s="7" t="s">
        <v>3068</v>
      </c>
      <c r="B441" s="60">
        <v>521211</v>
      </c>
      <c r="C441" s="41" t="s">
        <v>7</v>
      </c>
      <c r="D441" s="60"/>
      <c r="E441" s="60"/>
      <c r="F441" s="42"/>
      <c r="G441" s="42">
        <f>SUM(G442:G447)</f>
        <v>41000000</v>
      </c>
      <c r="H441" s="210" t="b">
        <f t="shared" si="13"/>
        <v>1</v>
      </c>
    </row>
    <row r="442" spans="1:8" ht="13.8" x14ac:dyDescent="0.25">
      <c r="A442" s="7" t="s">
        <v>3069</v>
      </c>
      <c r="B442" s="152"/>
      <c r="C442" s="151" t="s">
        <v>3598</v>
      </c>
      <c r="D442" s="152">
        <v>4</v>
      </c>
      <c r="E442" s="152" t="s">
        <v>9</v>
      </c>
      <c r="F442" s="153">
        <v>1500000</v>
      </c>
      <c r="G442" s="153">
        <f t="shared" ref="G442:G447" si="14">ROUNDDOWN(D442*F442,-3)</f>
        <v>6000000</v>
      </c>
      <c r="H442" s="210" t="b">
        <f t="shared" si="13"/>
        <v>1</v>
      </c>
    </row>
    <row r="443" spans="1:8" ht="13.8" x14ac:dyDescent="0.25">
      <c r="A443" s="7" t="s">
        <v>3070</v>
      </c>
      <c r="B443" s="152"/>
      <c r="C443" s="151" t="s">
        <v>4420</v>
      </c>
      <c r="D443" s="152">
        <v>180</v>
      </c>
      <c r="E443" s="152" t="s">
        <v>10</v>
      </c>
      <c r="F443" s="153">
        <v>75000</v>
      </c>
      <c r="G443" s="153">
        <f t="shared" si="14"/>
        <v>13500000</v>
      </c>
      <c r="H443" s="210" t="b">
        <f t="shared" si="13"/>
        <v>1</v>
      </c>
    </row>
    <row r="444" spans="1:8" ht="13.8" x14ac:dyDescent="0.25">
      <c r="A444" s="7" t="s">
        <v>3071</v>
      </c>
      <c r="B444" s="152"/>
      <c r="C444" s="151" t="s">
        <v>4510</v>
      </c>
      <c r="D444" s="152">
        <v>15</v>
      </c>
      <c r="E444" s="152" t="s">
        <v>176</v>
      </c>
      <c r="F444" s="153">
        <v>500000</v>
      </c>
      <c r="G444" s="153">
        <f t="shared" si="14"/>
        <v>7500000</v>
      </c>
      <c r="H444" s="210" t="b">
        <f t="shared" si="13"/>
        <v>1</v>
      </c>
    </row>
    <row r="445" spans="1:8" ht="13.8" x14ac:dyDescent="0.25">
      <c r="A445" s="7" t="s">
        <v>3073</v>
      </c>
      <c r="B445" s="152"/>
      <c r="C445" s="151" t="s">
        <v>3610</v>
      </c>
      <c r="D445" s="152">
        <v>4</v>
      </c>
      <c r="E445" s="152" t="s">
        <v>106</v>
      </c>
      <c r="F445" s="153">
        <v>1000000</v>
      </c>
      <c r="G445" s="153">
        <f t="shared" si="14"/>
        <v>4000000</v>
      </c>
      <c r="H445" s="210" t="b">
        <f t="shared" si="13"/>
        <v>1</v>
      </c>
    </row>
    <row r="446" spans="1:8" ht="13.8" x14ac:dyDescent="0.25">
      <c r="A446" s="7" t="s">
        <v>3074</v>
      </c>
      <c r="B446" s="152"/>
      <c r="C446" s="151" t="s">
        <v>3611</v>
      </c>
      <c r="D446" s="152">
        <v>4</v>
      </c>
      <c r="E446" s="152" t="s">
        <v>106</v>
      </c>
      <c r="F446" s="153">
        <v>1500000</v>
      </c>
      <c r="G446" s="153">
        <f t="shared" si="14"/>
        <v>6000000</v>
      </c>
      <c r="H446" s="210" t="b">
        <f t="shared" si="13"/>
        <v>1</v>
      </c>
    </row>
    <row r="447" spans="1:8" ht="13.8" x14ac:dyDescent="0.25">
      <c r="A447" s="7" t="s">
        <v>3075</v>
      </c>
      <c r="B447" s="152"/>
      <c r="C447" s="151" t="s">
        <v>4511</v>
      </c>
      <c r="D447" s="152">
        <v>8</v>
      </c>
      <c r="E447" s="152" t="s">
        <v>58</v>
      </c>
      <c r="F447" s="153">
        <v>500000</v>
      </c>
      <c r="G447" s="153">
        <f t="shared" si="14"/>
        <v>4000000</v>
      </c>
      <c r="H447" s="210" t="b">
        <f t="shared" si="13"/>
        <v>1</v>
      </c>
    </row>
    <row r="448" spans="1:8" ht="13.8" x14ac:dyDescent="0.25">
      <c r="A448" s="7" t="s">
        <v>3077</v>
      </c>
      <c r="B448" s="60">
        <v>521219</v>
      </c>
      <c r="C448" s="41" t="s">
        <v>53</v>
      </c>
      <c r="D448" s="60"/>
      <c r="E448" s="60"/>
      <c r="F448" s="42"/>
      <c r="G448" s="42">
        <f>SUM(G449:G450)</f>
        <v>32000000</v>
      </c>
      <c r="H448" s="210" t="b">
        <f t="shared" si="13"/>
        <v>1</v>
      </c>
    </row>
    <row r="449" spans="1:8" ht="26.4" x14ac:dyDescent="0.25">
      <c r="A449" s="7" t="s">
        <v>3078</v>
      </c>
      <c r="B449" s="152"/>
      <c r="C449" s="151" t="s">
        <v>4512</v>
      </c>
      <c r="D449" s="152">
        <v>2</v>
      </c>
      <c r="E449" s="152" t="s">
        <v>177</v>
      </c>
      <c r="F449" s="153">
        <v>15000000</v>
      </c>
      <c r="G449" s="153">
        <f>ROUNDDOWN(D449*F449,-3)</f>
        <v>30000000</v>
      </c>
      <c r="H449" s="210" t="b">
        <f t="shared" si="13"/>
        <v>1</v>
      </c>
    </row>
    <row r="450" spans="1:8" ht="26.4" x14ac:dyDescent="0.25">
      <c r="A450" s="7" t="s">
        <v>3080</v>
      </c>
      <c r="B450" s="152"/>
      <c r="C450" s="151" t="s">
        <v>4513</v>
      </c>
      <c r="D450" s="152">
        <v>1</v>
      </c>
      <c r="E450" s="152" t="s">
        <v>60</v>
      </c>
      <c r="F450" s="153">
        <v>2000000</v>
      </c>
      <c r="G450" s="153">
        <f>ROUNDDOWN(D450*F450,-3)</f>
        <v>2000000</v>
      </c>
      <c r="H450" s="210" t="b">
        <f t="shared" si="13"/>
        <v>1</v>
      </c>
    </row>
    <row r="451" spans="1:8" ht="13.8" x14ac:dyDescent="0.25">
      <c r="A451" s="7" t="s">
        <v>3082</v>
      </c>
      <c r="B451" s="60">
        <v>522151</v>
      </c>
      <c r="C451" s="41" t="s">
        <v>11</v>
      </c>
      <c r="D451" s="60"/>
      <c r="E451" s="60"/>
      <c r="F451" s="42"/>
      <c r="G451" s="42">
        <f>G452</f>
        <v>10000000</v>
      </c>
      <c r="H451" s="210" t="b">
        <f t="shared" si="13"/>
        <v>1</v>
      </c>
    </row>
    <row r="452" spans="1:8" ht="13.8" x14ac:dyDescent="0.25">
      <c r="A452" s="7" t="s">
        <v>3083</v>
      </c>
      <c r="B452" s="152"/>
      <c r="C452" s="151" t="s">
        <v>3715</v>
      </c>
      <c r="D452" s="152">
        <v>10</v>
      </c>
      <c r="E452" s="152" t="s">
        <v>54</v>
      </c>
      <c r="F452" s="153">
        <v>1000000</v>
      </c>
      <c r="G452" s="153">
        <f>ROUNDDOWN(D452*F452,-3)</f>
        <v>10000000</v>
      </c>
      <c r="H452" s="210" t="b">
        <f t="shared" si="13"/>
        <v>1</v>
      </c>
    </row>
    <row r="453" spans="1:8" ht="13.8" x14ac:dyDescent="0.25">
      <c r="A453" s="7" t="s">
        <v>3084</v>
      </c>
      <c r="B453" s="60">
        <v>524111</v>
      </c>
      <c r="C453" s="41" t="s">
        <v>19</v>
      </c>
      <c r="D453" s="60"/>
      <c r="E453" s="60"/>
      <c r="F453" s="42"/>
      <c r="G453" s="42">
        <f>G454</f>
        <v>120000000</v>
      </c>
      <c r="H453" s="210" t="b">
        <f t="shared" si="13"/>
        <v>1</v>
      </c>
    </row>
    <row r="454" spans="1:8" ht="13.8" x14ac:dyDescent="0.25">
      <c r="A454" s="7" t="s">
        <v>3085</v>
      </c>
      <c r="B454" s="152"/>
      <c r="C454" s="151" t="s">
        <v>4514</v>
      </c>
      <c r="D454" s="152">
        <v>30</v>
      </c>
      <c r="E454" s="152" t="s">
        <v>10</v>
      </c>
      <c r="F454" s="153">
        <v>4000000</v>
      </c>
      <c r="G454" s="153">
        <f>ROUNDDOWN(D454*F454,-3)</f>
        <v>120000000</v>
      </c>
      <c r="H454" s="210" t="b">
        <f t="shared" si="13"/>
        <v>1</v>
      </c>
    </row>
    <row r="455" spans="1:8" ht="13.8" x14ac:dyDescent="0.25">
      <c r="A455" s="7" t="s">
        <v>3087</v>
      </c>
      <c r="B455" s="60">
        <v>524113</v>
      </c>
      <c r="C455" s="41" t="s">
        <v>13</v>
      </c>
      <c r="D455" s="60"/>
      <c r="E455" s="60"/>
      <c r="F455" s="42"/>
      <c r="G455" s="42">
        <f>G456</f>
        <v>9000000</v>
      </c>
      <c r="H455" s="210" t="b">
        <f t="shared" si="13"/>
        <v>1</v>
      </c>
    </row>
    <row r="456" spans="1:8" ht="13.8" x14ac:dyDescent="0.25">
      <c r="A456" s="7" t="s">
        <v>3088</v>
      </c>
      <c r="B456" s="152"/>
      <c r="C456" s="151" t="s">
        <v>3613</v>
      </c>
      <c r="D456" s="152">
        <v>60</v>
      </c>
      <c r="E456" s="152" t="s">
        <v>25</v>
      </c>
      <c r="F456" s="153">
        <v>150000</v>
      </c>
      <c r="G456" s="153">
        <f>ROUNDDOWN(D456*F456,-3)</f>
        <v>9000000</v>
      </c>
      <c r="H456" s="210" t="b">
        <f t="shared" si="13"/>
        <v>1</v>
      </c>
    </row>
    <row r="457" spans="1:8" ht="26.4" x14ac:dyDescent="0.25">
      <c r="A457" s="7" t="s">
        <v>3089</v>
      </c>
      <c r="B457" s="58">
        <v>302</v>
      </c>
      <c r="C457" s="35" t="s">
        <v>3091</v>
      </c>
      <c r="D457" s="58"/>
      <c r="E457" s="58"/>
      <c r="F457" s="36"/>
      <c r="G457" s="36">
        <f>G458</f>
        <v>126532000</v>
      </c>
      <c r="H457" s="210" t="b">
        <f t="shared" si="13"/>
        <v>1</v>
      </c>
    </row>
    <row r="458" spans="1:8" ht="13.8" x14ac:dyDescent="0.25">
      <c r="A458" s="7" t="s">
        <v>3092</v>
      </c>
      <c r="B458" s="59" t="s">
        <v>8</v>
      </c>
      <c r="C458" s="38" t="s">
        <v>178</v>
      </c>
      <c r="D458" s="59"/>
      <c r="E458" s="59"/>
      <c r="F458" s="39"/>
      <c r="G458" s="39">
        <f>SUM(G459,G465,G467)</f>
        <v>126532000</v>
      </c>
      <c r="H458" s="210" t="b">
        <f t="shared" si="13"/>
        <v>1</v>
      </c>
    </row>
    <row r="459" spans="1:8" ht="13.8" x14ac:dyDescent="0.25">
      <c r="A459" s="7" t="s">
        <v>3093</v>
      </c>
      <c r="B459" s="60">
        <v>521211</v>
      </c>
      <c r="C459" s="41" t="s">
        <v>7</v>
      </c>
      <c r="D459" s="60"/>
      <c r="E459" s="60"/>
      <c r="F459" s="42"/>
      <c r="G459" s="42">
        <f>SUM(G460:G464)</f>
        <v>35500000</v>
      </c>
      <c r="H459" s="210" t="b">
        <f t="shared" si="13"/>
        <v>1</v>
      </c>
    </row>
    <row r="460" spans="1:8" ht="13.8" x14ac:dyDescent="0.25">
      <c r="A460" s="7" t="s">
        <v>3094</v>
      </c>
      <c r="B460" s="152"/>
      <c r="C460" s="151" t="s">
        <v>3598</v>
      </c>
      <c r="D460" s="152">
        <v>4</v>
      </c>
      <c r="E460" s="152" t="s">
        <v>9</v>
      </c>
      <c r="F460" s="153">
        <v>1500000</v>
      </c>
      <c r="G460" s="153">
        <f>ROUNDDOWN(D460*F460,-3)</f>
        <v>6000000</v>
      </c>
      <c r="H460" s="210" t="b">
        <f t="shared" si="13"/>
        <v>1</v>
      </c>
    </row>
    <row r="461" spans="1:8" ht="13.8" x14ac:dyDescent="0.25">
      <c r="A461" s="7" t="s">
        <v>3095</v>
      </c>
      <c r="B461" s="152"/>
      <c r="C461" s="151" t="s">
        <v>4420</v>
      </c>
      <c r="D461" s="152">
        <v>180</v>
      </c>
      <c r="E461" s="152" t="s">
        <v>10</v>
      </c>
      <c r="F461" s="153">
        <v>75000</v>
      </c>
      <c r="G461" s="153">
        <f>ROUNDDOWN(D461*F461,-3)</f>
        <v>13500000</v>
      </c>
      <c r="H461" s="210" t="b">
        <f t="shared" ref="H461:H524" si="15">_xlfn.ISFORMULA(G461)</f>
        <v>1</v>
      </c>
    </row>
    <row r="462" spans="1:8" ht="13.8" x14ac:dyDescent="0.25">
      <c r="A462" s="7" t="s">
        <v>3096</v>
      </c>
      <c r="B462" s="152"/>
      <c r="C462" s="151" t="s">
        <v>3600</v>
      </c>
      <c r="D462" s="152">
        <v>4</v>
      </c>
      <c r="E462" s="152" t="s">
        <v>106</v>
      </c>
      <c r="F462" s="153">
        <v>1000000</v>
      </c>
      <c r="G462" s="153">
        <f>ROUNDDOWN(D462*F462,-3)</f>
        <v>4000000</v>
      </c>
      <c r="H462" s="210" t="b">
        <f t="shared" si="15"/>
        <v>1</v>
      </c>
    </row>
    <row r="463" spans="1:8" ht="13.8" x14ac:dyDescent="0.25">
      <c r="A463" s="7" t="s">
        <v>3097</v>
      </c>
      <c r="B463" s="152"/>
      <c r="C463" s="151" t="s">
        <v>3601</v>
      </c>
      <c r="D463" s="152">
        <v>4</v>
      </c>
      <c r="E463" s="152" t="s">
        <v>106</v>
      </c>
      <c r="F463" s="153">
        <v>1500000</v>
      </c>
      <c r="G463" s="153">
        <f>ROUNDDOWN(D463*F463,-3)</f>
        <v>6000000</v>
      </c>
      <c r="H463" s="210" t="b">
        <f t="shared" si="15"/>
        <v>1</v>
      </c>
    </row>
    <row r="464" spans="1:8" ht="13.8" x14ac:dyDescent="0.25">
      <c r="A464" s="7" t="s">
        <v>3098</v>
      </c>
      <c r="B464" s="152"/>
      <c r="C464" s="151" t="s">
        <v>4515</v>
      </c>
      <c r="D464" s="152">
        <v>12</v>
      </c>
      <c r="E464" s="152" t="s">
        <v>176</v>
      </c>
      <c r="F464" s="153">
        <v>500000</v>
      </c>
      <c r="G464" s="153">
        <f>ROUNDDOWN(D464*F464,-3)</f>
        <v>6000000</v>
      </c>
      <c r="H464" s="210" t="b">
        <f t="shared" si="15"/>
        <v>1</v>
      </c>
    </row>
    <row r="465" spans="1:8" ht="13.8" x14ac:dyDescent="0.25">
      <c r="A465" s="7" t="s">
        <v>3100</v>
      </c>
      <c r="B465" s="60">
        <v>521219</v>
      </c>
      <c r="C465" s="41" t="s">
        <v>53</v>
      </c>
      <c r="D465" s="60"/>
      <c r="E465" s="60"/>
      <c r="F465" s="42"/>
      <c r="G465" s="42">
        <f>G466</f>
        <v>2000000</v>
      </c>
      <c r="H465" s="210" t="b">
        <f t="shared" si="15"/>
        <v>1</v>
      </c>
    </row>
    <row r="466" spans="1:8" ht="26.4" x14ac:dyDescent="0.25">
      <c r="A466" s="7" t="s">
        <v>3101</v>
      </c>
      <c r="B466" s="152"/>
      <c r="C466" s="151" t="s">
        <v>4508</v>
      </c>
      <c r="D466" s="152">
        <v>1</v>
      </c>
      <c r="E466" s="152" t="s">
        <v>153</v>
      </c>
      <c r="F466" s="153">
        <v>2000000</v>
      </c>
      <c r="G466" s="153">
        <f>ROUNDDOWN(D466*F466,-3)</f>
        <v>2000000</v>
      </c>
      <c r="H466" s="210" t="b">
        <f t="shared" si="15"/>
        <v>1</v>
      </c>
    </row>
    <row r="467" spans="1:8" ht="13.8" x14ac:dyDescent="0.25">
      <c r="A467" s="7" t="s">
        <v>3102</v>
      </c>
      <c r="B467" s="60">
        <v>524111</v>
      </c>
      <c r="C467" s="41" t="s">
        <v>19</v>
      </c>
      <c r="D467" s="60"/>
      <c r="E467" s="60"/>
      <c r="F467" s="42"/>
      <c r="G467" s="42">
        <f>G468</f>
        <v>89032000</v>
      </c>
      <c r="H467" s="210" t="b">
        <f t="shared" si="15"/>
        <v>1</v>
      </c>
    </row>
    <row r="468" spans="1:8" ht="13.8" x14ac:dyDescent="0.25">
      <c r="A468" s="7" t="s">
        <v>3103</v>
      </c>
      <c r="B468" s="152"/>
      <c r="C468" s="151" t="s">
        <v>4514</v>
      </c>
      <c r="D468" s="152">
        <v>22</v>
      </c>
      <c r="E468" s="152" t="s">
        <v>10</v>
      </c>
      <c r="F468" s="153">
        <v>4046950</v>
      </c>
      <c r="G468" s="153">
        <f>ROUNDDOWN(D468*F468,-3)</f>
        <v>89032000</v>
      </c>
      <c r="H468" s="210" t="b">
        <f t="shared" si="15"/>
        <v>1</v>
      </c>
    </row>
    <row r="469" spans="1:8" ht="13.8" x14ac:dyDescent="0.25">
      <c r="A469" s="7" t="s">
        <v>3104</v>
      </c>
      <c r="B469" s="138" t="s">
        <v>4516</v>
      </c>
      <c r="C469" s="137" t="s">
        <v>3106</v>
      </c>
      <c r="D469" s="138">
        <v>1</v>
      </c>
      <c r="E469" s="138" t="s">
        <v>4315</v>
      </c>
      <c r="F469" s="139"/>
      <c r="G469" s="139">
        <f>G470</f>
        <v>289920000</v>
      </c>
      <c r="H469" s="210" t="b">
        <f t="shared" si="15"/>
        <v>1</v>
      </c>
    </row>
    <row r="470" spans="1:8" ht="13.8" x14ac:dyDescent="0.25">
      <c r="A470" s="7" t="s">
        <v>3318</v>
      </c>
      <c r="B470" s="58">
        <v>301</v>
      </c>
      <c r="C470" s="35" t="s">
        <v>3319</v>
      </c>
      <c r="D470" s="58"/>
      <c r="E470" s="58"/>
      <c r="F470" s="36"/>
      <c r="G470" s="36">
        <f>SUM(G471,G481,G490,G498,G511,G519)</f>
        <v>289920000</v>
      </c>
      <c r="H470" s="210" t="b">
        <f t="shared" si="15"/>
        <v>1</v>
      </c>
    </row>
    <row r="471" spans="1:8" ht="13.8" x14ac:dyDescent="0.25">
      <c r="A471" s="7" t="s">
        <v>3320</v>
      </c>
      <c r="B471" s="59" t="s">
        <v>8</v>
      </c>
      <c r="C471" s="38" t="s">
        <v>143</v>
      </c>
      <c r="D471" s="59"/>
      <c r="E471" s="59"/>
      <c r="F471" s="39"/>
      <c r="G471" s="39">
        <f>SUM(G472,G477,G479)</f>
        <v>40700000</v>
      </c>
      <c r="H471" s="210" t="b">
        <f t="shared" si="15"/>
        <v>1</v>
      </c>
    </row>
    <row r="472" spans="1:8" ht="13.8" x14ac:dyDescent="0.25">
      <c r="A472" s="7" t="s">
        <v>3321</v>
      </c>
      <c r="B472" s="60">
        <v>521211</v>
      </c>
      <c r="C472" s="41" t="s">
        <v>7</v>
      </c>
      <c r="D472" s="60"/>
      <c r="E472" s="60"/>
      <c r="F472" s="42"/>
      <c r="G472" s="42">
        <f>SUM(G473:G476)</f>
        <v>23900000</v>
      </c>
      <c r="H472" s="210" t="b">
        <f t="shared" si="15"/>
        <v>1</v>
      </c>
    </row>
    <row r="473" spans="1:8" ht="13.8" x14ac:dyDescent="0.25">
      <c r="A473" s="7" t="s">
        <v>3322</v>
      </c>
      <c r="B473" s="152"/>
      <c r="C473" s="151" t="s">
        <v>3598</v>
      </c>
      <c r="D473" s="152">
        <v>5</v>
      </c>
      <c r="E473" s="152" t="s">
        <v>9</v>
      </c>
      <c r="F473" s="153">
        <v>1500000</v>
      </c>
      <c r="G473" s="153">
        <f>ROUNDDOWN(D473*F473,-3)</f>
        <v>7500000</v>
      </c>
      <c r="H473" s="210" t="b">
        <f t="shared" si="15"/>
        <v>1</v>
      </c>
    </row>
    <row r="474" spans="1:8" ht="13.8" x14ac:dyDescent="0.25">
      <c r="A474" s="7" t="s">
        <v>3323</v>
      </c>
      <c r="B474" s="152"/>
      <c r="C474" s="151" t="s">
        <v>4420</v>
      </c>
      <c r="D474" s="152">
        <v>20</v>
      </c>
      <c r="E474" s="152" t="s">
        <v>10</v>
      </c>
      <c r="F474" s="153">
        <v>70000</v>
      </c>
      <c r="G474" s="153">
        <f>ROUNDDOWN(D474*F474,-3)</f>
        <v>1400000</v>
      </c>
      <c r="H474" s="210" t="b">
        <f t="shared" si="15"/>
        <v>1</v>
      </c>
    </row>
    <row r="475" spans="1:8" ht="13.8" x14ac:dyDescent="0.25">
      <c r="A475" s="7" t="s">
        <v>3324</v>
      </c>
      <c r="B475" s="152"/>
      <c r="C475" s="151" t="s">
        <v>3600</v>
      </c>
      <c r="D475" s="152">
        <v>6</v>
      </c>
      <c r="E475" s="152" t="s">
        <v>106</v>
      </c>
      <c r="F475" s="153">
        <v>1000000</v>
      </c>
      <c r="G475" s="153">
        <f>ROUNDDOWN(D475*F475,-3)</f>
        <v>6000000</v>
      </c>
      <c r="H475" s="210" t="b">
        <f t="shared" si="15"/>
        <v>1</v>
      </c>
    </row>
    <row r="476" spans="1:8" ht="13.8" x14ac:dyDescent="0.25">
      <c r="A476" s="7" t="s">
        <v>3325</v>
      </c>
      <c r="B476" s="152"/>
      <c r="C476" s="151" t="s">
        <v>3601</v>
      </c>
      <c r="D476" s="152">
        <v>6</v>
      </c>
      <c r="E476" s="152" t="s">
        <v>106</v>
      </c>
      <c r="F476" s="153">
        <v>1500000</v>
      </c>
      <c r="G476" s="153">
        <f>ROUNDDOWN(D476*F476,-3)</f>
        <v>9000000</v>
      </c>
      <c r="H476" s="210" t="b">
        <f t="shared" si="15"/>
        <v>1</v>
      </c>
    </row>
    <row r="477" spans="1:8" ht="13.8" x14ac:dyDescent="0.25">
      <c r="A477" s="7" t="s">
        <v>3326</v>
      </c>
      <c r="B477" s="60">
        <v>524111</v>
      </c>
      <c r="C477" s="41" t="s">
        <v>19</v>
      </c>
      <c r="D477" s="60"/>
      <c r="E477" s="60"/>
      <c r="F477" s="42"/>
      <c r="G477" s="42">
        <f>G478</f>
        <v>15000000</v>
      </c>
      <c r="H477" s="210" t="b">
        <f t="shared" si="15"/>
        <v>1</v>
      </c>
    </row>
    <row r="478" spans="1:8" ht="13.8" x14ac:dyDescent="0.25">
      <c r="A478" s="7" t="s">
        <v>3327</v>
      </c>
      <c r="B478" s="152"/>
      <c r="C478" s="151" t="s">
        <v>4582</v>
      </c>
      <c r="D478" s="152">
        <v>5</v>
      </c>
      <c r="E478" s="152" t="s">
        <v>10</v>
      </c>
      <c r="F478" s="153">
        <v>3000000</v>
      </c>
      <c r="G478" s="153">
        <f>ROUNDDOWN(D478*F478,-3)</f>
        <v>15000000</v>
      </c>
      <c r="H478" s="210" t="b">
        <f t="shared" si="15"/>
        <v>1</v>
      </c>
    </row>
    <row r="479" spans="1:8" ht="13.8" x14ac:dyDescent="0.25">
      <c r="A479" s="7" t="s">
        <v>3329</v>
      </c>
      <c r="B479" s="60">
        <v>524113</v>
      </c>
      <c r="C479" s="41" t="s">
        <v>13</v>
      </c>
      <c r="D479" s="60"/>
      <c r="E479" s="60"/>
      <c r="F479" s="42"/>
      <c r="G479" s="42">
        <f>G480</f>
        <v>1800000</v>
      </c>
      <c r="H479" s="210" t="b">
        <f t="shared" si="15"/>
        <v>1</v>
      </c>
    </row>
    <row r="480" spans="1:8" ht="13.8" x14ac:dyDescent="0.25">
      <c r="A480" s="7" t="s">
        <v>3330</v>
      </c>
      <c r="B480" s="152"/>
      <c r="C480" s="151" t="s">
        <v>3603</v>
      </c>
      <c r="D480" s="152">
        <v>12</v>
      </c>
      <c r="E480" s="152" t="s">
        <v>10</v>
      </c>
      <c r="F480" s="153">
        <v>150000</v>
      </c>
      <c r="G480" s="153">
        <f>ROUNDDOWN(D480*F480,-3)</f>
        <v>1800000</v>
      </c>
      <c r="H480" s="210" t="b">
        <f t="shared" si="15"/>
        <v>1</v>
      </c>
    </row>
    <row r="481" spans="1:8" ht="13.8" x14ac:dyDescent="0.25">
      <c r="A481" s="7" t="s">
        <v>3331</v>
      </c>
      <c r="B481" s="59" t="s">
        <v>511</v>
      </c>
      <c r="C481" s="38" t="s">
        <v>144</v>
      </c>
      <c r="D481" s="59"/>
      <c r="E481" s="59"/>
      <c r="F481" s="39"/>
      <c r="G481" s="39">
        <f>SUM(G482,G486,G488)</f>
        <v>30900000</v>
      </c>
      <c r="H481" s="210" t="b">
        <f t="shared" si="15"/>
        <v>1</v>
      </c>
    </row>
    <row r="482" spans="1:8" ht="13.8" x14ac:dyDescent="0.25">
      <c r="A482" s="7" t="s">
        <v>3332</v>
      </c>
      <c r="B482" s="60">
        <v>521211</v>
      </c>
      <c r="C482" s="41" t="s">
        <v>7</v>
      </c>
      <c r="D482" s="60"/>
      <c r="E482" s="60"/>
      <c r="F482" s="42"/>
      <c r="G482" s="42">
        <f>SUM(G483:G485)</f>
        <v>11400000</v>
      </c>
      <c r="H482" s="210" t="b">
        <f t="shared" si="15"/>
        <v>1</v>
      </c>
    </row>
    <row r="483" spans="1:8" ht="13.8" x14ac:dyDescent="0.25">
      <c r="A483" s="7" t="s">
        <v>3333</v>
      </c>
      <c r="B483" s="152"/>
      <c r="C483" s="151" t="s">
        <v>4269</v>
      </c>
      <c r="D483" s="152">
        <v>4</v>
      </c>
      <c r="E483" s="152" t="s">
        <v>9</v>
      </c>
      <c r="F483" s="153">
        <v>1500000</v>
      </c>
      <c r="G483" s="153">
        <f>ROUNDDOWN(D483*F483,-3)</f>
        <v>6000000</v>
      </c>
      <c r="H483" s="210" t="b">
        <f t="shared" si="15"/>
        <v>1</v>
      </c>
    </row>
    <row r="484" spans="1:8" ht="13.8" x14ac:dyDescent="0.25">
      <c r="A484" s="7" t="s">
        <v>3334</v>
      </c>
      <c r="B484" s="152"/>
      <c r="C484" s="151" t="s">
        <v>4420</v>
      </c>
      <c r="D484" s="152">
        <v>20</v>
      </c>
      <c r="E484" s="152" t="s">
        <v>10</v>
      </c>
      <c r="F484" s="153">
        <v>70000</v>
      </c>
      <c r="G484" s="153">
        <f>ROUNDDOWN(D484*F484,-3)</f>
        <v>1400000</v>
      </c>
      <c r="H484" s="210" t="b">
        <f t="shared" si="15"/>
        <v>1</v>
      </c>
    </row>
    <row r="485" spans="1:8" ht="13.8" x14ac:dyDescent="0.25">
      <c r="A485" s="7" t="s">
        <v>3335</v>
      </c>
      <c r="B485" s="152"/>
      <c r="C485" s="151" t="s">
        <v>3600</v>
      </c>
      <c r="D485" s="152">
        <v>4</v>
      </c>
      <c r="E485" s="152" t="s">
        <v>106</v>
      </c>
      <c r="F485" s="153">
        <v>1000000</v>
      </c>
      <c r="G485" s="153">
        <f>ROUNDDOWN(D485*F485,-3)</f>
        <v>4000000</v>
      </c>
      <c r="H485" s="210" t="b">
        <f t="shared" si="15"/>
        <v>1</v>
      </c>
    </row>
    <row r="486" spans="1:8" ht="13.8" x14ac:dyDescent="0.25">
      <c r="A486" s="7" t="s">
        <v>3336</v>
      </c>
      <c r="B486" s="60">
        <v>524111</v>
      </c>
      <c r="C486" s="41" t="s">
        <v>19</v>
      </c>
      <c r="D486" s="60"/>
      <c r="E486" s="60"/>
      <c r="F486" s="42"/>
      <c r="G486" s="42">
        <f>G487</f>
        <v>18000000</v>
      </c>
      <c r="H486" s="210" t="b">
        <f t="shared" si="15"/>
        <v>1</v>
      </c>
    </row>
    <row r="487" spans="1:8" ht="13.8" x14ac:dyDescent="0.25">
      <c r="A487" s="7" t="s">
        <v>3337</v>
      </c>
      <c r="B487" s="152"/>
      <c r="C487" s="151" t="s">
        <v>4582</v>
      </c>
      <c r="D487" s="152">
        <v>6</v>
      </c>
      <c r="E487" s="152" t="s">
        <v>10</v>
      </c>
      <c r="F487" s="153">
        <v>3000000</v>
      </c>
      <c r="G487" s="153">
        <f>ROUNDDOWN(D487*F487,-3)</f>
        <v>18000000</v>
      </c>
      <c r="H487" s="210" t="b">
        <f t="shared" si="15"/>
        <v>1</v>
      </c>
    </row>
    <row r="488" spans="1:8" ht="13.8" x14ac:dyDescent="0.25">
      <c r="A488" s="7" t="s">
        <v>3338</v>
      </c>
      <c r="B488" s="60">
        <v>524113</v>
      </c>
      <c r="C488" s="41" t="s">
        <v>13</v>
      </c>
      <c r="D488" s="60"/>
      <c r="E488" s="60"/>
      <c r="F488" s="42"/>
      <c r="G488" s="42">
        <f>G489</f>
        <v>1500000</v>
      </c>
      <c r="H488" s="210" t="b">
        <f t="shared" si="15"/>
        <v>1</v>
      </c>
    </row>
    <row r="489" spans="1:8" ht="13.8" x14ac:dyDescent="0.25">
      <c r="A489" s="7" t="s">
        <v>3339</v>
      </c>
      <c r="B489" s="152"/>
      <c r="C489" s="151" t="s">
        <v>3613</v>
      </c>
      <c r="D489" s="152">
        <v>10</v>
      </c>
      <c r="E489" s="152" t="s">
        <v>10</v>
      </c>
      <c r="F489" s="153">
        <v>150000</v>
      </c>
      <c r="G489" s="153">
        <f>ROUNDDOWN(D489*F489,-3)</f>
        <v>1500000</v>
      </c>
      <c r="H489" s="210" t="b">
        <f t="shared" si="15"/>
        <v>1</v>
      </c>
    </row>
    <row r="490" spans="1:8" ht="13.8" x14ac:dyDescent="0.25">
      <c r="A490" s="7" t="s">
        <v>3340</v>
      </c>
      <c r="B490" s="59" t="s">
        <v>512</v>
      </c>
      <c r="C490" s="38" t="s">
        <v>145</v>
      </c>
      <c r="D490" s="59"/>
      <c r="E490" s="59"/>
      <c r="F490" s="39"/>
      <c r="G490" s="39">
        <f>SUM(G491,G494,G496)</f>
        <v>26500000</v>
      </c>
      <c r="H490" s="210" t="b">
        <f t="shared" si="15"/>
        <v>1</v>
      </c>
    </row>
    <row r="491" spans="1:8" ht="13.8" x14ac:dyDescent="0.25">
      <c r="A491" s="7" t="s">
        <v>3341</v>
      </c>
      <c r="B491" s="60">
        <v>521211</v>
      </c>
      <c r="C491" s="41" t="s">
        <v>7</v>
      </c>
      <c r="D491" s="60"/>
      <c r="E491" s="60"/>
      <c r="F491" s="42"/>
      <c r="G491" s="42">
        <f>SUM(G492:G493)</f>
        <v>10000000</v>
      </c>
      <c r="H491" s="210" t="b">
        <f t="shared" si="15"/>
        <v>1</v>
      </c>
    </row>
    <row r="492" spans="1:8" ht="13.8" x14ac:dyDescent="0.25">
      <c r="A492" s="7" t="s">
        <v>3342</v>
      </c>
      <c r="B492" s="152"/>
      <c r="C492" s="151" t="s">
        <v>4269</v>
      </c>
      <c r="D492" s="152">
        <v>4</v>
      </c>
      <c r="E492" s="152" t="s">
        <v>9</v>
      </c>
      <c r="F492" s="153">
        <v>1500000</v>
      </c>
      <c r="G492" s="153">
        <f>ROUNDDOWN(D492*F492,-3)</f>
        <v>6000000</v>
      </c>
      <c r="H492" s="210" t="b">
        <f t="shared" si="15"/>
        <v>1</v>
      </c>
    </row>
    <row r="493" spans="1:8" ht="13.8" x14ac:dyDescent="0.25">
      <c r="A493" s="7" t="s">
        <v>3343</v>
      </c>
      <c r="B493" s="152"/>
      <c r="C493" s="151" t="s">
        <v>3632</v>
      </c>
      <c r="D493" s="152">
        <v>4</v>
      </c>
      <c r="E493" s="152" t="s">
        <v>106</v>
      </c>
      <c r="F493" s="153">
        <v>1000000</v>
      </c>
      <c r="G493" s="153">
        <f>ROUNDDOWN(D493*F493,-3)</f>
        <v>4000000</v>
      </c>
      <c r="H493" s="210" t="b">
        <f t="shared" si="15"/>
        <v>1</v>
      </c>
    </row>
    <row r="494" spans="1:8" ht="13.8" x14ac:dyDescent="0.25">
      <c r="A494" s="7" t="s">
        <v>3344</v>
      </c>
      <c r="B494" s="60">
        <v>524111</v>
      </c>
      <c r="C494" s="41" t="s">
        <v>19</v>
      </c>
      <c r="D494" s="60"/>
      <c r="E494" s="60"/>
      <c r="F494" s="42"/>
      <c r="G494" s="42">
        <f>G495</f>
        <v>15000000</v>
      </c>
      <c r="H494" s="210" t="b">
        <f t="shared" si="15"/>
        <v>1</v>
      </c>
    </row>
    <row r="495" spans="1:8" ht="13.8" x14ac:dyDescent="0.25">
      <c r="A495" s="7" t="s">
        <v>3345</v>
      </c>
      <c r="B495" s="152"/>
      <c r="C495" s="151" t="s">
        <v>4583</v>
      </c>
      <c r="D495" s="152">
        <v>5</v>
      </c>
      <c r="E495" s="152" t="s">
        <v>10</v>
      </c>
      <c r="F495" s="153">
        <v>3000000</v>
      </c>
      <c r="G495" s="153">
        <f>ROUNDDOWN(D495*F495,-3)</f>
        <v>15000000</v>
      </c>
      <c r="H495" s="210" t="b">
        <f t="shared" si="15"/>
        <v>1</v>
      </c>
    </row>
    <row r="496" spans="1:8" ht="13.8" x14ac:dyDescent="0.25">
      <c r="A496" s="7" t="s">
        <v>3347</v>
      </c>
      <c r="B496" s="60">
        <v>524113</v>
      </c>
      <c r="C496" s="41" t="s">
        <v>13</v>
      </c>
      <c r="D496" s="60"/>
      <c r="E496" s="60"/>
      <c r="F496" s="42"/>
      <c r="G496" s="42">
        <f>G497</f>
        <v>1500000</v>
      </c>
      <c r="H496" s="210" t="b">
        <f t="shared" si="15"/>
        <v>1</v>
      </c>
    </row>
    <row r="497" spans="1:8" ht="13.8" x14ac:dyDescent="0.25">
      <c r="A497" s="7" t="s">
        <v>3348</v>
      </c>
      <c r="B497" s="152"/>
      <c r="C497" s="151" t="s">
        <v>3613</v>
      </c>
      <c r="D497" s="152">
        <v>10</v>
      </c>
      <c r="E497" s="152" t="s">
        <v>10</v>
      </c>
      <c r="F497" s="153">
        <v>150000</v>
      </c>
      <c r="G497" s="153">
        <f>ROUNDDOWN(D497*F497,-3)</f>
        <v>1500000</v>
      </c>
      <c r="H497" s="210" t="b">
        <f t="shared" si="15"/>
        <v>1</v>
      </c>
    </row>
    <row r="498" spans="1:8" ht="13.8" x14ac:dyDescent="0.25">
      <c r="A498" s="7" t="s">
        <v>3349</v>
      </c>
      <c r="B498" s="59" t="s">
        <v>514</v>
      </c>
      <c r="C498" s="38" t="s">
        <v>3350</v>
      </c>
      <c r="D498" s="59"/>
      <c r="E498" s="59"/>
      <c r="F498" s="39"/>
      <c r="G498" s="39">
        <f>SUM(G499,G505,G507,G509)</f>
        <v>86700000</v>
      </c>
      <c r="H498" s="210" t="b">
        <f t="shared" si="15"/>
        <v>1</v>
      </c>
    </row>
    <row r="499" spans="1:8" ht="13.8" x14ac:dyDescent="0.25">
      <c r="A499" s="7" t="s">
        <v>3351</v>
      </c>
      <c r="B499" s="60">
        <v>521211</v>
      </c>
      <c r="C499" s="41" t="s">
        <v>7</v>
      </c>
      <c r="D499" s="60"/>
      <c r="E499" s="60"/>
      <c r="F499" s="42"/>
      <c r="G499" s="42">
        <f>SUM(G500:G504)</f>
        <v>32400000</v>
      </c>
      <c r="H499" s="210" t="b">
        <f t="shared" si="15"/>
        <v>1</v>
      </c>
    </row>
    <row r="500" spans="1:8" ht="13.8" x14ac:dyDescent="0.25">
      <c r="A500" s="7" t="s">
        <v>3352</v>
      </c>
      <c r="B500" s="152"/>
      <c r="C500" s="151" t="s">
        <v>4269</v>
      </c>
      <c r="D500" s="152">
        <v>6</v>
      </c>
      <c r="E500" s="152" t="s">
        <v>9</v>
      </c>
      <c r="F500" s="153">
        <v>1500000</v>
      </c>
      <c r="G500" s="153">
        <f>ROUNDDOWN(D500*F500,-3)</f>
        <v>9000000</v>
      </c>
      <c r="H500" s="210" t="b">
        <f t="shared" si="15"/>
        <v>1</v>
      </c>
    </row>
    <row r="501" spans="1:8" ht="13.8" x14ac:dyDescent="0.25">
      <c r="A501" s="7" t="s">
        <v>3353</v>
      </c>
      <c r="B501" s="152"/>
      <c r="C501" s="151" t="s">
        <v>4420</v>
      </c>
      <c r="D501" s="152">
        <v>20</v>
      </c>
      <c r="E501" s="152" t="s">
        <v>10</v>
      </c>
      <c r="F501" s="153">
        <v>70000</v>
      </c>
      <c r="G501" s="153">
        <f>ROUNDDOWN(D501*F501,-3)</f>
        <v>1400000</v>
      </c>
      <c r="H501" s="210" t="b">
        <f t="shared" si="15"/>
        <v>1</v>
      </c>
    </row>
    <row r="502" spans="1:8" s="212" customFormat="1" ht="13.8" x14ac:dyDescent="0.25">
      <c r="A502" s="211" t="s">
        <v>3354</v>
      </c>
      <c r="B502" s="152"/>
      <c r="C502" s="151" t="s">
        <v>4584</v>
      </c>
      <c r="D502" s="152">
        <v>28</v>
      </c>
      <c r="E502" s="152" t="s">
        <v>176</v>
      </c>
      <c r="F502" s="153">
        <v>500000</v>
      </c>
      <c r="G502" s="153">
        <f>ROUNDDOWN(D502*F502,-3)</f>
        <v>14000000</v>
      </c>
      <c r="H502" s="210" t="b">
        <f t="shared" si="15"/>
        <v>1</v>
      </c>
    </row>
    <row r="503" spans="1:8" ht="13.8" x14ac:dyDescent="0.25">
      <c r="A503" s="7" t="s">
        <v>3356</v>
      </c>
      <c r="B503" s="152"/>
      <c r="C503" s="151" t="s">
        <v>4585</v>
      </c>
      <c r="D503" s="152">
        <v>4</v>
      </c>
      <c r="E503" s="152" t="s">
        <v>58</v>
      </c>
      <c r="F503" s="153">
        <v>500000</v>
      </c>
      <c r="G503" s="153">
        <f>ROUNDDOWN(D503*F503,-3)</f>
        <v>2000000</v>
      </c>
      <c r="H503" s="210" t="b">
        <f t="shared" si="15"/>
        <v>1</v>
      </c>
    </row>
    <row r="504" spans="1:8" ht="13.8" x14ac:dyDescent="0.25">
      <c r="A504" s="7" t="s">
        <v>3358</v>
      </c>
      <c r="B504" s="152"/>
      <c r="C504" s="151" t="s">
        <v>4521</v>
      </c>
      <c r="D504" s="152">
        <v>6</v>
      </c>
      <c r="E504" s="152" t="s">
        <v>106</v>
      </c>
      <c r="F504" s="153">
        <v>1000000</v>
      </c>
      <c r="G504" s="153">
        <f>ROUNDDOWN(D504*F504,-3)</f>
        <v>6000000</v>
      </c>
      <c r="H504" s="210" t="b">
        <f t="shared" si="15"/>
        <v>1</v>
      </c>
    </row>
    <row r="505" spans="1:8" ht="13.8" x14ac:dyDescent="0.25">
      <c r="A505" s="7" t="s">
        <v>3359</v>
      </c>
      <c r="B505" s="60">
        <v>522151</v>
      </c>
      <c r="C505" s="41" t="s">
        <v>11</v>
      </c>
      <c r="D505" s="60"/>
      <c r="E505" s="60"/>
      <c r="F505" s="42"/>
      <c r="G505" s="42">
        <f>G506</f>
        <v>9000000</v>
      </c>
      <c r="H505" s="210" t="b">
        <f t="shared" si="15"/>
        <v>1</v>
      </c>
    </row>
    <row r="506" spans="1:8" ht="13.8" x14ac:dyDescent="0.25">
      <c r="A506" s="7" t="s">
        <v>3360</v>
      </c>
      <c r="B506" s="152"/>
      <c r="C506" s="151" t="s">
        <v>3715</v>
      </c>
      <c r="D506" s="152">
        <v>10</v>
      </c>
      <c r="E506" s="152" t="s">
        <v>12</v>
      </c>
      <c r="F506" s="153">
        <v>900000</v>
      </c>
      <c r="G506" s="153">
        <f>ROUNDDOWN(D506*F506,-3)</f>
        <v>9000000</v>
      </c>
      <c r="H506" s="210" t="b">
        <f t="shared" si="15"/>
        <v>1</v>
      </c>
    </row>
    <row r="507" spans="1:8" ht="13.8" x14ac:dyDescent="0.25">
      <c r="A507" s="7" t="s">
        <v>3361</v>
      </c>
      <c r="B507" s="60">
        <v>524111</v>
      </c>
      <c r="C507" s="41" t="s">
        <v>19</v>
      </c>
      <c r="D507" s="60"/>
      <c r="E507" s="60"/>
      <c r="F507" s="42"/>
      <c r="G507" s="42">
        <f>G508</f>
        <v>42000000</v>
      </c>
      <c r="H507" s="210" t="b">
        <f t="shared" si="15"/>
        <v>1</v>
      </c>
    </row>
    <row r="508" spans="1:8" ht="26.4" x14ac:dyDescent="0.25">
      <c r="A508" s="7" t="s">
        <v>3362</v>
      </c>
      <c r="B508" s="152"/>
      <c r="C508" s="151" t="s">
        <v>4586</v>
      </c>
      <c r="D508" s="152">
        <v>14</v>
      </c>
      <c r="E508" s="152" t="s">
        <v>10</v>
      </c>
      <c r="F508" s="153">
        <v>3000000</v>
      </c>
      <c r="G508" s="153">
        <f>ROUNDDOWN(D508*F508,-3)</f>
        <v>42000000</v>
      </c>
      <c r="H508" s="210" t="b">
        <f t="shared" si="15"/>
        <v>1</v>
      </c>
    </row>
    <row r="509" spans="1:8" ht="13.8" x14ac:dyDescent="0.25">
      <c r="A509" s="7" t="s">
        <v>3364</v>
      </c>
      <c r="B509" s="60">
        <v>524113</v>
      </c>
      <c r="C509" s="41" t="s">
        <v>13</v>
      </c>
      <c r="D509" s="60"/>
      <c r="E509" s="60"/>
      <c r="F509" s="42"/>
      <c r="G509" s="42">
        <f>G510</f>
        <v>3300000</v>
      </c>
      <c r="H509" s="210" t="b">
        <f t="shared" si="15"/>
        <v>1</v>
      </c>
    </row>
    <row r="510" spans="1:8" ht="26.4" x14ac:dyDescent="0.25">
      <c r="A510" s="7" t="s">
        <v>3365</v>
      </c>
      <c r="B510" s="152"/>
      <c r="C510" s="151" t="s">
        <v>4587</v>
      </c>
      <c r="D510" s="152">
        <v>22</v>
      </c>
      <c r="E510" s="152" t="s">
        <v>10</v>
      </c>
      <c r="F510" s="153">
        <v>150000</v>
      </c>
      <c r="G510" s="153">
        <f>ROUNDDOWN(D510*F510,-3)</f>
        <v>3300000</v>
      </c>
      <c r="H510" s="210" t="b">
        <f t="shared" si="15"/>
        <v>1</v>
      </c>
    </row>
    <row r="511" spans="1:8" ht="13.8" x14ac:dyDescent="0.25">
      <c r="A511" s="7" t="s">
        <v>3367</v>
      </c>
      <c r="B511" s="59" t="s">
        <v>519</v>
      </c>
      <c r="C511" s="38" t="s">
        <v>146</v>
      </c>
      <c r="D511" s="59"/>
      <c r="E511" s="59"/>
      <c r="F511" s="39"/>
      <c r="G511" s="39">
        <f>SUM(G512,G515,G517)</f>
        <v>28800000</v>
      </c>
      <c r="H511" s="210" t="b">
        <f>_xlfn.ISFORMULA(G511)</f>
        <v>1</v>
      </c>
    </row>
    <row r="512" spans="1:8" ht="13.8" x14ac:dyDescent="0.25">
      <c r="A512" s="7" t="s">
        <v>3368</v>
      </c>
      <c r="B512" s="60">
        <v>521211</v>
      </c>
      <c r="C512" s="41" t="s">
        <v>7</v>
      </c>
      <c r="D512" s="60"/>
      <c r="E512" s="60"/>
      <c r="F512" s="42"/>
      <c r="G512" s="42">
        <f>SUM(G513:G514)</f>
        <v>15000000</v>
      </c>
      <c r="H512" s="210" t="b">
        <f t="shared" si="15"/>
        <v>1</v>
      </c>
    </row>
    <row r="513" spans="1:8" ht="13.8" x14ac:dyDescent="0.25">
      <c r="A513" s="7" t="s">
        <v>3369</v>
      </c>
      <c r="B513" s="152"/>
      <c r="C513" s="151" t="s">
        <v>4269</v>
      </c>
      <c r="D513" s="152">
        <v>6</v>
      </c>
      <c r="E513" s="152" t="s">
        <v>9</v>
      </c>
      <c r="F513" s="153">
        <v>1500000</v>
      </c>
      <c r="G513" s="153">
        <f>ROUNDDOWN(D513*F513,-3)</f>
        <v>9000000</v>
      </c>
      <c r="H513" s="210" t="b">
        <f t="shared" si="15"/>
        <v>1</v>
      </c>
    </row>
    <row r="514" spans="1:8" ht="13.8" x14ac:dyDescent="0.25">
      <c r="A514" s="7" t="s">
        <v>3370</v>
      </c>
      <c r="B514" s="152"/>
      <c r="C514" s="151" t="s">
        <v>3632</v>
      </c>
      <c r="D514" s="152">
        <v>6</v>
      </c>
      <c r="E514" s="152" t="s">
        <v>106</v>
      </c>
      <c r="F514" s="153">
        <v>1000000</v>
      </c>
      <c r="G514" s="153">
        <f>ROUNDDOWN(D514*F514,-3)</f>
        <v>6000000</v>
      </c>
      <c r="H514" s="210" t="b">
        <f t="shared" si="15"/>
        <v>1</v>
      </c>
    </row>
    <row r="515" spans="1:8" ht="13.8" x14ac:dyDescent="0.25">
      <c r="A515" s="7" t="s">
        <v>3371</v>
      </c>
      <c r="B515" s="60">
        <v>524111</v>
      </c>
      <c r="C515" s="41" t="s">
        <v>19</v>
      </c>
      <c r="D515" s="60"/>
      <c r="E515" s="60"/>
      <c r="F515" s="42"/>
      <c r="G515" s="42">
        <f>G516</f>
        <v>12000000</v>
      </c>
      <c r="H515" s="210" t="b">
        <f t="shared" si="15"/>
        <v>1</v>
      </c>
    </row>
    <row r="516" spans="1:8" ht="13.8" x14ac:dyDescent="0.25">
      <c r="A516" s="7" t="s">
        <v>3372</v>
      </c>
      <c r="B516" s="152"/>
      <c r="C516" s="151" t="s">
        <v>4588</v>
      </c>
      <c r="D516" s="152">
        <v>4</v>
      </c>
      <c r="E516" s="152" t="s">
        <v>10</v>
      </c>
      <c r="F516" s="153">
        <v>3000000</v>
      </c>
      <c r="G516" s="153">
        <f>ROUNDDOWN(D516*F516,-3)</f>
        <v>12000000</v>
      </c>
      <c r="H516" s="210" t="b">
        <f t="shared" si="15"/>
        <v>1</v>
      </c>
    </row>
    <row r="517" spans="1:8" ht="13.8" x14ac:dyDescent="0.25">
      <c r="A517" s="7" t="s">
        <v>3374</v>
      </c>
      <c r="B517" s="60">
        <v>524113</v>
      </c>
      <c r="C517" s="41" t="s">
        <v>13</v>
      </c>
      <c r="D517" s="60"/>
      <c r="E517" s="60"/>
      <c r="F517" s="42"/>
      <c r="G517" s="42">
        <f>G518</f>
        <v>1800000</v>
      </c>
      <c r="H517" s="210" t="b">
        <f t="shared" si="15"/>
        <v>1</v>
      </c>
    </row>
    <row r="518" spans="1:8" ht="13.8" x14ac:dyDescent="0.25">
      <c r="A518" s="7" t="s">
        <v>3375</v>
      </c>
      <c r="B518" s="152"/>
      <c r="C518" s="151" t="s">
        <v>4589</v>
      </c>
      <c r="D518" s="152">
        <v>12</v>
      </c>
      <c r="E518" s="152" t="s">
        <v>10</v>
      </c>
      <c r="F518" s="153">
        <v>150000</v>
      </c>
      <c r="G518" s="153">
        <f>ROUNDDOWN(D518*F518,-3)</f>
        <v>1800000</v>
      </c>
      <c r="H518" s="210" t="b">
        <f t="shared" si="15"/>
        <v>1</v>
      </c>
    </row>
    <row r="519" spans="1:8" ht="13.8" x14ac:dyDescent="0.25">
      <c r="A519" s="7" t="s">
        <v>3377</v>
      </c>
      <c r="B519" s="59" t="s">
        <v>578</v>
      </c>
      <c r="C519" s="38" t="s">
        <v>147</v>
      </c>
      <c r="D519" s="59"/>
      <c r="E519" s="59"/>
      <c r="F519" s="39"/>
      <c r="G519" s="39">
        <f>SUM(G520,G522,G525,G527)</f>
        <v>76320000</v>
      </c>
      <c r="H519" s="210" t="b">
        <f t="shared" si="15"/>
        <v>1</v>
      </c>
    </row>
    <row r="520" spans="1:8" ht="13.8" x14ac:dyDescent="0.25">
      <c r="A520" s="7" t="s">
        <v>3378</v>
      </c>
      <c r="B520" s="60">
        <v>521211</v>
      </c>
      <c r="C520" s="41" t="s">
        <v>7</v>
      </c>
      <c r="D520" s="60"/>
      <c r="E520" s="60"/>
      <c r="F520" s="42"/>
      <c r="G520" s="42">
        <f>G521</f>
        <v>4800000</v>
      </c>
      <c r="H520" s="210" t="b">
        <f t="shared" si="15"/>
        <v>1</v>
      </c>
    </row>
    <row r="521" spans="1:8" ht="13.8" x14ac:dyDescent="0.25">
      <c r="A521" s="7" t="s">
        <v>3379</v>
      </c>
      <c r="B521" s="152"/>
      <c r="C521" s="151" t="s">
        <v>4590</v>
      </c>
      <c r="D521" s="152">
        <v>24</v>
      </c>
      <c r="E521" s="152" t="s">
        <v>176</v>
      </c>
      <c r="F521" s="153">
        <v>200000</v>
      </c>
      <c r="G521" s="153">
        <f>ROUNDDOWN(D521*F521,-3)</f>
        <v>4800000</v>
      </c>
      <c r="H521" s="210" t="b">
        <f t="shared" si="15"/>
        <v>1</v>
      </c>
    </row>
    <row r="522" spans="1:8" ht="13.8" x14ac:dyDescent="0.25">
      <c r="A522" s="7" t="s">
        <v>3381</v>
      </c>
      <c r="B522" s="60">
        <v>521811</v>
      </c>
      <c r="C522" s="41" t="s">
        <v>64</v>
      </c>
      <c r="D522" s="60"/>
      <c r="E522" s="60"/>
      <c r="F522" s="42"/>
      <c r="G522" s="42">
        <f>SUM(G523:G524)</f>
        <v>25000000</v>
      </c>
      <c r="H522" s="210" t="b">
        <f t="shared" si="15"/>
        <v>1</v>
      </c>
    </row>
    <row r="523" spans="1:8" ht="13.8" x14ac:dyDescent="0.25">
      <c r="A523" s="7" t="s">
        <v>3382</v>
      </c>
      <c r="B523" s="152"/>
      <c r="C523" s="151" t="s">
        <v>4269</v>
      </c>
      <c r="D523" s="152">
        <v>10</v>
      </c>
      <c r="E523" s="152" t="s">
        <v>9</v>
      </c>
      <c r="F523" s="153">
        <v>1500000</v>
      </c>
      <c r="G523" s="153">
        <f>ROUNDDOWN(D523*F523,-3)</f>
        <v>15000000</v>
      </c>
      <c r="H523" s="210" t="b">
        <f t="shared" si="15"/>
        <v>1</v>
      </c>
    </row>
    <row r="524" spans="1:8" ht="13.8" x14ac:dyDescent="0.25">
      <c r="A524" s="7" t="s">
        <v>3383</v>
      </c>
      <c r="B524" s="152"/>
      <c r="C524" s="151" t="s">
        <v>3632</v>
      </c>
      <c r="D524" s="152">
        <v>10</v>
      </c>
      <c r="E524" s="152" t="s">
        <v>2749</v>
      </c>
      <c r="F524" s="153">
        <v>1000000</v>
      </c>
      <c r="G524" s="153">
        <f>ROUNDDOWN(D524*F524,-3)</f>
        <v>10000000</v>
      </c>
      <c r="H524" s="210" t="b">
        <f t="shared" si="15"/>
        <v>1</v>
      </c>
    </row>
    <row r="525" spans="1:8" ht="13.8" x14ac:dyDescent="0.25">
      <c r="A525" s="7" t="s">
        <v>3384</v>
      </c>
      <c r="B525" s="60">
        <v>524111</v>
      </c>
      <c r="C525" s="41" t="s">
        <v>19</v>
      </c>
      <c r="D525" s="60"/>
      <c r="E525" s="60"/>
      <c r="F525" s="42"/>
      <c r="G525" s="42">
        <f>G526</f>
        <v>42770000</v>
      </c>
      <c r="H525" s="210" t="b">
        <f t="shared" ref="H525:H588" si="16">_xlfn.ISFORMULA(G525)</f>
        <v>1</v>
      </c>
    </row>
    <row r="526" spans="1:8" ht="13.8" x14ac:dyDescent="0.25">
      <c r="A526" s="7" t="s">
        <v>3385</v>
      </c>
      <c r="B526" s="152"/>
      <c r="C526" s="151" t="s">
        <v>4591</v>
      </c>
      <c r="D526" s="152">
        <v>14</v>
      </c>
      <c r="E526" s="152" t="s">
        <v>10</v>
      </c>
      <c r="F526" s="153">
        <v>3055000</v>
      </c>
      <c r="G526" s="153">
        <f>ROUNDDOWN(D526*F526,-3)</f>
        <v>42770000</v>
      </c>
      <c r="H526" s="210" t="b">
        <f t="shared" si="16"/>
        <v>1</v>
      </c>
    </row>
    <row r="527" spans="1:8" ht="13.8" x14ac:dyDescent="0.25">
      <c r="A527" s="7" t="s">
        <v>3387</v>
      </c>
      <c r="B527" s="60">
        <v>524113</v>
      </c>
      <c r="C527" s="41" t="s">
        <v>13</v>
      </c>
      <c r="D527" s="60"/>
      <c r="E527" s="60"/>
      <c r="F527" s="42"/>
      <c r="G527" s="42">
        <f>G528</f>
        <v>3750000</v>
      </c>
      <c r="H527" s="210" t="b">
        <f t="shared" si="16"/>
        <v>1</v>
      </c>
    </row>
    <row r="528" spans="1:8" ht="13.8" x14ac:dyDescent="0.25">
      <c r="A528" s="7" t="s">
        <v>3388</v>
      </c>
      <c r="B528" s="152"/>
      <c r="C528" s="151" t="s">
        <v>3618</v>
      </c>
      <c r="D528" s="152">
        <v>25</v>
      </c>
      <c r="E528" s="152" t="s">
        <v>10</v>
      </c>
      <c r="F528" s="153">
        <v>150000</v>
      </c>
      <c r="G528" s="153">
        <f>ROUNDDOWN(D528*F528,-3)</f>
        <v>3750000</v>
      </c>
      <c r="H528" s="210" t="b">
        <f t="shared" si="16"/>
        <v>1</v>
      </c>
    </row>
    <row r="529" spans="1:8" ht="13.8" x14ac:dyDescent="0.25">
      <c r="A529" s="7" t="s">
        <v>495</v>
      </c>
      <c r="B529" s="55">
        <v>4345</v>
      </c>
      <c r="C529" s="26" t="s">
        <v>188</v>
      </c>
      <c r="D529" s="55"/>
      <c r="E529" s="55"/>
      <c r="F529" s="27"/>
      <c r="G529" s="27">
        <f>G530</f>
        <v>8582500000</v>
      </c>
      <c r="H529" s="210" t="b">
        <f t="shared" si="16"/>
        <v>1</v>
      </c>
    </row>
    <row r="530" spans="1:8" ht="13.8" x14ac:dyDescent="0.25">
      <c r="A530" s="7" t="s">
        <v>3473</v>
      </c>
      <c r="B530" s="135" t="s">
        <v>3474</v>
      </c>
      <c r="C530" s="133" t="s">
        <v>2312</v>
      </c>
      <c r="D530" s="135">
        <v>4725</v>
      </c>
      <c r="E530" s="135" t="s">
        <v>155</v>
      </c>
      <c r="F530" s="136"/>
      <c r="G530" s="136">
        <f>G531</f>
        <v>8582500000</v>
      </c>
      <c r="H530" s="210" t="b">
        <f t="shared" si="16"/>
        <v>1</v>
      </c>
    </row>
    <row r="531" spans="1:8" ht="13.8" x14ac:dyDescent="0.25">
      <c r="A531" s="7" t="s">
        <v>3475</v>
      </c>
      <c r="B531" s="138" t="s">
        <v>4611</v>
      </c>
      <c r="C531" s="137" t="s">
        <v>3477</v>
      </c>
      <c r="D531" s="138">
        <v>4725</v>
      </c>
      <c r="E531" s="138" t="s">
        <v>155</v>
      </c>
      <c r="F531" s="139"/>
      <c r="G531" s="139">
        <f>SUM(G532,G580)</f>
        <v>8582500000</v>
      </c>
      <c r="H531" s="210" t="b">
        <f t="shared" si="16"/>
        <v>1</v>
      </c>
    </row>
    <row r="532" spans="1:8" ht="13.8" x14ac:dyDescent="0.25">
      <c r="A532" s="7" t="s">
        <v>3478</v>
      </c>
      <c r="B532" s="58">
        <v>301</v>
      </c>
      <c r="C532" s="35" t="s">
        <v>189</v>
      </c>
      <c r="D532" s="58"/>
      <c r="E532" s="58"/>
      <c r="F532" s="36"/>
      <c r="G532" s="36">
        <f>SUM(G533,G552,G568,G577)</f>
        <v>8473300000</v>
      </c>
      <c r="H532" s="210" t="b">
        <f t="shared" si="16"/>
        <v>1</v>
      </c>
    </row>
    <row r="533" spans="1:8" ht="13.8" x14ac:dyDescent="0.25">
      <c r="A533" s="7" t="s">
        <v>3479</v>
      </c>
      <c r="B533" s="59" t="s">
        <v>8</v>
      </c>
      <c r="C533" s="38" t="s">
        <v>190</v>
      </c>
      <c r="D533" s="59"/>
      <c r="E533" s="59"/>
      <c r="F533" s="39"/>
      <c r="G533" s="39">
        <f>SUM(G534,G539,G542,G545,G547,G549)</f>
        <v>1713564000</v>
      </c>
      <c r="H533" s="210" t="b">
        <f t="shared" si="16"/>
        <v>1</v>
      </c>
    </row>
    <row r="534" spans="1:8" ht="13.8" x14ac:dyDescent="0.25">
      <c r="A534" s="7" t="s">
        <v>3480</v>
      </c>
      <c r="B534" s="60">
        <v>521211</v>
      </c>
      <c r="C534" s="41" t="s">
        <v>7</v>
      </c>
      <c r="D534" s="60"/>
      <c r="E534" s="60"/>
      <c r="F534" s="42"/>
      <c r="G534" s="42">
        <f>SUM(G535:G538)</f>
        <v>99100000</v>
      </c>
      <c r="H534" s="210" t="b">
        <f t="shared" si="16"/>
        <v>1</v>
      </c>
    </row>
    <row r="535" spans="1:8" ht="13.8" x14ac:dyDescent="0.25">
      <c r="A535" s="7" t="s">
        <v>3481</v>
      </c>
      <c r="B535" s="152"/>
      <c r="C535" s="151" t="s">
        <v>4612</v>
      </c>
      <c r="D535" s="152">
        <v>400</v>
      </c>
      <c r="E535" s="152" t="s">
        <v>10</v>
      </c>
      <c r="F535" s="153">
        <v>70000</v>
      </c>
      <c r="G535" s="153">
        <f>ROUNDDOWN(D535*F535,-3)</f>
        <v>28000000</v>
      </c>
      <c r="H535" s="210" t="b">
        <f t="shared" si="16"/>
        <v>1</v>
      </c>
    </row>
    <row r="536" spans="1:8" ht="13.8" x14ac:dyDescent="0.25">
      <c r="A536" s="7" t="s">
        <v>3482</v>
      </c>
      <c r="B536" s="152"/>
      <c r="C536" s="151" t="s">
        <v>4613</v>
      </c>
      <c r="D536" s="152">
        <v>10</v>
      </c>
      <c r="E536" s="152" t="s">
        <v>9</v>
      </c>
      <c r="F536" s="153">
        <v>1500000</v>
      </c>
      <c r="G536" s="153">
        <f>ROUNDDOWN(D536*F536,-3)</f>
        <v>15000000</v>
      </c>
      <c r="H536" s="210" t="b">
        <f t="shared" si="16"/>
        <v>1</v>
      </c>
    </row>
    <row r="537" spans="1:8" ht="13.8" x14ac:dyDescent="0.25">
      <c r="A537" s="7" t="s">
        <v>3484</v>
      </c>
      <c r="B537" s="152"/>
      <c r="C537" s="151" t="s">
        <v>4614</v>
      </c>
      <c r="D537" s="152">
        <v>120</v>
      </c>
      <c r="E537" s="152" t="s">
        <v>25</v>
      </c>
      <c r="F537" s="153">
        <v>280000</v>
      </c>
      <c r="G537" s="153">
        <f>ROUNDDOWN(D537*F537,-3)</f>
        <v>33600000</v>
      </c>
      <c r="H537" s="210" t="b">
        <f t="shared" si="16"/>
        <v>1</v>
      </c>
    </row>
    <row r="538" spans="1:8" ht="13.8" x14ac:dyDescent="0.25">
      <c r="A538" s="7" t="s">
        <v>3486</v>
      </c>
      <c r="B538" s="152"/>
      <c r="C538" s="151" t="s">
        <v>4615</v>
      </c>
      <c r="D538" s="152">
        <v>150</v>
      </c>
      <c r="E538" s="152" t="s">
        <v>25</v>
      </c>
      <c r="F538" s="153">
        <v>150000</v>
      </c>
      <c r="G538" s="153">
        <f>ROUNDDOWN(D538*F538,-3)</f>
        <v>22500000</v>
      </c>
      <c r="H538" s="210" t="b">
        <f t="shared" si="16"/>
        <v>1</v>
      </c>
    </row>
    <row r="539" spans="1:8" ht="13.8" x14ac:dyDescent="0.25">
      <c r="A539" s="7" t="s">
        <v>3488</v>
      </c>
      <c r="B539" s="60">
        <v>521219</v>
      </c>
      <c r="C539" s="41" t="s">
        <v>53</v>
      </c>
      <c r="D539" s="60"/>
      <c r="E539" s="60"/>
      <c r="F539" s="42"/>
      <c r="G539" s="42">
        <f>SUM(G540:G541)</f>
        <v>1333864000</v>
      </c>
      <c r="H539" s="210" t="b">
        <f t="shared" si="16"/>
        <v>1</v>
      </c>
    </row>
    <row r="540" spans="1:8" ht="13.8" x14ac:dyDescent="0.25">
      <c r="A540" s="7" t="s">
        <v>3489</v>
      </c>
      <c r="B540" s="152"/>
      <c r="C540" s="151" t="s">
        <v>4616</v>
      </c>
      <c r="D540" s="152">
        <v>33</v>
      </c>
      <c r="E540" s="152" t="s">
        <v>155</v>
      </c>
      <c r="F540" s="153">
        <v>40412550</v>
      </c>
      <c r="G540" s="153">
        <f>ROUNDDOWN(D540*F540,-3)</f>
        <v>1333614000</v>
      </c>
      <c r="H540" s="210" t="b">
        <f t="shared" si="16"/>
        <v>1</v>
      </c>
    </row>
    <row r="541" spans="1:8" ht="13.8" x14ac:dyDescent="0.25">
      <c r="A541" s="7" t="s">
        <v>3491</v>
      </c>
      <c r="B541" s="152"/>
      <c r="C541" s="151" t="s">
        <v>4617</v>
      </c>
      <c r="D541" s="152">
        <v>1</v>
      </c>
      <c r="E541" s="152" t="s">
        <v>9</v>
      </c>
      <c r="F541" s="153">
        <v>250000</v>
      </c>
      <c r="G541" s="153">
        <f>ROUNDDOWN(D541*F541,-3)</f>
        <v>250000</v>
      </c>
      <c r="H541" s="210" t="b">
        <f t="shared" si="16"/>
        <v>1</v>
      </c>
    </row>
    <row r="542" spans="1:8" ht="13.8" x14ac:dyDescent="0.25">
      <c r="A542" s="7" t="s">
        <v>3492</v>
      </c>
      <c r="B542" s="60">
        <v>521811</v>
      </c>
      <c r="C542" s="41" t="s">
        <v>64</v>
      </c>
      <c r="D542" s="60"/>
      <c r="E542" s="60"/>
      <c r="F542" s="42"/>
      <c r="G542" s="42">
        <f>SUM(G543:G544)</f>
        <v>25000000</v>
      </c>
      <c r="H542" s="210" t="b">
        <f t="shared" si="16"/>
        <v>1</v>
      </c>
    </row>
    <row r="543" spans="1:8" ht="13.8" x14ac:dyDescent="0.25">
      <c r="A543" s="7" t="s">
        <v>3493</v>
      </c>
      <c r="B543" s="152"/>
      <c r="C543" s="151" t="s">
        <v>4269</v>
      </c>
      <c r="D543" s="152">
        <v>10</v>
      </c>
      <c r="E543" s="152" t="s">
        <v>9</v>
      </c>
      <c r="F543" s="153">
        <v>1000000</v>
      </c>
      <c r="G543" s="153">
        <f>ROUNDDOWN(D543*F543,-3)</f>
        <v>10000000</v>
      </c>
      <c r="H543" s="210" t="b">
        <f t="shared" si="16"/>
        <v>1</v>
      </c>
    </row>
    <row r="544" spans="1:8" ht="13.8" x14ac:dyDescent="0.25">
      <c r="A544" s="7" t="s">
        <v>3494</v>
      </c>
      <c r="B544" s="152"/>
      <c r="C544" s="151" t="s">
        <v>3632</v>
      </c>
      <c r="D544" s="152">
        <v>10</v>
      </c>
      <c r="E544" s="152" t="s">
        <v>9</v>
      </c>
      <c r="F544" s="153">
        <v>1500000</v>
      </c>
      <c r="G544" s="153">
        <f>ROUNDDOWN(D544*F544,-3)</f>
        <v>15000000</v>
      </c>
      <c r="H544" s="210" t="b">
        <f t="shared" si="16"/>
        <v>1</v>
      </c>
    </row>
    <row r="545" spans="1:8" ht="13.8" x14ac:dyDescent="0.25">
      <c r="A545" s="7" t="s">
        <v>3495</v>
      </c>
      <c r="B545" s="60">
        <v>522151</v>
      </c>
      <c r="C545" s="41" t="s">
        <v>11</v>
      </c>
      <c r="D545" s="60"/>
      <c r="E545" s="60"/>
      <c r="F545" s="42"/>
      <c r="G545" s="42">
        <f>G546</f>
        <v>15000000</v>
      </c>
      <c r="H545" s="210" t="b">
        <f t="shared" si="16"/>
        <v>1</v>
      </c>
    </row>
    <row r="546" spans="1:8" ht="13.8" x14ac:dyDescent="0.25">
      <c r="A546" s="7" t="s">
        <v>3496</v>
      </c>
      <c r="B546" s="152"/>
      <c r="C546" s="151" t="s">
        <v>3715</v>
      </c>
      <c r="D546" s="152">
        <v>15</v>
      </c>
      <c r="E546" s="152" t="s">
        <v>12</v>
      </c>
      <c r="F546" s="153">
        <v>1000000</v>
      </c>
      <c r="G546" s="153">
        <f>ROUNDDOWN(D546*F546,-3)</f>
        <v>15000000</v>
      </c>
      <c r="H546" s="210" t="b">
        <f t="shared" si="16"/>
        <v>1</v>
      </c>
    </row>
    <row r="547" spans="1:8" ht="13.8" x14ac:dyDescent="0.25">
      <c r="A547" s="7" t="s">
        <v>3497</v>
      </c>
      <c r="B547" s="60">
        <v>522191</v>
      </c>
      <c r="C547" s="41" t="s">
        <v>22</v>
      </c>
      <c r="D547" s="60"/>
      <c r="E547" s="60"/>
      <c r="F547" s="42"/>
      <c r="G547" s="42">
        <f>G548</f>
        <v>102600000</v>
      </c>
      <c r="H547" s="210" t="b">
        <f t="shared" si="16"/>
        <v>1</v>
      </c>
    </row>
    <row r="548" spans="1:8" ht="13.8" x14ac:dyDescent="0.25">
      <c r="A548" s="7" t="s">
        <v>3498</v>
      </c>
      <c r="B548" s="152"/>
      <c r="C548" s="151" t="s">
        <v>4618</v>
      </c>
      <c r="D548" s="152">
        <v>120</v>
      </c>
      <c r="E548" s="152" t="s">
        <v>155</v>
      </c>
      <c r="F548" s="153">
        <v>855000</v>
      </c>
      <c r="G548" s="153">
        <f>ROUNDDOWN(D548*F548,-3)</f>
        <v>102600000</v>
      </c>
      <c r="H548" s="210" t="b">
        <f t="shared" si="16"/>
        <v>1</v>
      </c>
    </row>
    <row r="549" spans="1:8" ht="13.8" x14ac:dyDescent="0.25">
      <c r="A549" s="7" t="s">
        <v>3500</v>
      </c>
      <c r="B549" s="60">
        <v>524111</v>
      </c>
      <c r="C549" s="41" t="s">
        <v>19</v>
      </c>
      <c r="D549" s="60"/>
      <c r="E549" s="60"/>
      <c r="F549" s="42"/>
      <c r="G549" s="42">
        <f>SUM(G550:G551)</f>
        <v>138000000</v>
      </c>
      <c r="H549" s="210" t="b">
        <f t="shared" si="16"/>
        <v>1</v>
      </c>
    </row>
    <row r="550" spans="1:8" ht="13.8" x14ac:dyDescent="0.25">
      <c r="A550" s="7" t="s">
        <v>3501</v>
      </c>
      <c r="B550" s="152"/>
      <c r="C550" s="151" t="s">
        <v>4619</v>
      </c>
      <c r="D550" s="152">
        <v>50</v>
      </c>
      <c r="E550" s="152" t="s">
        <v>10</v>
      </c>
      <c r="F550" s="153">
        <v>1200000</v>
      </c>
      <c r="G550" s="153">
        <f>ROUNDDOWN(D550*F550,-3)</f>
        <v>60000000</v>
      </c>
      <c r="H550" s="210" t="b">
        <f t="shared" si="16"/>
        <v>1</v>
      </c>
    </row>
    <row r="551" spans="1:8" ht="26.4" x14ac:dyDescent="0.25">
      <c r="A551" s="7" t="s">
        <v>3503</v>
      </c>
      <c r="B551" s="152"/>
      <c r="C551" s="151" t="s">
        <v>4620</v>
      </c>
      <c r="D551" s="152">
        <v>12</v>
      </c>
      <c r="E551" s="152" t="s">
        <v>10</v>
      </c>
      <c r="F551" s="153">
        <v>6500000</v>
      </c>
      <c r="G551" s="153">
        <f>ROUNDDOWN(D551*F551,-3)</f>
        <v>78000000</v>
      </c>
      <c r="H551" s="210" t="b">
        <f t="shared" si="16"/>
        <v>1</v>
      </c>
    </row>
    <row r="552" spans="1:8" ht="13.8" x14ac:dyDescent="0.25">
      <c r="A552" s="7" t="s">
        <v>3505</v>
      </c>
      <c r="B552" s="59" t="s">
        <v>511</v>
      </c>
      <c r="C552" s="38" t="s">
        <v>191</v>
      </c>
      <c r="D552" s="59"/>
      <c r="E552" s="59"/>
      <c r="F552" s="39"/>
      <c r="G552" s="39">
        <f>SUM(G553,G556,G560,G563,G565)</f>
        <v>6555695000</v>
      </c>
      <c r="H552" s="210" t="b">
        <f t="shared" si="16"/>
        <v>1</v>
      </c>
    </row>
    <row r="553" spans="1:8" ht="13.8" x14ac:dyDescent="0.25">
      <c r="A553" s="7" t="s">
        <v>3506</v>
      </c>
      <c r="B553" s="60">
        <v>521211</v>
      </c>
      <c r="C553" s="41" t="s">
        <v>7</v>
      </c>
      <c r="D553" s="60"/>
      <c r="E553" s="60"/>
      <c r="F553" s="42"/>
      <c r="G553" s="42">
        <f>SUM(G554:G555)</f>
        <v>25000000</v>
      </c>
      <c r="H553" s="210" t="b">
        <f t="shared" si="16"/>
        <v>1</v>
      </c>
    </row>
    <row r="554" spans="1:8" ht="13.8" x14ac:dyDescent="0.25">
      <c r="A554" s="7" t="s">
        <v>3507</v>
      </c>
      <c r="B554" s="152"/>
      <c r="C554" s="151" t="s">
        <v>4612</v>
      </c>
      <c r="D554" s="152">
        <v>100</v>
      </c>
      <c r="E554" s="152" t="s">
        <v>10</v>
      </c>
      <c r="F554" s="153">
        <v>70000</v>
      </c>
      <c r="G554" s="153">
        <f>ROUNDDOWN(D554*F554,-3)</f>
        <v>7000000</v>
      </c>
      <c r="H554" s="210" t="b">
        <f t="shared" si="16"/>
        <v>1</v>
      </c>
    </row>
    <row r="555" spans="1:8" ht="13.8" x14ac:dyDescent="0.25">
      <c r="A555" s="7" t="s">
        <v>3508</v>
      </c>
      <c r="B555" s="152"/>
      <c r="C555" s="151" t="s">
        <v>4613</v>
      </c>
      <c r="D555" s="152">
        <v>12</v>
      </c>
      <c r="E555" s="152" t="s">
        <v>9</v>
      </c>
      <c r="F555" s="153">
        <v>1500000</v>
      </c>
      <c r="G555" s="153">
        <f>ROUNDDOWN(D555*F555,-3)</f>
        <v>18000000</v>
      </c>
      <c r="H555" s="210" t="b">
        <f t="shared" si="16"/>
        <v>1</v>
      </c>
    </row>
    <row r="556" spans="1:8" ht="13.8" x14ac:dyDescent="0.25">
      <c r="A556" s="7" t="s">
        <v>3509</v>
      </c>
      <c r="B556" s="60">
        <v>521219</v>
      </c>
      <c r="C556" s="41" t="s">
        <v>53</v>
      </c>
      <c r="D556" s="60"/>
      <c r="E556" s="60"/>
      <c r="F556" s="42"/>
      <c r="G556" s="42">
        <f>SUM(G557:G559)</f>
        <v>6308695000</v>
      </c>
      <c r="H556" s="210" t="b">
        <f t="shared" si="16"/>
        <v>1</v>
      </c>
    </row>
    <row r="557" spans="1:8" ht="13.8" x14ac:dyDescent="0.25">
      <c r="A557" s="7" t="s">
        <v>3510</v>
      </c>
      <c r="B557" s="152"/>
      <c r="C557" s="151" t="s">
        <v>4616</v>
      </c>
      <c r="D557" s="152">
        <v>157</v>
      </c>
      <c r="E557" s="152" t="s">
        <v>155</v>
      </c>
      <c r="F557" s="153">
        <v>40130229</v>
      </c>
      <c r="G557" s="153">
        <f>ROUNDDOWN(D557*F557,-3)</f>
        <v>6300445000</v>
      </c>
      <c r="H557" s="210" t="b">
        <f t="shared" si="16"/>
        <v>1</v>
      </c>
    </row>
    <row r="558" spans="1:8" ht="13.8" x14ac:dyDescent="0.25">
      <c r="A558" s="7" t="s">
        <v>3511</v>
      </c>
      <c r="B558" s="152"/>
      <c r="C558" s="151" t="s">
        <v>4617</v>
      </c>
      <c r="D558" s="152">
        <v>3</v>
      </c>
      <c r="E558" s="152" t="s">
        <v>9</v>
      </c>
      <c r="F558" s="153">
        <v>250000</v>
      </c>
      <c r="G558" s="153">
        <f>ROUNDDOWN(D558*F558,-3)</f>
        <v>750000</v>
      </c>
      <c r="H558" s="210" t="b">
        <f t="shared" si="16"/>
        <v>1</v>
      </c>
    </row>
    <row r="559" spans="1:8" ht="13.8" x14ac:dyDescent="0.25">
      <c r="A559" s="7" t="s">
        <v>3512</v>
      </c>
      <c r="B559" s="152"/>
      <c r="C559" s="151" t="s">
        <v>4621</v>
      </c>
      <c r="D559" s="152">
        <v>15</v>
      </c>
      <c r="E559" s="152" t="s">
        <v>106</v>
      </c>
      <c r="F559" s="153">
        <v>500000</v>
      </c>
      <c r="G559" s="153">
        <f>ROUNDDOWN(D559*F559,-3)</f>
        <v>7500000</v>
      </c>
      <c r="H559" s="210" t="b">
        <f t="shared" si="16"/>
        <v>1</v>
      </c>
    </row>
    <row r="560" spans="1:8" ht="13.8" x14ac:dyDescent="0.25">
      <c r="A560" s="7" t="s">
        <v>3514</v>
      </c>
      <c r="B560" s="60">
        <v>521811</v>
      </c>
      <c r="C560" s="41" t="s">
        <v>64</v>
      </c>
      <c r="D560" s="60"/>
      <c r="E560" s="60"/>
      <c r="F560" s="42"/>
      <c r="G560" s="42">
        <f>SUM(G561:G562)</f>
        <v>30000000</v>
      </c>
      <c r="H560" s="210" t="b">
        <f t="shared" si="16"/>
        <v>1</v>
      </c>
    </row>
    <row r="561" spans="1:8" ht="13.8" x14ac:dyDescent="0.25">
      <c r="A561" s="7" t="s">
        <v>3515</v>
      </c>
      <c r="B561" s="152"/>
      <c r="C561" s="151" t="s">
        <v>4269</v>
      </c>
      <c r="D561" s="152">
        <v>12</v>
      </c>
      <c r="E561" s="152" t="s">
        <v>9</v>
      </c>
      <c r="F561" s="153">
        <v>1000000</v>
      </c>
      <c r="G561" s="153">
        <f>ROUNDDOWN(D561*F561,-3)</f>
        <v>12000000</v>
      </c>
      <c r="H561" s="210" t="b">
        <f t="shared" si="16"/>
        <v>1</v>
      </c>
    </row>
    <row r="562" spans="1:8" ht="13.8" x14ac:dyDescent="0.25">
      <c r="A562" s="7" t="s">
        <v>3516</v>
      </c>
      <c r="B562" s="152"/>
      <c r="C562" s="151" t="s">
        <v>3632</v>
      </c>
      <c r="D562" s="152">
        <v>12</v>
      </c>
      <c r="E562" s="152" t="s">
        <v>9</v>
      </c>
      <c r="F562" s="153">
        <v>1500000</v>
      </c>
      <c r="G562" s="153">
        <f>ROUNDDOWN(D562*F562,-3)</f>
        <v>18000000</v>
      </c>
      <c r="H562" s="210" t="b">
        <f t="shared" si="16"/>
        <v>1</v>
      </c>
    </row>
    <row r="563" spans="1:8" ht="13.8" x14ac:dyDescent="0.25">
      <c r="A563" s="7" t="s">
        <v>3517</v>
      </c>
      <c r="B563" s="60">
        <v>522151</v>
      </c>
      <c r="C563" s="41" t="s">
        <v>11</v>
      </c>
      <c r="D563" s="60"/>
      <c r="E563" s="60"/>
      <c r="F563" s="42"/>
      <c r="G563" s="42">
        <f>G564</f>
        <v>6000000</v>
      </c>
      <c r="H563" s="210" t="b">
        <f t="shared" si="16"/>
        <v>1</v>
      </c>
    </row>
    <row r="564" spans="1:8" ht="13.8" x14ac:dyDescent="0.25">
      <c r="A564" s="7" t="s">
        <v>3518</v>
      </c>
      <c r="B564" s="152"/>
      <c r="C564" s="151" t="s">
        <v>3715</v>
      </c>
      <c r="D564" s="152">
        <v>6</v>
      </c>
      <c r="E564" s="152" t="s">
        <v>12</v>
      </c>
      <c r="F564" s="153">
        <v>1000000</v>
      </c>
      <c r="G564" s="153">
        <f>ROUNDDOWN(D564*F564,-3)</f>
        <v>6000000</v>
      </c>
      <c r="H564" s="210" t="b">
        <f t="shared" si="16"/>
        <v>1</v>
      </c>
    </row>
    <row r="565" spans="1:8" ht="13.8" x14ac:dyDescent="0.25">
      <c r="A565" s="7" t="s">
        <v>3519</v>
      </c>
      <c r="B565" s="60">
        <v>524111</v>
      </c>
      <c r="C565" s="41" t="s">
        <v>19</v>
      </c>
      <c r="D565" s="60"/>
      <c r="E565" s="60"/>
      <c r="F565" s="42"/>
      <c r="G565" s="42">
        <f>SUM(G566:G567)</f>
        <v>186000000</v>
      </c>
      <c r="H565" s="210" t="b">
        <f t="shared" si="16"/>
        <v>1</v>
      </c>
    </row>
    <row r="566" spans="1:8" ht="13.8" x14ac:dyDescent="0.25">
      <c r="A566" s="7" t="s">
        <v>3520</v>
      </c>
      <c r="B566" s="152"/>
      <c r="C566" s="151" t="s">
        <v>4619</v>
      </c>
      <c r="D566" s="152">
        <v>20</v>
      </c>
      <c r="E566" s="152" t="s">
        <v>10</v>
      </c>
      <c r="F566" s="153">
        <v>1500000</v>
      </c>
      <c r="G566" s="153">
        <f>ROUNDDOWN(D566*F566,-3)</f>
        <v>30000000</v>
      </c>
      <c r="H566" s="210" t="b">
        <f t="shared" si="16"/>
        <v>1</v>
      </c>
    </row>
    <row r="567" spans="1:8" ht="26.4" x14ac:dyDescent="0.25">
      <c r="A567" s="7" t="s">
        <v>3521</v>
      </c>
      <c r="B567" s="152"/>
      <c r="C567" s="151" t="s">
        <v>4620</v>
      </c>
      <c r="D567" s="152">
        <v>24</v>
      </c>
      <c r="E567" s="152" t="s">
        <v>10</v>
      </c>
      <c r="F567" s="153">
        <v>6500000</v>
      </c>
      <c r="G567" s="153">
        <f>ROUNDDOWN(D567*F567,-3)</f>
        <v>156000000</v>
      </c>
      <c r="H567" s="210" t="b">
        <f t="shared" si="16"/>
        <v>1</v>
      </c>
    </row>
    <row r="568" spans="1:8" ht="13.8" x14ac:dyDescent="0.25">
      <c r="A568" s="7" t="s">
        <v>3522</v>
      </c>
      <c r="B568" s="59" t="s">
        <v>512</v>
      </c>
      <c r="C568" s="38" t="s">
        <v>192</v>
      </c>
      <c r="D568" s="59"/>
      <c r="E568" s="59"/>
      <c r="F568" s="39"/>
      <c r="G568" s="39">
        <f>SUM(G569,G573,G575)</f>
        <v>174041000</v>
      </c>
      <c r="H568" s="210" t="b">
        <f t="shared" si="16"/>
        <v>1</v>
      </c>
    </row>
    <row r="569" spans="1:8" ht="13.8" x14ac:dyDescent="0.25">
      <c r="A569" s="7" t="s">
        <v>3523</v>
      </c>
      <c r="B569" s="60">
        <v>521211</v>
      </c>
      <c r="C569" s="41" t="s">
        <v>7</v>
      </c>
      <c r="D569" s="60"/>
      <c r="E569" s="60"/>
      <c r="F569" s="42"/>
      <c r="G569" s="42">
        <f>SUM(G570:G572)</f>
        <v>12000000</v>
      </c>
      <c r="H569" s="210" t="b">
        <f t="shared" si="16"/>
        <v>1</v>
      </c>
    </row>
    <row r="570" spans="1:8" ht="13.8" x14ac:dyDescent="0.25">
      <c r="A570" s="7" t="s">
        <v>3524</v>
      </c>
      <c r="B570" s="152"/>
      <c r="C570" s="151" t="s">
        <v>4622</v>
      </c>
      <c r="D570" s="152">
        <v>3</v>
      </c>
      <c r="E570" s="152" t="s">
        <v>9</v>
      </c>
      <c r="F570" s="153">
        <v>1500000</v>
      </c>
      <c r="G570" s="153">
        <f>ROUNDDOWN(D570*F570,-3)</f>
        <v>4500000</v>
      </c>
      <c r="H570" s="210" t="b">
        <f t="shared" si="16"/>
        <v>1</v>
      </c>
    </row>
    <row r="571" spans="1:8" ht="13.8" x14ac:dyDescent="0.25">
      <c r="A571" s="7" t="s">
        <v>3525</v>
      </c>
      <c r="B571" s="152"/>
      <c r="C571" s="151" t="s">
        <v>3626</v>
      </c>
      <c r="D571" s="152">
        <v>3</v>
      </c>
      <c r="E571" s="152" t="s">
        <v>9</v>
      </c>
      <c r="F571" s="153">
        <v>1000000</v>
      </c>
      <c r="G571" s="153">
        <f>ROUNDDOWN(D571*F571,-3)</f>
        <v>3000000</v>
      </c>
      <c r="H571" s="210" t="b">
        <f t="shared" si="16"/>
        <v>1</v>
      </c>
    </row>
    <row r="572" spans="1:8" ht="13.8" x14ac:dyDescent="0.25">
      <c r="A572" s="7" t="s">
        <v>3526</v>
      </c>
      <c r="B572" s="152"/>
      <c r="C572" s="151" t="s">
        <v>3600</v>
      </c>
      <c r="D572" s="152">
        <v>3</v>
      </c>
      <c r="E572" s="152" t="s">
        <v>9</v>
      </c>
      <c r="F572" s="153">
        <v>1500000</v>
      </c>
      <c r="G572" s="153">
        <f>ROUNDDOWN(D572*F572,-3)</f>
        <v>4500000</v>
      </c>
      <c r="H572" s="210" t="b">
        <f t="shared" si="16"/>
        <v>1</v>
      </c>
    </row>
    <row r="573" spans="1:8" ht="13.8" x14ac:dyDescent="0.25">
      <c r="A573" s="7" t="s">
        <v>3527</v>
      </c>
      <c r="B573" s="60">
        <v>521219</v>
      </c>
      <c r="C573" s="41" t="s">
        <v>53</v>
      </c>
      <c r="D573" s="60"/>
      <c r="E573" s="60"/>
      <c r="F573" s="42"/>
      <c r="G573" s="42">
        <f>G574</f>
        <v>20000000</v>
      </c>
      <c r="H573" s="210" t="b">
        <f t="shared" si="16"/>
        <v>1</v>
      </c>
    </row>
    <row r="574" spans="1:8" ht="26.4" x14ac:dyDescent="0.25">
      <c r="A574" s="7" t="s">
        <v>3528</v>
      </c>
      <c r="B574" s="152"/>
      <c r="C574" s="151" t="s">
        <v>4623</v>
      </c>
      <c r="D574" s="152">
        <v>2</v>
      </c>
      <c r="E574" s="152" t="s">
        <v>155</v>
      </c>
      <c r="F574" s="153">
        <v>10000000</v>
      </c>
      <c r="G574" s="153">
        <f>ROUNDDOWN(D574*F574,-3)</f>
        <v>20000000</v>
      </c>
      <c r="H574" s="210" t="b">
        <f t="shared" si="16"/>
        <v>1</v>
      </c>
    </row>
    <row r="575" spans="1:8" ht="13.8" x14ac:dyDescent="0.25">
      <c r="A575" s="7" t="s">
        <v>3530</v>
      </c>
      <c r="B575" s="60">
        <v>524211</v>
      </c>
      <c r="C575" s="41" t="s">
        <v>1151</v>
      </c>
      <c r="D575" s="60"/>
      <c r="E575" s="60"/>
      <c r="F575" s="42"/>
      <c r="G575" s="42">
        <f>G576</f>
        <v>142041000</v>
      </c>
      <c r="H575" s="210" t="b">
        <f t="shared" si="16"/>
        <v>1</v>
      </c>
    </row>
    <row r="576" spans="1:8" ht="26.4" x14ac:dyDescent="0.25">
      <c r="A576" s="7" t="s">
        <v>3531</v>
      </c>
      <c r="B576" s="152"/>
      <c r="C576" s="151" t="s">
        <v>4624</v>
      </c>
      <c r="D576" s="152">
        <v>3</v>
      </c>
      <c r="E576" s="152" t="s">
        <v>10</v>
      </c>
      <c r="F576" s="153">
        <v>47347000</v>
      </c>
      <c r="G576" s="153">
        <f>ROUNDDOWN(D576*F576,-3)</f>
        <v>142041000</v>
      </c>
      <c r="H576" s="210" t="b">
        <f t="shared" si="16"/>
        <v>1</v>
      </c>
    </row>
    <row r="577" spans="1:8" ht="13.8" x14ac:dyDescent="0.25">
      <c r="A577" s="7" t="s">
        <v>3533</v>
      </c>
      <c r="B577" s="59" t="s">
        <v>514</v>
      </c>
      <c r="C577" s="38" t="s">
        <v>3534</v>
      </c>
      <c r="D577" s="59"/>
      <c r="E577" s="59"/>
      <c r="F577" s="39"/>
      <c r="G577" s="39">
        <f>G578</f>
        <v>30000000</v>
      </c>
      <c r="H577" s="210" t="b">
        <f t="shared" si="16"/>
        <v>1</v>
      </c>
    </row>
    <row r="578" spans="1:8" ht="13.8" x14ac:dyDescent="0.25">
      <c r="A578" s="7" t="s">
        <v>3535</v>
      </c>
      <c r="B578" s="60">
        <v>522192</v>
      </c>
      <c r="C578" s="41" t="s">
        <v>24</v>
      </c>
      <c r="D578" s="60"/>
      <c r="E578" s="60"/>
      <c r="F578" s="42"/>
      <c r="G578" s="42">
        <f>G579</f>
        <v>30000000</v>
      </c>
      <c r="H578" s="210" t="b">
        <f t="shared" si="16"/>
        <v>1</v>
      </c>
    </row>
    <row r="579" spans="1:8" ht="13.8" x14ac:dyDescent="0.25">
      <c r="A579" s="7" t="s">
        <v>3536</v>
      </c>
      <c r="B579" s="152"/>
      <c r="C579" s="151" t="s">
        <v>4625</v>
      </c>
      <c r="D579" s="152">
        <v>120</v>
      </c>
      <c r="E579" s="152" t="s">
        <v>776</v>
      </c>
      <c r="F579" s="153">
        <v>250000</v>
      </c>
      <c r="G579" s="153">
        <f>ROUNDDOWN(D579*F579,-3)</f>
        <v>30000000</v>
      </c>
      <c r="H579" s="210" t="b">
        <f t="shared" si="16"/>
        <v>1</v>
      </c>
    </row>
    <row r="580" spans="1:8" ht="13.8" x14ac:dyDescent="0.25">
      <c r="A580" s="7" t="s">
        <v>3538</v>
      </c>
      <c r="B580" s="58">
        <v>302</v>
      </c>
      <c r="C580" s="35" t="s">
        <v>193</v>
      </c>
      <c r="D580" s="58"/>
      <c r="E580" s="58"/>
      <c r="F580" s="36"/>
      <c r="G580" s="36">
        <f>G581</f>
        <v>109200000</v>
      </c>
      <c r="H580" s="210" t="b">
        <f t="shared" si="16"/>
        <v>1</v>
      </c>
    </row>
    <row r="581" spans="1:8" ht="13.8" x14ac:dyDescent="0.25">
      <c r="A581" s="7" t="s">
        <v>3539</v>
      </c>
      <c r="B581" s="59" t="s">
        <v>8</v>
      </c>
      <c r="C581" s="38" t="s">
        <v>193</v>
      </c>
      <c r="D581" s="59"/>
      <c r="E581" s="59"/>
      <c r="F581" s="39"/>
      <c r="G581" s="39">
        <f>SUM(G582,G585,G588)</f>
        <v>109200000</v>
      </c>
      <c r="H581" s="210" t="b">
        <f t="shared" si="16"/>
        <v>1</v>
      </c>
    </row>
    <row r="582" spans="1:8" ht="13.8" x14ac:dyDescent="0.25">
      <c r="A582" s="7" t="s">
        <v>3540</v>
      </c>
      <c r="B582" s="60">
        <v>521211</v>
      </c>
      <c r="C582" s="41" t="s">
        <v>7</v>
      </c>
      <c r="D582" s="60"/>
      <c r="E582" s="60"/>
      <c r="F582" s="42"/>
      <c r="G582" s="42">
        <f>SUM(G583:G584)</f>
        <v>25000000</v>
      </c>
      <c r="H582" s="210" t="b">
        <f t="shared" si="16"/>
        <v>1</v>
      </c>
    </row>
    <row r="583" spans="1:8" ht="13.8" x14ac:dyDescent="0.25">
      <c r="A583" s="7" t="s">
        <v>3541</v>
      </c>
      <c r="B583" s="152"/>
      <c r="C583" s="151" t="s">
        <v>4612</v>
      </c>
      <c r="D583" s="152">
        <v>100</v>
      </c>
      <c r="E583" s="152" t="s">
        <v>10</v>
      </c>
      <c r="F583" s="153">
        <v>70000</v>
      </c>
      <c r="G583" s="153">
        <f>ROUNDDOWN(D583*F583,-3)</f>
        <v>7000000</v>
      </c>
      <c r="H583" s="210" t="b">
        <f t="shared" si="16"/>
        <v>1</v>
      </c>
    </row>
    <row r="584" spans="1:8" ht="13.8" x14ac:dyDescent="0.25">
      <c r="A584" s="7" t="s">
        <v>3542</v>
      </c>
      <c r="B584" s="152"/>
      <c r="C584" s="151" t="s">
        <v>4613</v>
      </c>
      <c r="D584" s="152">
        <v>12</v>
      </c>
      <c r="E584" s="152" t="s">
        <v>9</v>
      </c>
      <c r="F584" s="153">
        <v>1500000</v>
      </c>
      <c r="G584" s="153">
        <f>ROUNDDOWN(D584*F584,-3)</f>
        <v>18000000</v>
      </c>
      <c r="H584" s="210" t="b">
        <f t="shared" si="16"/>
        <v>1</v>
      </c>
    </row>
    <row r="585" spans="1:8" ht="13.8" x14ac:dyDescent="0.25">
      <c r="A585" s="7" t="s">
        <v>3543</v>
      </c>
      <c r="B585" s="60">
        <v>521811</v>
      </c>
      <c r="C585" s="41" t="s">
        <v>64</v>
      </c>
      <c r="D585" s="60"/>
      <c r="E585" s="60"/>
      <c r="F585" s="42"/>
      <c r="G585" s="42">
        <f>SUM(G586:G587)</f>
        <v>30000000</v>
      </c>
      <c r="H585" s="210" t="b">
        <f t="shared" si="16"/>
        <v>1</v>
      </c>
    </row>
    <row r="586" spans="1:8" ht="13.8" x14ac:dyDescent="0.25">
      <c r="A586" s="7" t="s">
        <v>3544</v>
      </c>
      <c r="B586" s="152"/>
      <c r="C586" s="151" t="s">
        <v>4269</v>
      </c>
      <c r="D586" s="152">
        <v>12</v>
      </c>
      <c r="E586" s="152" t="s">
        <v>9</v>
      </c>
      <c r="F586" s="153">
        <v>1000000</v>
      </c>
      <c r="G586" s="153">
        <f>ROUNDDOWN(D586*F586,-3)</f>
        <v>12000000</v>
      </c>
      <c r="H586" s="210" t="b">
        <f t="shared" si="16"/>
        <v>1</v>
      </c>
    </row>
    <row r="587" spans="1:8" ht="13.8" x14ac:dyDescent="0.25">
      <c r="A587" s="7" t="s">
        <v>3545</v>
      </c>
      <c r="B587" s="152"/>
      <c r="C587" s="151" t="s">
        <v>3632</v>
      </c>
      <c r="D587" s="152">
        <v>12</v>
      </c>
      <c r="E587" s="152" t="s">
        <v>9</v>
      </c>
      <c r="F587" s="153">
        <v>1500000</v>
      </c>
      <c r="G587" s="153">
        <f>ROUNDDOWN(D587*F587,-3)</f>
        <v>18000000</v>
      </c>
      <c r="H587" s="210" t="b">
        <f t="shared" si="16"/>
        <v>1</v>
      </c>
    </row>
    <row r="588" spans="1:8" ht="13.8" x14ac:dyDescent="0.25">
      <c r="A588" s="7" t="s">
        <v>3546</v>
      </c>
      <c r="B588" s="60">
        <v>524111</v>
      </c>
      <c r="C588" s="41" t="s">
        <v>19</v>
      </c>
      <c r="D588" s="60"/>
      <c r="E588" s="60"/>
      <c r="F588" s="42"/>
      <c r="G588" s="42">
        <f>G589</f>
        <v>54200000</v>
      </c>
      <c r="H588" s="210" t="b">
        <f t="shared" si="16"/>
        <v>1</v>
      </c>
    </row>
    <row r="589" spans="1:8" ht="26.4" x14ac:dyDescent="0.25">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27" priority="15">
      <formula>NOT(_xlfn.ISFORMULA(G12))</formula>
    </cfRule>
  </conditionalFormatting>
  <conditionalFormatting sqref="B11:H12 H13:H589">
    <cfRule type="expression" dxfId="26" priority="17">
      <formula>AND(#REF!="Ya",#REF!=ROW())</formula>
    </cfRule>
  </conditionalFormatting>
  <conditionalFormatting sqref="B561:F561 G586:G587 G583:G584 G579 G576 G574 G570:G572 G566:G567 G564 G561:G562 B13:G560">
    <cfRule type="expression" dxfId="25" priority="14">
      <formula>AND($P$4="Ya",$O$2=ROW())</formula>
    </cfRule>
  </conditionalFormatting>
  <conditionalFormatting sqref="G589">
    <cfRule type="expression" dxfId="24" priority="12">
      <formula>AND($P$4="Ya",$O$2=ROW())</formula>
    </cfRule>
  </conditionalFormatting>
  <conditionalFormatting sqref="G589 G586:G587 G583:G584 G579 G576 G574 G570:G572 G566:G567 G564 G561:G562">
    <cfRule type="expression" dxfId="23" priority="11">
      <formula>NOT(_xlfn.ISFORMULA(G561))</formula>
    </cfRule>
  </conditionalFormatting>
  <conditionalFormatting sqref="G573">
    <cfRule type="expression" dxfId="22" priority="10">
      <formula>NOT(_xlfn.ISFORMULA(G573))</formula>
    </cfRule>
  </conditionalFormatting>
  <conditionalFormatting sqref="G573">
    <cfRule type="expression" dxfId="21" priority="9">
      <formula>AND($P$4="Ya",$O$2=ROW())</formula>
    </cfRule>
  </conditionalFormatting>
  <conditionalFormatting sqref="G563">
    <cfRule type="expression" dxfId="20" priority="8">
      <formula>NOT(_xlfn.ISFORMULA(G563))</formula>
    </cfRule>
  </conditionalFormatting>
  <conditionalFormatting sqref="G563">
    <cfRule type="expression" dxfId="19" priority="7">
      <formula>AND($P$4="Ya",$O$2=ROW())</formula>
    </cfRule>
  </conditionalFormatting>
  <conditionalFormatting sqref="G588">
    <cfRule type="expression" dxfId="18" priority="6">
      <formula>NOT(_xlfn.ISFORMULA(G588))</formula>
    </cfRule>
  </conditionalFormatting>
  <conditionalFormatting sqref="G588">
    <cfRule type="expression" dxfId="17" priority="5">
      <formula>AND($P$4="Ya",$O$2=ROW())</formula>
    </cfRule>
  </conditionalFormatting>
  <conditionalFormatting sqref="G585">
    <cfRule type="expression" dxfId="16" priority="4">
      <formula>NOT(_xlfn.ISFORMULA(G585))</formula>
    </cfRule>
  </conditionalFormatting>
  <conditionalFormatting sqref="G585">
    <cfRule type="expression" dxfId="15" priority="3">
      <formula>AND($P$4="Ya",$O$2=ROW())</formula>
    </cfRule>
  </conditionalFormatting>
  <conditionalFormatting sqref="G582">
    <cfRule type="expression" dxfId="14" priority="2">
      <formula>NOT(_xlfn.ISFORMULA(G582))</formula>
    </cfRule>
  </conditionalFormatting>
  <conditionalFormatting sqref="G582">
    <cfRule type="expression" dxfId="1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345"/>
    <col min="2" max="2" width="7.5546875" style="344" customWidth="1"/>
    <col min="3" max="3" width="5.44140625" style="344" customWidth="1"/>
    <col min="4" max="4" width="22.88671875" style="345" customWidth="1"/>
    <col min="5" max="5" width="18.109375" style="345" customWidth="1"/>
    <col min="6" max="6" width="19.44140625" style="347" customWidth="1"/>
    <col min="7" max="7" width="19.6640625" style="348" customWidth="1"/>
    <col min="8" max="8" width="26.109375" style="348" customWidth="1"/>
    <col min="9" max="9" width="20.5546875" style="345" customWidth="1"/>
    <col min="10" max="10" width="15.5546875" style="345" customWidth="1"/>
    <col min="11" max="11" width="104.6640625" style="353" customWidth="1"/>
    <col min="12" max="12" width="33.88671875" style="348" customWidth="1"/>
    <col min="13" max="13" width="34.109375" style="348" customWidth="1"/>
    <col min="14" max="14" width="25.33203125" style="395" customWidth="1"/>
    <col min="15" max="15" width="19.109375" style="345" bestFit="1" customWidth="1"/>
    <col min="16" max="19" width="9.109375" style="345"/>
    <col min="20" max="20" width="125" style="345" customWidth="1"/>
    <col min="21" max="16384" width="9.109375" style="345"/>
  </cols>
  <sheetData>
    <row r="1" spans="2:20" ht="15" x14ac:dyDescent="0.25">
      <c r="E1" s="346"/>
      <c r="K1" s="348"/>
    </row>
    <row r="2" spans="2:20" ht="15" x14ac:dyDescent="0.25">
      <c r="E2" s="346"/>
      <c r="K2" s="348"/>
      <c r="N2" s="395" t="s">
        <v>5349</v>
      </c>
      <c r="O2" s="394">
        <f>SUMIF(Table1[Status Realisasi],N2,Table1[Nilai SP2D])</f>
        <v>381840000</v>
      </c>
    </row>
    <row r="3" spans="2:20" ht="15" x14ac:dyDescent="0.25">
      <c r="E3" s="346"/>
      <c r="K3" s="348"/>
      <c r="N3" s="395" t="s">
        <v>5347</v>
      </c>
      <c r="O3" s="394">
        <f>SUMIF(Table1[Status Realisasi],N3,Table1[Nilai SP2D])</f>
        <v>3393066206</v>
      </c>
      <c r="T3" s="345" t="s">
        <v>5414</v>
      </c>
    </row>
    <row r="4" spans="2:20" ht="15" x14ac:dyDescent="0.25">
      <c r="E4" s="346"/>
      <c r="K4" s="348"/>
      <c r="N4" s="395" t="s">
        <v>5348</v>
      </c>
      <c r="O4" s="394">
        <f>SUMIF(Table1[Status Realisasi],N4,Table1[Nilai SP2D])</f>
        <v>2939763957</v>
      </c>
    </row>
    <row r="5" spans="2:20" ht="15" x14ac:dyDescent="0.25">
      <c r="E5" s="346"/>
      <c r="K5" s="348"/>
      <c r="N5" s="395" t="s">
        <v>5350</v>
      </c>
      <c r="O5" s="394">
        <f>SUMIF(Table1[Status Realisasi],N5,Table1[Nilai SP2D])</f>
        <v>654200000</v>
      </c>
    </row>
    <row r="6" spans="2:20" ht="15" x14ac:dyDescent="0.25">
      <c r="E6" s="346"/>
      <c r="K6" s="348"/>
      <c r="N6" s="395" t="s">
        <v>5351</v>
      </c>
    </row>
    <row r="7" spans="2:20" ht="15" x14ac:dyDescent="0.25">
      <c r="E7" s="346"/>
      <c r="K7" s="348"/>
      <c r="N7" s="395">
        <v>51</v>
      </c>
      <c r="O7" s="394">
        <f>SUMIF(Table1[all],N7,Table1[Nilai SP2D])</f>
        <v>2939763957</v>
      </c>
    </row>
    <row r="8" spans="2:20" ht="15" x14ac:dyDescent="0.25">
      <c r="E8" s="346"/>
      <c r="F8" s="345"/>
      <c r="K8" s="348"/>
      <c r="N8" s="395">
        <v>52</v>
      </c>
      <c r="O8" s="394">
        <f>SUMIF(Table1[all],N8,Table1[Nilai SP2D])</f>
        <v>5413122932</v>
      </c>
    </row>
    <row r="9" spans="2:20" ht="15" x14ac:dyDescent="0.25">
      <c r="E9" s="346"/>
      <c r="F9" s="345"/>
      <c r="K9" s="348"/>
      <c r="N9" s="395">
        <v>53</v>
      </c>
      <c r="O9" s="394">
        <f>SUMIF(Table1[all],N9,Table1[Nilai SP2D])</f>
        <v>654200000</v>
      </c>
    </row>
    <row r="10" spans="2:20" s="375" customFormat="1" ht="38.25" customHeight="1" x14ac:dyDescent="0.3">
      <c r="B10" s="392" t="s">
        <v>4838</v>
      </c>
      <c r="C10" s="392" t="s">
        <v>5375</v>
      </c>
      <c r="D10" s="393" t="s">
        <v>4839</v>
      </c>
      <c r="E10" s="393" t="s">
        <v>4840</v>
      </c>
      <c r="F10" s="393" t="s">
        <v>4841</v>
      </c>
      <c r="G10" s="393" t="s">
        <v>4842</v>
      </c>
      <c r="H10" s="393" t="s">
        <v>4843</v>
      </c>
      <c r="I10" s="393" t="s">
        <v>4844</v>
      </c>
      <c r="J10" s="393" t="s">
        <v>4845</v>
      </c>
      <c r="K10" s="393" t="s">
        <v>4846</v>
      </c>
      <c r="L10" s="375" t="s">
        <v>5189</v>
      </c>
      <c r="M10" s="375" t="s">
        <v>5190</v>
      </c>
      <c r="N10" s="375" t="s">
        <v>4691</v>
      </c>
      <c r="O10" s="375" t="s">
        <v>5374</v>
      </c>
      <c r="T10" s="375"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320">
        <v>1</v>
      </c>
      <c r="C11" s="320">
        <v>1</v>
      </c>
      <c r="D11" s="316" t="s">
        <v>5090</v>
      </c>
      <c r="E11" s="355" t="s">
        <v>5091</v>
      </c>
      <c r="F11" s="317">
        <v>208949299</v>
      </c>
      <c r="G11" s="368" t="s">
        <v>5007</v>
      </c>
      <c r="H11" s="350" t="s">
        <v>5092</v>
      </c>
      <c r="I11" s="316" t="s">
        <v>5091</v>
      </c>
      <c r="J11" s="316" t="s">
        <v>4866</v>
      </c>
      <c r="K11" s="319" t="s">
        <v>5093</v>
      </c>
      <c r="L11" s="386" t="s">
        <v>576</v>
      </c>
      <c r="M11" s="386" t="s">
        <v>5159</v>
      </c>
      <c r="N11" s="400" t="s">
        <v>5348</v>
      </c>
      <c r="O11" s="320">
        <v>51</v>
      </c>
    </row>
    <row r="12" spans="2:20" ht="69.900000000000006" customHeight="1" x14ac:dyDescent="0.25">
      <c r="B12" s="320">
        <v>2</v>
      </c>
      <c r="C12" s="320">
        <v>2</v>
      </c>
      <c r="D12" s="316" t="s">
        <v>5085</v>
      </c>
      <c r="E12" s="355" t="s">
        <v>5086</v>
      </c>
      <c r="F12" s="317">
        <v>203627955</v>
      </c>
      <c r="G12" s="368" t="s">
        <v>5007</v>
      </c>
      <c r="H12" s="350" t="s">
        <v>5087</v>
      </c>
      <c r="I12" s="316" t="s">
        <v>5088</v>
      </c>
      <c r="J12" s="316" t="s">
        <v>4866</v>
      </c>
      <c r="K12" s="319" t="s">
        <v>5089</v>
      </c>
      <c r="L12" s="386" t="s">
        <v>576</v>
      </c>
      <c r="M12" s="386" t="s">
        <v>5159</v>
      </c>
      <c r="N12" s="400" t="s">
        <v>5348</v>
      </c>
      <c r="O12" s="320">
        <v>51</v>
      </c>
    </row>
    <row r="13" spans="2:20" ht="69.900000000000006" customHeight="1" x14ac:dyDescent="0.25">
      <c r="B13" s="320">
        <v>3</v>
      </c>
      <c r="C13" s="320">
        <v>2</v>
      </c>
      <c r="D13" s="316" t="s">
        <v>5081</v>
      </c>
      <c r="E13" s="355" t="s">
        <v>5082</v>
      </c>
      <c r="F13" s="317">
        <v>233065910</v>
      </c>
      <c r="G13" s="368" t="s">
        <v>4852</v>
      </c>
      <c r="H13" s="350" t="s">
        <v>5083</v>
      </c>
      <c r="I13" s="316" t="s">
        <v>5082</v>
      </c>
      <c r="J13" s="316" t="s">
        <v>4852</v>
      </c>
      <c r="K13" s="319" t="s">
        <v>5084</v>
      </c>
      <c r="L13" s="386" t="s">
        <v>576</v>
      </c>
      <c r="M13" s="386" t="s">
        <v>5159</v>
      </c>
      <c r="N13" s="400" t="s">
        <v>5348</v>
      </c>
      <c r="O13" s="320">
        <v>51</v>
      </c>
    </row>
    <row r="14" spans="2:20" ht="69.900000000000006" customHeight="1" x14ac:dyDescent="0.25">
      <c r="B14" s="320">
        <v>4</v>
      </c>
      <c r="C14" s="320">
        <v>2</v>
      </c>
      <c r="D14" s="316" t="s">
        <v>5075</v>
      </c>
      <c r="E14" s="355" t="s">
        <v>5071</v>
      </c>
      <c r="F14" s="317">
        <v>3208063</v>
      </c>
      <c r="G14" s="368" t="s">
        <v>5039</v>
      </c>
      <c r="H14" s="350" t="s">
        <v>5076</v>
      </c>
      <c r="I14" s="316" t="s">
        <v>5073</v>
      </c>
      <c r="J14" s="316" t="s">
        <v>4852</v>
      </c>
      <c r="K14" s="319" t="s">
        <v>5077</v>
      </c>
      <c r="L14" s="386" t="s">
        <v>576</v>
      </c>
      <c r="M14" s="386" t="s">
        <v>5159</v>
      </c>
      <c r="N14" s="400" t="s">
        <v>5348</v>
      </c>
      <c r="O14" s="320">
        <v>51</v>
      </c>
    </row>
    <row r="15" spans="2:20" ht="69.900000000000006" customHeight="1" x14ac:dyDescent="0.25">
      <c r="B15" s="320">
        <v>5</v>
      </c>
      <c r="C15" s="320">
        <v>2</v>
      </c>
      <c r="D15" s="316" t="s">
        <v>5078</v>
      </c>
      <c r="E15" s="355" t="s">
        <v>5071</v>
      </c>
      <c r="F15" s="317">
        <v>31515000</v>
      </c>
      <c r="G15" s="368" t="s">
        <v>5023</v>
      </c>
      <c r="H15" s="350" t="s">
        <v>5079</v>
      </c>
      <c r="I15" s="316" t="s">
        <v>5073</v>
      </c>
      <c r="J15" s="316" t="s">
        <v>4852</v>
      </c>
      <c r="K15" s="319" t="s">
        <v>5080</v>
      </c>
      <c r="L15" s="386" t="s">
        <v>576</v>
      </c>
      <c r="M15" s="386" t="s">
        <v>5159</v>
      </c>
      <c r="N15" s="400" t="s">
        <v>5348</v>
      </c>
      <c r="O15" s="320">
        <v>51</v>
      </c>
    </row>
    <row r="16" spans="2:20" ht="69.900000000000006" customHeight="1" x14ac:dyDescent="0.25">
      <c r="B16" s="320">
        <v>6</v>
      </c>
      <c r="C16" s="320">
        <v>2</v>
      </c>
      <c r="D16" s="320" t="s">
        <v>4847</v>
      </c>
      <c r="E16" s="354" t="s">
        <v>4848</v>
      </c>
      <c r="F16" s="351">
        <v>63640000</v>
      </c>
      <c r="G16" s="363" t="s">
        <v>4849</v>
      </c>
      <c r="H16" s="321" t="s">
        <v>4850</v>
      </c>
      <c r="I16" s="320" t="s">
        <v>4851</v>
      </c>
      <c r="J16" s="320" t="s">
        <v>4852</v>
      </c>
      <c r="K16" s="322" t="s">
        <v>4853</v>
      </c>
      <c r="L16" s="386" t="s">
        <v>576</v>
      </c>
      <c r="M16" s="386" t="s">
        <v>5157</v>
      </c>
      <c r="N16" s="400" t="s">
        <v>5349</v>
      </c>
      <c r="O16" s="320">
        <v>52</v>
      </c>
    </row>
    <row r="17" spans="2:15" ht="69.900000000000006" customHeight="1" x14ac:dyDescent="0.25">
      <c r="B17" s="320">
        <v>7</v>
      </c>
      <c r="C17" s="320">
        <v>2</v>
      </c>
      <c r="D17" s="320" t="s">
        <v>4854</v>
      </c>
      <c r="E17" s="354" t="s">
        <v>4856</v>
      </c>
      <c r="F17" s="351">
        <v>9587800</v>
      </c>
      <c r="G17" s="364" t="s">
        <v>4852</v>
      </c>
      <c r="H17" s="320" t="s">
        <v>4857</v>
      </c>
      <c r="I17" s="320" t="s">
        <v>4855</v>
      </c>
      <c r="J17" s="320" t="s">
        <v>4852</v>
      </c>
      <c r="K17" s="322" t="s">
        <v>4858</v>
      </c>
      <c r="L17" s="386" t="s">
        <v>542</v>
      </c>
      <c r="M17" s="386" t="s">
        <v>5158</v>
      </c>
      <c r="N17" s="400"/>
      <c r="O17" s="320">
        <v>52</v>
      </c>
    </row>
    <row r="18" spans="2:15" ht="69.900000000000006" customHeight="1" x14ac:dyDescent="0.25">
      <c r="B18" s="320">
        <v>8</v>
      </c>
      <c r="C18" s="320">
        <v>2</v>
      </c>
      <c r="D18" s="320" t="s">
        <v>4859</v>
      </c>
      <c r="E18" s="354" t="s">
        <v>4856</v>
      </c>
      <c r="F18" s="351">
        <v>1010000</v>
      </c>
      <c r="G18" s="364" t="s">
        <v>4852</v>
      </c>
      <c r="H18" s="320" t="s">
        <v>4860</v>
      </c>
      <c r="I18" s="320" t="s">
        <v>4855</v>
      </c>
      <c r="J18" s="320" t="s">
        <v>4852</v>
      </c>
      <c r="K18" s="322" t="s">
        <v>4861</v>
      </c>
      <c r="L18" s="386" t="s">
        <v>542</v>
      </c>
      <c r="M18" s="386" t="s">
        <v>5158</v>
      </c>
      <c r="N18" s="400"/>
      <c r="O18" s="320">
        <v>52</v>
      </c>
    </row>
    <row r="19" spans="2:15" ht="69.900000000000006" customHeight="1" x14ac:dyDescent="0.25">
      <c r="B19" s="320">
        <v>9</v>
      </c>
      <c r="C19" s="320">
        <v>3</v>
      </c>
      <c r="D19" s="316" t="s">
        <v>5070</v>
      </c>
      <c r="E19" s="355" t="s">
        <v>4862</v>
      </c>
      <c r="F19" s="317">
        <v>211929456</v>
      </c>
      <c r="G19" s="368" t="s">
        <v>5007</v>
      </c>
      <c r="H19" s="350" t="s">
        <v>5072</v>
      </c>
      <c r="I19" s="316" t="s">
        <v>5073</v>
      </c>
      <c r="J19" s="316" t="s">
        <v>4866</v>
      </c>
      <c r="K19" s="319" t="s">
        <v>5074</v>
      </c>
      <c r="L19" s="386" t="s">
        <v>576</v>
      </c>
      <c r="M19" s="386" t="s">
        <v>5159</v>
      </c>
      <c r="N19" s="400" t="s">
        <v>5348</v>
      </c>
      <c r="O19" s="320">
        <v>51</v>
      </c>
    </row>
    <row r="20" spans="2:15" ht="69.900000000000006" customHeight="1" x14ac:dyDescent="0.25">
      <c r="B20" s="320">
        <v>10</v>
      </c>
      <c r="C20" s="320">
        <v>3</v>
      </c>
      <c r="D20" s="316" t="s">
        <v>5067</v>
      </c>
      <c r="E20" s="355" t="s">
        <v>4869</v>
      </c>
      <c r="F20" s="317">
        <v>8028903</v>
      </c>
      <c r="G20" s="368" t="s">
        <v>4852</v>
      </c>
      <c r="H20" s="350" t="s">
        <v>5068</v>
      </c>
      <c r="I20" s="316" t="s">
        <v>4872</v>
      </c>
      <c r="J20" s="316" t="s">
        <v>4852</v>
      </c>
      <c r="K20" s="319" t="s">
        <v>5069</v>
      </c>
      <c r="L20" s="386" t="s">
        <v>576</v>
      </c>
      <c r="M20" s="386" t="s">
        <v>5159</v>
      </c>
      <c r="N20" s="400" t="s">
        <v>5348</v>
      </c>
      <c r="O20" s="320">
        <v>51</v>
      </c>
    </row>
    <row r="21" spans="2:15" ht="69.900000000000006" customHeight="1" x14ac:dyDescent="0.25">
      <c r="B21" s="320">
        <v>11</v>
      </c>
      <c r="C21" s="320">
        <v>3</v>
      </c>
      <c r="D21" s="316" t="s">
        <v>5059</v>
      </c>
      <c r="E21" s="355" t="s">
        <v>5060</v>
      </c>
      <c r="F21" s="317">
        <v>237145862</v>
      </c>
      <c r="G21" s="368" t="s">
        <v>4852</v>
      </c>
      <c r="H21" s="350" t="s">
        <v>5061</v>
      </c>
      <c r="I21" s="316" t="s">
        <v>5062</v>
      </c>
      <c r="J21" s="316" t="s">
        <v>4852</v>
      </c>
      <c r="K21" s="319" t="s">
        <v>5063</v>
      </c>
      <c r="L21" s="386" t="s">
        <v>576</v>
      </c>
      <c r="M21" s="386" t="s">
        <v>5159</v>
      </c>
      <c r="N21" s="400" t="s">
        <v>5348</v>
      </c>
      <c r="O21" s="320">
        <v>51</v>
      </c>
    </row>
    <row r="22" spans="2:15" ht="69.900000000000006" customHeight="1" x14ac:dyDescent="0.25">
      <c r="B22" s="320">
        <v>12</v>
      </c>
      <c r="C22" s="320">
        <v>3</v>
      </c>
      <c r="D22" s="316" t="s">
        <v>5064</v>
      </c>
      <c r="E22" s="355" t="s">
        <v>5060</v>
      </c>
      <c r="F22" s="317">
        <v>24572000</v>
      </c>
      <c r="G22" s="368" t="s">
        <v>5023</v>
      </c>
      <c r="H22" s="350" t="s">
        <v>5065</v>
      </c>
      <c r="I22" s="316" t="s">
        <v>5062</v>
      </c>
      <c r="J22" s="316" t="s">
        <v>4852</v>
      </c>
      <c r="K22" s="319" t="s">
        <v>5066</v>
      </c>
      <c r="L22" s="386" t="s">
        <v>576</v>
      </c>
      <c r="M22" s="386" t="s">
        <v>5159</v>
      </c>
      <c r="N22" s="400" t="s">
        <v>5348</v>
      </c>
      <c r="O22" s="320">
        <v>51</v>
      </c>
    </row>
    <row r="23" spans="2:15" ht="69.900000000000006" customHeight="1" x14ac:dyDescent="0.25">
      <c r="B23" s="320">
        <v>13</v>
      </c>
      <c r="C23" s="320">
        <v>3</v>
      </c>
      <c r="D23" s="316" t="s">
        <v>5049</v>
      </c>
      <c r="E23" s="355" t="s">
        <v>4882</v>
      </c>
      <c r="F23" s="317">
        <v>7294465</v>
      </c>
      <c r="G23" s="368" t="s">
        <v>5039</v>
      </c>
      <c r="H23" s="350" t="s">
        <v>5050</v>
      </c>
      <c r="I23" s="316" t="s">
        <v>5044</v>
      </c>
      <c r="J23" s="316" t="s">
        <v>4852</v>
      </c>
      <c r="K23" s="319" t="s">
        <v>5051</v>
      </c>
      <c r="L23" s="386" t="s">
        <v>576</v>
      </c>
      <c r="M23" s="386" t="s">
        <v>5159</v>
      </c>
      <c r="N23" s="400" t="s">
        <v>5348</v>
      </c>
      <c r="O23" s="320">
        <v>51</v>
      </c>
    </row>
    <row r="24" spans="2:15" ht="69.900000000000006" customHeight="1" x14ac:dyDescent="0.25">
      <c r="B24" s="320">
        <v>14</v>
      </c>
      <c r="C24" s="320">
        <v>3</v>
      </c>
      <c r="D24" s="316" t="s">
        <v>5046</v>
      </c>
      <c r="E24" s="355" t="s">
        <v>4882</v>
      </c>
      <c r="F24" s="317">
        <v>257904</v>
      </c>
      <c r="G24" s="368" t="s">
        <v>5035</v>
      </c>
      <c r="H24" s="350" t="s">
        <v>5047</v>
      </c>
      <c r="I24" s="316" t="s">
        <v>5044</v>
      </c>
      <c r="J24" s="316" t="s">
        <v>4852</v>
      </c>
      <c r="K24" s="319" t="s">
        <v>5048</v>
      </c>
      <c r="L24" s="386" t="s">
        <v>576</v>
      </c>
      <c r="M24" s="386" t="s">
        <v>5159</v>
      </c>
      <c r="N24" s="400" t="s">
        <v>5348</v>
      </c>
      <c r="O24" s="320">
        <v>51</v>
      </c>
    </row>
    <row r="25" spans="2:15" ht="69.900000000000006" customHeight="1" x14ac:dyDescent="0.25">
      <c r="B25" s="320">
        <v>15</v>
      </c>
      <c r="C25" s="320">
        <v>3</v>
      </c>
      <c r="D25" s="316" t="s">
        <v>5052</v>
      </c>
      <c r="E25" s="355" t="s">
        <v>4882</v>
      </c>
      <c r="F25" s="317">
        <v>595396</v>
      </c>
      <c r="G25" s="368" t="s">
        <v>5035</v>
      </c>
      <c r="H25" s="350" t="s">
        <v>5053</v>
      </c>
      <c r="I25" s="316" t="s">
        <v>5044</v>
      </c>
      <c r="J25" s="316" t="s">
        <v>4852</v>
      </c>
      <c r="K25" s="319" t="s">
        <v>5054</v>
      </c>
      <c r="L25" s="386" t="s">
        <v>576</v>
      </c>
      <c r="M25" s="386" t="s">
        <v>5159</v>
      </c>
      <c r="N25" s="400" t="s">
        <v>5348</v>
      </c>
      <c r="O25" s="320">
        <v>51</v>
      </c>
    </row>
    <row r="26" spans="2:15" ht="69.900000000000006" customHeight="1" x14ac:dyDescent="0.25">
      <c r="B26" s="320">
        <v>16</v>
      </c>
      <c r="C26" s="320">
        <v>3</v>
      </c>
      <c r="D26" s="316" t="s">
        <v>5042</v>
      </c>
      <c r="E26" s="355" t="s">
        <v>4882</v>
      </c>
      <c r="F26" s="317">
        <v>3422128</v>
      </c>
      <c r="G26" s="368" t="s">
        <v>5035</v>
      </c>
      <c r="H26" s="350" t="s">
        <v>5043</v>
      </c>
      <c r="I26" s="316" t="s">
        <v>5044</v>
      </c>
      <c r="J26" s="316" t="s">
        <v>4852</v>
      </c>
      <c r="K26" s="319" t="s">
        <v>5045</v>
      </c>
      <c r="L26" s="386" t="s">
        <v>576</v>
      </c>
      <c r="M26" s="386" t="s">
        <v>5159</v>
      </c>
      <c r="N26" s="400" t="s">
        <v>5348</v>
      </c>
      <c r="O26" s="320">
        <v>51</v>
      </c>
    </row>
    <row r="27" spans="2:15" ht="69.900000000000006" customHeight="1" x14ac:dyDescent="0.25">
      <c r="B27" s="320">
        <v>17</v>
      </c>
      <c r="C27" s="320">
        <v>3</v>
      </c>
      <c r="D27" s="349" t="s">
        <v>4981</v>
      </c>
      <c r="E27" s="354" t="s">
        <v>4862</v>
      </c>
      <c r="F27" s="351">
        <v>63640000</v>
      </c>
      <c r="G27" s="363" t="s">
        <v>4863</v>
      </c>
      <c r="H27" s="321" t="s">
        <v>4864</v>
      </c>
      <c r="I27" s="320" t="s">
        <v>4865</v>
      </c>
      <c r="J27" s="320" t="s">
        <v>4866</v>
      </c>
      <c r="K27" s="322" t="s">
        <v>4867</v>
      </c>
      <c r="L27" s="386" t="s">
        <v>576</v>
      </c>
      <c r="M27" s="386" t="s">
        <v>5157</v>
      </c>
      <c r="N27" s="400" t="s">
        <v>5349</v>
      </c>
      <c r="O27" s="320">
        <v>52</v>
      </c>
    </row>
    <row r="28" spans="2:15" ht="69.900000000000006" customHeight="1" x14ac:dyDescent="0.25">
      <c r="B28" s="320">
        <v>18</v>
      </c>
      <c r="C28" s="320">
        <v>3</v>
      </c>
      <c r="D28" s="320" t="s">
        <v>4868</v>
      </c>
      <c r="E28" s="354" t="s">
        <v>4870</v>
      </c>
      <c r="F28" s="351">
        <v>99961115</v>
      </c>
      <c r="G28" s="365" t="s">
        <v>4641</v>
      </c>
      <c r="H28" s="320" t="s">
        <v>4871</v>
      </c>
      <c r="I28" s="320" t="s">
        <v>4872</v>
      </c>
      <c r="J28" s="320" t="s">
        <v>4852</v>
      </c>
      <c r="K28" s="322" t="s">
        <v>4873</v>
      </c>
      <c r="L28" s="386"/>
      <c r="M28" s="386"/>
      <c r="N28" s="400"/>
      <c r="O28" s="320">
        <v>52</v>
      </c>
    </row>
    <row r="29" spans="2:15" ht="69.900000000000006" customHeight="1" x14ac:dyDescent="0.25">
      <c r="B29" s="320">
        <v>19</v>
      </c>
      <c r="C29" s="320">
        <v>3</v>
      </c>
      <c r="D29" s="320" t="s">
        <v>4874</v>
      </c>
      <c r="E29" s="354" t="s">
        <v>4875</v>
      </c>
      <c r="F29" s="351">
        <v>21912994</v>
      </c>
      <c r="G29" s="366" t="s">
        <v>4876</v>
      </c>
      <c r="H29" s="320" t="s">
        <v>4877</v>
      </c>
      <c r="I29" s="320" t="s">
        <v>4878</v>
      </c>
      <c r="J29" s="320" t="s">
        <v>4879</v>
      </c>
      <c r="K29" s="322" t="s">
        <v>4880</v>
      </c>
      <c r="L29" s="386"/>
      <c r="M29" s="386"/>
      <c r="N29" s="400"/>
      <c r="O29" s="320">
        <v>52</v>
      </c>
    </row>
    <row r="30" spans="2:15" ht="69.900000000000006" customHeight="1" x14ac:dyDescent="0.25">
      <c r="B30" s="320">
        <v>20</v>
      </c>
      <c r="C30" s="320">
        <v>3</v>
      </c>
      <c r="D30" s="320" t="s">
        <v>4881</v>
      </c>
      <c r="E30" s="354" t="s">
        <v>4882</v>
      </c>
      <c r="F30" s="351">
        <v>31765000</v>
      </c>
      <c r="G30" s="366" t="s">
        <v>4876</v>
      </c>
      <c r="H30" s="320" t="s">
        <v>4883</v>
      </c>
      <c r="I30" s="320" t="s">
        <v>4878</v>
      </c>
      <c r="J30" s="320" t="s">
        <v>4879</v>
      </c>
      <c r="K30" s="322" t="s">
        <v>4880</v>
      </c>
      <c r="L30" s="386"/>
      <c r="M30" s="386"/>
      <c r="N30" s="400"/>
      <c r="O30" s="320">
        <v>52</v>
      </c>
    </row>
    <row r="31" spans="2:15" ht="69.900000000000006" customHeight="1" x14ac:dyDescent="0.25">
      <c r="B31" s="320">
        <v>21</v>
      </c>
      <c r="C31" s="320">
        <v>3</v>
      </c>
      <c r="D31" s="320" t="s">
        <v>4884</v>
      </c>
      <c r="E31" s="354" t="s">
        <v>4875</v>
      </c>
      <c r="F31" s="351">
        <v>2949500</v>
      </c>
      <c r="G31" s="366" t="s">
        <v>4876</v>
      </c>
      <c r="H31" s="320" t="s">
        <v>4885</v>
      </c>
      <c r="I31" s="320" t="s">
        <v>4878</v>
      </c>
      <c r="J31" s="320" t="s">
        <v>4879</v>
      </c>
      <c r="K31" s="322" t="s">
        <v>4880</v>
      </c>
      <c r="L31" s="386"/>
      <c r="M31" s="386"/>
      <c r="N31" s="400"/>
      <c r="O31" s="320">
        <v>52</v>
      </c>
    </row>
    <row r="32" spans="2:15" ht="69.900000000000006" customHeight="1" x14ac:dyDescent="0.25">
      <c r="B32" s="320">
        <v>22</v>
      </c>
      <c r="C32" s="320">
        <v>3</v>
      </c>
      <c r="D32" s="320" t="s">
        <v>4886</v>
      </c>
      <c r="E32" s="354" t="s">
        <v>4875</v>
      </c>
      <c r="F32" s="351">
        <v>58197700</v>
      </c>
      <c r="G32" s="366" t="s">
        <v>4876</v>
      </c>
      <c r="H32" s="320" t="s">
        <v>4887</v>
      </c>
      <c r="I32" s="320" t="s">
        <v>4878</v>
      </c>
      <c r="J32" s="320" t="s">
        <v>4879</v>
      </c>
      <c r="K32" s="322" t="s">
        <v>4880</v>
      </c>
      <c r="L32" s="386"/>
      <c r="M32" s="386"/>
      <c r="N32" s="400"/>
      <c r="O32" s="320">
        <v>52</v>
      </c>
    </row>
    <row r="33" spans="2:15" ht="69.900000000000006" customHeight="1" x14ac:dyDescent="0.25">
      <c r="B33" s="320">
        <v>23</v>
      </c>
      <c r="C33" s="320">
        <v>3</v>
      </c>
      <c r="D33" s="320" t="s">
        <v>4888</v>
      </c>
      <c r="E33" s="354" t="s">
        <v>4875</v>
      </c>
      <c r="F33" s="351">
        <v>42927193</v>
      </c>
      <c r="G33" s="366" t="s">
        <v>4876</v>
      </c>
      <c r="H33" s="320" t="s">
        <v>4889</v>
      </c>
      <c r="I33" s="320" t="s">
        <v>4878</v>
      </c>
      <c r="J33" s="320" t="s">
        <v>4879</v>
      </c>
      <c r="K33" s="322" t="s">
        <v>4880</v>
      </c>
      <c r="L33" s="386"/>
      <c r="M33" s="386"/>
      <c r="N33" s="400"/>
      <c r="O33" s="320">
        <v>52</v>
      </c>
    </row>
    <row r="34" spans="2:15" ht="69.900000000000006" customHeight="1" x14ac:dyDescent="0.25">
      <c r="B34" s="320">
        <v>24</v>
      </c>
      <c r="C34" s="320">
        <v>3</v>
      </c>
      <c r="D34" s="320" t="s">
        <v>4890</v>
      </c>
      <c r="E34" s="354" t="s">
        <v>4875</v>
      </c>
      <c r="F34" s="351">
        <v>3436750</v>
      </c>
      <c r="G34" s="366" t="s">
        <v>4876</v>
      </c>
      <c r="H34" s="320" t="s">
        <v>4891</v>
      </c>
      <c r="I34" s="320" t="s">
        <v>4878</v>
      </c>
      <c r="J34" s="320" t="s">
        <v>4879</v>
      </c>
      <c r="K34" s="322" t="s">
        <v>4880</v>
      </c>
      <c r="L34" s="386"/>
      <c r="M34" s="386"/>
      <c r="N34" s="400"/>
      <c r="O34" s="320">
        <v>52</v>
      </c>
    </row>
    <row r="35" spans="2:15" ht="69.900000000000006" customHeight="1" x14ac:dyDescent="0.25">
      <c r="B35" s="320">
        <v>25</v>
      </c>
      <c r="C35" s="320">
        <v>3</v>
      </c>
      <c r="D35" s="320" t="s">
        <v>4892</v>
      </c>
      <c r="E35" s="354" t="s">
        <v>4875</v>
      </c>
      <c r="F35" s="351">
        <v>50674500</v>
      </c>
      <c r="G35" s="366" t="s">
        <v>4876</v>
      </c>
      <c r="H35" s="320" t="s">
        <v>4893</v>
      </c>
      <c r="I35" s="320" t="s">
        <v>4878</v>
      </c>
      <c r="J35" s="320" t="s">
        <v>4879</v>
      </c>
      <c r="K35" s="322" t="s">
        <v>4880</v>
      </c>
      <c r="L35" s="386"/>
      <c r="M35" s="386"/>
      <c r="N35" s="400"/>
      <c r="O35" s="320">
        <v>52</v>
      </c>
    </row>
    <row r="36" spans="2:15" ht="69.900000000000006" customHeight="1" x14ac:dyDescent="0.25">
      <c r="B36" s="320">
        <v>26</v>
      </c>
      <c r="C36" s="320">
        <v>3</v>
      </c>
      <c r="D36" s="320" t="s">
        <v>4894</v>
      </c>
      <c r="E36" s="354" t="s">
        <v>4875</v>
      </c>
      <c r="F36" s="351">
        <v>198636550</v>
      </c>
      <c r="G36" s="366" t="s">
        <v>4876</v>
      </c>
      <c r="H36" s="320" t="s">
        <v>4895</v>
      </c>
      <c r="I36" s="320" t="s">
        <v>4878</v>
      </c>
      <c r="J36" s="320" t="s">
        <v>4879</v>
      </c>
      <c r="K36" s="322" t="s">
        <v>4880</v>
      </c>
      <c r="L36" s="386"/>
      <c r="M36" s="386"/>
      <c r="N36" s="400"/>
      <c r="O36" s="320">
        <v>52</v>
      </c>
    </row>
    <row r="37" spans="2:15" ht="69.900000000000006" customHeight="1" x14ac:dyDescent="0.25">
      <c r="B37" s="320">
        <v>27</v>
      </c>
      <c r="C37" s="320">
        <v>3</v>
      </c>
      <c r="D37" s="320" t="s">
        <v>4900</v>
      </c>
      <c r="E37" s="354" t="s">
        <v>4901</v>
      </c>
      <c r="F37" s="351">
        <v>1743940</v>
      </c>
      <c r="G37" s="365" t="s">
        <v>4641</v>
      </c>
      <c r="H37" s="320" t="s">
        <v>4902</v>
      </c>
      <c r="I37" s="320" t="s">
        <v>4903</v>
      </c>
      <c r="J37" s="320" t="s">
        <v>4852</v>
      </c>
      <c r="K37" s="322" t="s">
        <v>4904</v>
      </c>
      <c r="L37" s="386"/>
      <c r="M37" s="386"/>
      <c r="N37" s="400"/>
      <c r="O37" s="320">
        <v>52</v>
      </c>
    </row>
    <row r="38" spans="2:15" ht="69.900000000000006" customHeight="1" x14ac:dyDescent="0.25">
      <c r="B38" s="320">
        <v>28</v>
      </c>
      <c r="C38" s="320">
        <v>3</v>
      </c>
      <c r="D38" s="320" t="s">
        <v>4905</v>
      </c>
      <c r="E38" s="354" t="s">
        <v>4901</v>
      </c>
      <c r="F38" s="351">
        <v>21906300</v>
      </c>
      <c r="G38" s="365" t="s">
        <v>4641</v>
      </c>
      <c r="H38" s="320" t="s">
        <v>4906</v>
      </c>
      <c r="I38" s="320" t="s">
        <v>4903</v>
      </c>
      <c r="J38" s="320" t="s">
        <v>4852</v>
      </c>
      <c r="K38" s="322" t="s">
        <v>4904</v>
      </c>
      <c r="L38" s="386"/>
      <c r="M38" s="386"/>
      <c r="N38" s="400"/>
      <c r="O38" s="320">
        <v>52</v>
      </c>
    </row>
    <row r="39" spans="2:15" ht="69.900000000000006" customHeight="1" x14ac:dyDescent="0.25">
      <c r="B39" s="320">
        <v>29</v>
      </c>
      <c r="C39" s="320">
        <v>3</v>
      </c>
      <c r="D39" s="320" t="s">
        <v>4907</v>
      </c>
      <c r="E39" s="354" t="s">
        <v>4901</v>
      </c>
      <c r="F39" s="351">
        <v>12373213</v>
      </c>
      <c r="G39" s="365" t="s">
        <v>4641</v>
      </c>
      <c r="H39" s="320" t="s">
        <v>4908</v>
      </c>
      <c r="I39" s="320" t="s">
        <v>4903</v>
      </c>
      <c r="J39" s="320" t="s">
        <v>4852</v>
      </c>
      <c r="K39" s="322" t="s">
        <v>4904</v>
      </c>
      <c r="L39" s="386"/>
      <c r="M39" s="386"/>
      <c r="N39" s="400"/>
      <c r="O39" s="320">
        <v>52</v>
      </c>
    </row>
    <row r="40" spans="2:15" ht="69.900000000000006" customHeight="1" x14ac:dyDescent="0.25">
      <c r="B40" s="320">
        <v>30</v>
      </c>
      <c r="C40" s="320">
        <v>3</v>
      </c>
      <c r="D40" s="320" t="s">
        <v>4909</v>
      </c>
      <c r="E40" s="354" t="s">
        <v>4901</v>
      </c>
      <c r="F40" s="351">
        <v>8896000</v>
      </c>
      <c r="G40" s="365" t="s">
        <v>4641</v>
      </c>
      <c r="H40" s="320" t="s">
        <v>4910</v>
      </c>
      <c r="I40" s="320" t="s">
        <v>4903</v>
      </c>
      <c r="J40" s="320" t="s">
        <v>4852</v>
      </c>
      <c r="K40" s="322" t="s">
        <v>4904</v>
      </c>
      <c r="L40" s="386"/>
      <c r="M40" s="386"/>
      <c r="N40" s="400"/>
      <c r="O40" s="320">
        <v>52</v>
      </c>
    </row>
    <row r="41" spans="2:15" ht="69.900000000000006" customHeight="1" x14ac:dyDescent="0.25">
      <c r="B41" s="320">
        <v>31</v>
      </c>
      <c r="C41" s="320">
        <v>3</v>
      </c>
      <c r="D41" s="320" t="s">
        <v>4911</v>
      </c>
      <c r="E41" s="354" t="s">
        <v>4901</v>
      </c>
      <c r="F41" s="351">
        <v>12075000</v>
      </c>
      <c r="G41" s="365" t="s">
        <v>4641</v>
      </c>
      <c r="H41" s="320" t="s">
        <v>4912</v>
      </c>
      <c r="I41" s="320" t="s">
        <v>4903</v>
      </c>
      <c r="J41" s="320" t="s">
        <v>4852</v>
      </c>
      <c r="K41" s="322" t="s">
        <v>4904</v>
      </c>
      <c r="L41" s="386"/>
      <c r="M41" s="386"/>
      <c r="N41" s="400"/>
      <c r="O41" s="320">
        <v>52</v>
      </c>
    </row>
    <row r="42" spans="2:15" ht="69.900000000000006" customHeight="1" x14ac:dyDescent="0.25">
      <c r="B42" s="320">
        <v>32</v>
      </c>
      <c r="C42" s="320">
        <v>3</v>
      </c>
      <c r="D42" s="320" t="s">
        <v>4913</v>
      </c>
      <c r="E42" s="354" t="s">
        <v>4901</v>
      </c>
      <c r="F42" s="351">
        <v>1890000</v>
      </c>
      <c r="G42" s="365" t="s">
        <v>4641</v>
      </c>
      <c r="H42" s="320" t="s">
        <v>4914</v>
      </c>
      <c r="I42" s="320" t="s">
        <v>4903</v>
      </c>
      <c r="J42" s="320" t="s">
        <v>4852</v>
      </c>
      <c r="K42" s="322" t="s">
        <v>4904</v>
      </c>
      <c r="L42" s="386"/>
      <c r="M42" s="386"/>
      <c r="N42" s="400"/>
      <c r="O42" s="320">
        <v>52</v>
      </c>
    </row>
    <row r="43" spans="2:15" ht="69.900000000000006" customHeight="1" x14ac:dyDescent="0.25">
      <c r="B43" s="320">
        <v>33</v>
      </c>
      <c r="C43" s="320">
        <v>3</v>
      </c>
      <c r="D43" s="320" t="s">
        <v>4915</v>
      </c>
      <c r="E43" s="354" t="s">
        <v>4901</v>
      </c>
      <c r="F43" s="351">
        <v>18269500</v>
      </c>
      <c r="G43" s="365" t="s">
        <v>4641</v>
      </c>
      <c r="H43" s="320" t="s">
        <v>4916</v>
      </c>
      <c r="I43" s="320" t="s">
        <v>4903</v>
      </c>
      <c r="J43" s="320" t="s">
        <v>4852</v>
      </c>
      <c r="K43" s="322" t="s">
        <v>4904</v>
      </c>
      <c r="L43" s="386"/>
      <c r="M43" s="386"/>
      <c r="N43" s="400"/>
      <c r="O43" s="320">
        <v>52</v>
      </c>
    </row>
    <row r="44" spans="2:15" ht="69.900000000000006" customHeight="1" x14ac:dyDescent="0.25">
      <c r="B44" s="320">
        <v>34</v>
      </c>
      <c r="C44" s="320">
        <v>3</v>
      </c>
      <c r="D44" s="320" t="s">
        <v>4917</v>
      </c>
      <c r="E44" s="354" t="s">
        <v>4901</v>
      </c>
      <c r="F44" s="351">
        <v>21022422</v>
      </c>
      <c r="G44" s="365" t="s">
        <v>4641</v>
      </c>
      <c r="H44" s="320" t="s">
        <v>4918</v>
      </c>
      <c r="I44" s="320" t="s">
        <v>4903</v>
      </c>
      <c r="J44" s="320" t="s">
        <v>4852</v>
      </c>
      <c r="K44" s="322" t="s">
        <v>4904</v>
      </c>
      <c r="L44" s="386"/>
      <c r="M44" s="386"/>
      <c r="N44" s="400"/>
      <c r="O44" s="320">
        <v>52</v>
      </c>
    </row>
    <row r="45" spans="2:15" ht="69.900000000000006" customHeight="1" x14ac:dyDescent="0.25">
      <c r="B45" s="320">
        <v>44</v>
      </c>
      <c r="C45" s="320">
        <v>4</v>
      </c>
      <c r="D45" s="320" t="s">
        <v>4922</v>
      </c>
      <c r="E45" s="354" t="s">
        <v>4923</v>
      </c>
      <c r="F45" s="351">
        <v>830060208</v>
      </c>
      <c r="G45" s="367" t="s">
        <v>4852</v>
      </c>
      <c r="H45" s="321" t="s">
        <v>4924</v>
      </c>
      <c r="I45" s="320" t="s">
        <v>4925</v>
      </c>
      <c r="J45" s="320" t="s">
        <v>4852</v>
      </c>
      <c r="K45" s="322" t="s">
        <v>4926</v>
      </c>
      <c r="L45" s="386" t="s">
        <v>542</v>
      </c>
      <c r="M45" s="386" t="s">
        <v>5158</v>
      </c>
      <c r="N45" s="400" t="s">
        <v>5347</v>
      </c>
      <c r="O45" s="320">
        <v>52</v>
      </c>
    </row>
    <row r="46" spans="2:15" ht="69.900000000000006" customHeight="1" x14ac:dyDescent="0.25">
      <c r="B46" s="320">
        <v>45</v>
      </c>
      <c r="C46" s="320">
        <v>4</v>
      </c>
      <c r="D46" s="320" t="s">
        <v>4927</v>
      </c>
      <c r="E46" s="354" t="s">
        <v>4928</v>
      </c>
      <c r="F46" s="351">
        <v>5925000</v>
      </c>
      <c r="G46" s="367" t="s">
        <v>4852</v>
      </c>
      <c r="H46" s="321" t="s">
        <v>4929</v>
      </c>
      <c r="I46" s="320" t="s">
        <v>4923</v>
      </c>
      <c r="J46" s="320" t="s">
        <v>4852</v>
      </c>
      <c r="K46" s="322" t="s">
        <v>4930</v>
      </c>
      <c r="L46" s="386" t="s">
        <v>542</v>
      </c>
      <c r="M46" s="386" t="s">
        <v>5158</v>
      </c>
      <c r="N46" s="400" t="s">
        <v>5347</v>
      </c>
      <c r="O46" s="320">
        <v>52</v>
      </c>
    </row>
    <row r="47" spans="2:15" ht="69.900000000000006" customHeight="1" x14ac:dyDescent="0.25">
      <c r="B47" s="320">
        <v>46</v>
      </c>
      <c r="C47" s="320">
        <v>4</v>
      </c>
      <c r="D47" s="320" t="s">
        <v>4931</v>
      </c>
      <c r="E47" s="354" t="s">
        <v>4928</v>
      </c>
      <c r="F47" s="351">
        <v>5925000</v>
      </c>
      <c r="G47" s="367" t="s">
        <v>4852</v>
      </c>
      <c r="H47" s="321" t="s">
        <v>4932</v>
      </c>
      <c r="I47" s="320" t="s">
        <v>4923</v>
      </c>
      <c r="J47" s="320" t="s">
        <v>4852</v>
      </c>
      <c r="K47" s="322" t="s">
        <v>4933</v>
      </c>
      <c r="L47" s="386" t="s">
        <v>542</v>
      </c>
      <c r="M47" s="386" t="s">
        <v>5158</v>
      </c>
      <c r="N47" s="400" t="s">
        <v>5347</v>
      </c>
      <c r="O47" s="320">
        <v>52</v>
      </c>
    </row>
    <row r="48" spans="2:15" ht="69.900000000000006" customHeight="1" x14ac:dyDescent="0.25">
      <c r="B48" s="320">
        <v>47</v>
      </c>
      <c r="C48" s="320">
        <v>4</v>
      </c>
      <c r="D48" s="316" t="s">
        <v>4952</v>
      </c>
      <c r="E48" s="355" t="s">
        <v>4951</v>
      </c>
      <c r="F48" s="317">
        <v>577980144</v>
      </c>
      <c r="G48" s="367" t="s">
        <v>4852</v>
      </c>
      <c r="H48" s="316" t="s">
        <v>4961</v>
      </c>
      <c r="I48" s="316" t="s">
        <v>4950</v>
      </c>
      <c r="J48" s="316" t="s">
        <v>4852</v>
      </c>
      <c r="K48" s="319" t="s">
        <v>4962</v>
      </c>
      <c r="L48" s="386" t="s">
        <v>542</v>
      </c>
      <c r="M48" s="386" t="s">
        <v>5158</v>
      </c>
      <c r="N48" s="400" t="s">
        <v>5347</v>
      </c>
      <c r="O48" s="320">
        <v>52</v>
      </c>
    </row>
    <row r="49" spans="2:15" ht="69.900000000000006" customHeight="1" x14ac:dyDescent="0.25">
      <c r="B49" s="320">
        <v>48</v>
      </c>
      <c r="C49" s="320">
        <v>4</v>
      </c>
      <c r="D49" s="350" t="s">
        <v>4982</v>
      </c>
      <c r="E49" s="356" t="s">
        <v>4983</v>
      </c>
      <c r="F49" s="351">
        <v>11850000</v>
      </c>
      <c r="G49" s="367" t="s">
        <v>4852</v>
      </c>
      <c r="H49" s="350" t="s">
        <v>4984</v>
      </c>
      <c r="I49" s="350" t="s">
        <v>4985</v>
      </c>
      <c r="J49" s="350" t="s">
        <v>4852</v>
      </c>
      <c r="K49" s="352" t="s">
        <v>4986</v>
      </c>
      <c r="L49" s="386" t="s">
        <v>542</v>
      </c>
      <c r="M49" s="386" t="s">
        <v>5158</v>
      </c>
      <c r="N49" s="400" t="s">
        <v>5347</v>
      </c>
      <c r="O49" s="320">
        <v>52</v>
      </c>
    </row>
    <row r="50" spans="2:15" ht="69.900000000000006" customHeight="1" x14ac:dyDescent="0.25">
      <c r="B50" s="320">
        <v>49</v>
      </c>
      <c r="C50" s="320">
        <v>4</v>
      </c>
      <c r="D50" s="350" t="s">
        <v>4993</v>
      </c>
      <c r="E50" s="356" t="s">
        <v>4983</v>
      </c>
      <c r="F50" s="351">
        <v>11850000</v>
      </c>
      <c r="G50" s="367" t="s">
        <v>4852</v>
      </c>
      <c r="H50" s="350" t="s">
        <v>4994</v>
      </c>
      <c r="I50" s="350" t="s">
        <v>4985</v>
      </c>
      <c r="J50" s="350" t="s">
        <v>4852</v>
      </c>
      <c r="K50" s="352" t="s">
        <v>4995</v>
      </c>
      <c r="L50" s="386" t="s">
        <v>542</v>
      </c>
      <c r="M50" s="386" t="s">
        <v>5158</v>
      </c>
      <c r="N50" s="400" t="s">
        <v>5347</v>
      </c>
      <c r="O50" s="320">
        <v>52</v>
      </c>
    </row>
    <row r="51" spans="2:15" ht="69.900000000000006" customHeight="1" x14ac:dyDescent="0.25">
      <c r="B51" s="320">
        <v>50</v>
      </c>
      <c r="C51" s="320">
        <v>4</v>
      </c>
      <c r="D51" s="316" t="s">
        <v>5108</v>
      </c>
      <c r="E51" s="355" t="s">
        <v>5095</v>
      </c>
      <c r="F51" s="317">
        <v>5925000</v>
      </c>
      <c r="G51" s="367" t="s">
        <v>4852</v>
      </c>
      <c r="H51" s="316" t="s">
        <v>5109</v>
      </c>
      <c r="I51" s="316" t="s">
        <v>5097</v>
      </c>
      <c r="J51" s="316" t="s">
        <v>4852</v>
      </c>
      <c r="K51" s="319" t="s">
        <v>5110</v>
      </c>
      <c r="L51" s="386" t="s">
        <v>542</v>
      </c>
      <c r="M51" s="386" t="s">
        <v>5158</v>
      </c>
      <c r="N51" s="400" t="s">
        <v>5347</v>
      </c>
      <c r="O51" s="320">
        <v>52</v>
      </c>
    </row>
    <row r="52" spans="2:15" ht="69.900000000000006" customHeight="1" x14ac:dyDescent="0.25">
      <c r="B52" s="320">
        <v>51</v>
      </c>
      <c r="C52" s="320">
        <v>4</v>
      </c>
      <c r="D52" s="350" t="s">
        <v>4990</v>
      </c>
      <c r="E52" s="356" t="s">
        <v>4983</v>
      </c>
      <c r="F52" s="351">
        <v>17775000</v>
      </c>
      <c r="G52" s="367" t="s">
        <v>4852</v>
      </c>
      <c r="H52" s="350" t="s">
        <v>4991</v>
      </c>
      <c r="I52" s="350" t="s">
        <v>4985</v>
      </c>
      <c r="J52" s="350" t="s">
        <v>4852</v>
      </c>
      <c r="K52" s="352" t="s">
        <v>4992</v>
      </c>
      <c r="L52" s="386" t="s">
        <v>542</v>
      </c>
      <c r="M52" s="386" t="s">
        <v>5158</v>
      </c>
      <c r="N52" s="400" t="s">
        <v>5347</v>
      </c>
      <c r="O52" s="320">
        <v>52</v>
      </c>
    </row>
    <row r="53" spans="2:15" ht="69.900000000000006" customHeight="1" x14ac:dyDescent="0.25">
      <c r="B53" s="320">
        <v>52</v>
      </c>
      <c r="C53" s="320">
        <v>4</v>
      </c>
      <c r="D53" s="350" t="s">
        <v>4987</v>
      </c>
      <c r="E53" s="356" t="s">
        <v>4983</v>
      </c>
      <c r="F53" s="351">
        <v>11850000</v>
      </c>
      <c r="G53" s="367" t="s">
        <v>4852</v>
      </c>
      <c r="H53" s="350" t="s">
        <v>4988</v>
      </c>
      <c r="I53" s="350" t="s">
        <v>4985</v>
      </c>
      <c r="J53" s="350" t="s">
        <v>4852</v>
      </c>
      <c r="K53" s="352" t="s">
        <v>4989</v>
      </c>
      <c r="L53" s="386" t="s">
        <v>542</v>
      </c>
      <c r="M53" s="386" t="s">
        <v>5158</v>
      </c>
      <c r="N53" s="400" t="s">
        <v>5347</v>
      </c>
      <c r="O53" s="320">
        <v>52</v>
      </c>
    </row>
    <row r="54" spans="2:15" ht="69.900000000000006" customHeight="1" x14ac:dyDescent="0.25">
      <c r="B54" s="320">
        <v>53</v>
      </c>
      <c r="C54" s="320">
        <v>4</v>
      </c>
      <c r="D54" s="350" t="s">
        <v>4996</v>
      </c>
      <c r="E54" s="356" t="s">
        <v>4983</v>
      </c>
      <c r="F54" s="351">
        <v>58805004</v>
      </c>
      <c r="G54" s="367" t="s">
        <v>4852</v>
      </c>
      <c r="H54" s="350" t="s">
        <v>4997</v>
      </c>
      <c r="I54" s="350" t="s">
        <v>4985</v>
      </c>
      <c r="J54" s="350" t="s">
        <v>4852</v>
      </c>
      <c r="K54" s="352" t="s">
        <v>4998</v>
      </c>
      <c r="L54" s="386" t="s">
        <v>542</v>
      </c>
      <c r="M54" s="386" t="s">
        <v>5158</v>
      </c>
      <c r="N54" s="400" t="s">
        <v>5347</v>
      </c>
      <c r="O54" s="320">
        <v>52</v>
      </c>
    </row>
    <row r="55" spans="2:15" ht="69.900000000000006" customHeight="1" x14ac:dyDescent="0.25">
      <c r="B55" s="320">
        <v>54</v>
      </c>
      <c r="C55" s="320">
        <v>4</v>
      </c>
      <c r="D55" s="316" t="s">
        <v>5111</v>
      </c>
      <c r="E55" s="355" t="s">
        <v>5095</v>
      </c>
      <c r="F55" s="317">
        <v>11850000</v>
      </c>
      <c r="G55" s="367" t="s">
        <v>4852</v>
      </c>
      <c r="H55" s="316" t="s">
        <v>5112</v>
      </c>
      <c r="I55" s="316" t="s">
        <v>5097</v>
      </c>
      <c r="J55" s="316" t="s">
        <v>4852</v>
      </c>
      <c r="K55" s="319" t="s">
        <v>5113</v>
      </c>
      <c r="L55" s="386" t="s">
        <v>542</v>
      </c>
      <c r="M55" s="386" t="s">
        <v>5158</v>
      </c>
      <c r="N55" s="400" t="s">
        <v>5347</v>
      </c>
      <c r="O55" s="320">
        <v>52</v>
      </c>
    </row>
    <row r="56" spans="2:15" ht="69.900000000000006" customHeight="1" x14ac:dyDescent="0.25">
      <c r="B56" s="320">
        <v>35</v>
      </c>
      <c r="C56" s="320">
        <v>4</v>
      </c>
      <c r="D56" s="316" t="s">
        <v>5055</v>
      </c>
      <c r="E56" s="355" t="s">
        <v>5056</v>
      </c>
      <c r="F56" s="317">
        <v>206653906</v>
      </c>
      <c r="G56" s="368" t="s">
        <v>5007</v>
      </c>
      <c r="H56" s="350" t="s">
        <v>5057</v>
      </c>
      <c r="I56" s="316" t="s">
        <v>4878</v>
      </c>
      <c r="J56" s="316" t="s">
        <v>4866</v>
      </c>
      <c r="K56" s="319" t="s">
        <v>5058</v>
      </c>
      <c r="L56" s="386" t="s">
        <v>576</v>
      </c>
      <c r="M56" s="386" t="s">
        <v>5159</v>
      </c>
      <c r="N56" s="400" t="s">
        <v>5348</v>
      </c>
      <c r="O56" s="320">
        <v>51</v>
      </c>
    </row>
    <row r="57" spans="2:15" ht="69.900000000000006" customHeight="1" x14ac:dyDescent="0.25">
      <c r="B57" s="320">
        <v>36</v>
      </c>
      <c r="C57" s="320">
        <v>4</v>
      </c>
      <c r="D57" s="316" t="s">
        <v>5033</v>
      </c>
      <c r="E57" s="355" t="s">
        <v>5034</v>
      </c>
      <c r="F57" s="317">
        <v>633328</v>
      </c>
      <c r="G57" s="368" t="s">
        <v>5035</v>
      </c>
      <c r="H57" s="350" t="s">
        <v>5036</v>
      </c>
      <c r="I57" s="316" t="s">
        <v>5034</v>
      </c>
      <c r="J57" s="316" t="s">
        <v>4852</v>
      </c>
      <c r="K57" s="319" t="s">
        <v>5037</v>
      </c>
      <c r="L57" s="386" t="s">
        <v>576</v>
      </c>
      <c r="M57" s="386" t="s">
        <v>5159</v>
      </c>
      <c r="N57" s="400" t="s">
        <v>5348</v>
      </c>
      <c r="O57" s="320">
        <v>51</v>
      </c>
    </row>
    <row r="58" spans="2:15" ht="69.900000000000006" customHeight="1" x14ac:dyDescent="0.25">
      <c r="B58" s="320">
        <v>37</v>
      </c>
      <c r="C58" s="320">
        <v>4</v>
      </c>
      <c r="D58" s="316" t="s">
        <v>5038</v>
      </c>
      <c r="E58" s="355" t="s">
        <v>5034</v>
      </c>
      <c r="F58" s="317">
        <v>3233276</v>
      </c>
      <c r="G58" s="368" t="s">
        <v>5039</v>
      </c>
      <c r="H58" s="350" t="s">
        <v>5040</v>
      </c>
      <c r="I58" s="316" t="s">
        <v>5034</v>
      </c>
      <c r="J58" s="316" t="s">
        <v>4852</v>
      </c>
      <c r="K58" s="319" t="s">
        <v>5041</v>
      </c>
      <c r="L58" s="386" t="s">
        <v>576</v>
      </c>
      <c r="M58" s="386" t="s">
        <v>5159</v>
      </c>
      <c r="N58" s="400" t="s">
        <v>5348</v>
      </c>
      <c r="O58" s="320">
        <v>51</v>
      </c>
    </row>
    <row r="59" spans="2:15" ht="69.900000000000006" customHeight="1" x14ac:dyDescent="0.25">
      <c r="B59" s="320">
        <v>38</v>
      </c>
      <c r="C59" s="320">
        <v>4</v>
      </c>
      <c r="D59" s="316" t="s">
        <v>5027</v>
      </c>
      <c r="E59" s="355" t="s">
        <v>5022</v>
      </c>
      <c r="F59" s="317">
        <v>595000</v>
      </c>
      <c r="G59" s="368" t="s">
        <v>5023</v>
      </c>
      <c r="H59" s="350" t="s">
        <v>5028</v>
      </c>
      <c r="I59" s="316" t="s">
        <v>5025</v>
      </c>
      <c r="J59" s="316" t="s">
        <v>4852</v>
      </c>
      <c r="K59" s="319" t="s">
        <v>5029</v>
      </c>
      <c r="L59" s="386" t="s">
        <v>576</v>
      </c>
      <c r="M59" s="386" t="s">
        <v>5159</v>
      </c>
      <c r="N59" s="400" t="s">
        <v>5348</v>
      </c>
      <c r="O59" s="320">
        <v>51</v>
      </c>
    </row>
    <row r="60" spans="2:15" ht="69.900000000000006" customHeight="1" x14ac:dyDescent="0.25">
      <c r="B60" s="320">
        <v>39</v>
      </c>
      <c r="C60" s="320">
        <v>4</v>
      </c>
      <c r="D60" s="316" t="s">
        <v>5030</v>
      </c>
      <c r="E60" s="355" t="s">
        <v>5022</v>
      </c>
      <c r="F60" s="317">
        <v>239665141</v>
      </c>
      <c r="G60" s="368" t="s">
        <v>4852</v>
      </c>
      <c r="H60" s="350" t="s">
        <v>5031</v>
      </c>
      <c r="I60" s="316" t="s">
        <v>5025</v>
      </c>
      <c r="J60" s="316" t="s">
        <v>4852</v>
      </c>
      <c r="K60" s="319" t="s">
        <v>5032</v>
      </c>
      <c r="L60" s="386" t="s">
        <v>576</v>
      </c>
      <c r="M60" s="386" t="s">
        <v>5159</v>
      </c>
      <c r="N60" s="400" t="s">
        <v>5348</v>
      </c>
      <c r="O60" s="320">
        <v>51</v>
      </c>
    </row>
    <row r="61" spans="2:15" ht="69.900000000000006" customHeight="1" x14ac:dyDescent="0.25">
      <c r="B61" s="320">
        <v>40</v>
      </c>
      <c r="C61" s="320">
        <v>4</v>
      </c>
      <c r="D61" s="316" t="s">
        <v>5021</v>
      </c>
      <c r="E61" s="355" t="s">
        <v>5022</v>
      </c>
      <c r="F61" s="317">
        <v>26735000</v>
      </c>
      <c r="G61" s="368" t="s">
        <v>5023</v>
      </c>
      <c r="H61" s="350" t="s">
        <v>5024</v>
      </c>
      <c r="I61" s="316" t="s">
        <v>5025</v>
      </c>
      <c r="J61" s="316" t="s">
        <v>4852</v>
      </c>
      <c r="K61" s="319" t="s">
        <v>5026</v>
      </c>
      <c r="L61" s="386" t="s">
        <v>576</v>
      </c>
      <c r="M61" s="386" t="s">
        <v>5159</v>
      </c>
      <c r="N61" s="400" t="s">
        <v>5348</v>
      </c>
      <c r="O61" s="320">
        <v>51</v>
      </c>
    </row>
    <row r="62" spans="2:15" ht="69.900000000000006" customHeight="1" x14ac:dyDescent="0.25">
      <c r="B62" s="320">
        <v>41</v>
      </c>
      <c r="C62" s="320">
        <v>4</v>
      </c>
      <c r="D62" s="316" t="s">
        <v>5018</v>
      </c>
      <c r="E62" s="355" t="s">
        <v>4951</v>
      </c>
      <c r="F62" s="317">
        <v>208979992</v>
      </c>
      <c r="G62" s="368" t="s">
        <v>5015</v>
      </c>
      <c r="H62" s="350" t="s">
        <v>5019</v>
      </c>
      <c r="I62" s="316" t="s">
        <v>4950</v>
      </c>
      <c r="J62" s="316" t="s">
        <v>4866</v>
      </c>
      <c r="K62" s="319" t="s">
        <v>5020</v>
      </c>
      <c r="L62" s="386" t="s">
        <v>576</v>
      </c>
      <c r="M62" s="386" t="s">
        <v>5159</v>
      </c>
      <c r="N62" s="400" t="s">
        <v>5348</v>
      </c>
      <c r="O62" s="320">
        <v>51</v>
      </c>
    </row>
    <row r="63" spans="2:15" ht="69.900000000000006" customHeight="1" x14ac:dyDescent="0.25">
      <c r="B63" s="320">
        <v>42</v>
      </c>
      <c r="C63" s="320">
        <v>4</v>
      </c>
      <c r="D63" s="316" t="s">
        <v>5014</v>
      </c>
      <c r="E63" s="355" t="s">
        <v>4951</v>
      </c>
      <c r="F63" s="317">
        <v>3233300</v>
      </c>
      <c r="G63" s="368" t="s">
        <v>5015</v>
      </c>
      <c r="H63" s="350" t="s">
        <v>5016</v>
      </c>
      <c r="I63" s="316" t="s">
        <v>4950</v>
      </c>
      <c r="J63" s="316" t="s">
        <v>4866</v>
      </c>
      <c r="K63" s="319" t="s">
        <v>5017</v>
      </c>
      <c r="L63" s="386" t="s">
        <v>576</v>
      </c>
      <c r="M63" s="386" t="s">
        <v>5159</v>
      </c>
      <c r="N63" s="400" t="s">
        <v>5348</v>
      </c>
      <c r="O63" s="320">
        <v>51</v>
      </c>
    </row>
    <row r="64" spans="2:15" ht="69.900000000000006" customHeight="1" x14ac:dyDescent="0.25">
      <c r="B64" s="320">
        <v>43</v>
      </c>
      <c r="C64" s="320">
        <v>4</v>
      </c>
      <c r="D64" s="316" t="s">
        <v>5010</v>
      </c>
      <c r="E64" s="355" t="s">
        <v>4985</v>
      </c>
      <c r="F64" s="317">
        <v>121465086</v>
      </c>
      <c r="G64" s="368" t="s">
        <v>5011</v>
      </c>
      <c r="H64" s="350" t="s">
        <v>5012</v>
      </c>
      <c r="I64" s="316" t="s">
        <v>4951</v>
      </c>
      <c r="J64" s="316" t="s">
        <v>4852</v>
      </c>
      <c r="K64" s="319" t="s">
        <v>5013</v>
      </c>
      <c r="L64" s="386" t="s">
        <v>576</v>
      </c>
      <c r="M64" s="386" t="s">
        <v>5159</v>
      </c>
      <c r="N64" s="400" t="s">
        <v>5348</v>
      </c>
      <c r="O64" s="320">
        <v>51</v>
      </c>
    </row>
    <row r="65" spans="2:15" ht="69.900000000000006" customHeight="1" x14ac:dyDescent="0.25">
      <c r="B65" s="320">
        <v>55</v>
      </c>
      <c r="C65" s="320">
        <v>4</v>
      </c>
      <c r="D65" s="320" t="s">
        <v>4896</v>
      </c>
      <c r="E65" s="354" t="s">
        <v>4897</v>
      </c>
      <c r="F65" s="351">
        <f>6840000+360000</f>
        <v>7200000</v>
      </c>
      <c r="G65" s="364" t="s">
        <v>4852</v>
      </c>
      <c r="H65" s="320" t="s">
        <v>4898</v>
      </c>
      <c r="I65" s="320" t="s">
        <v>4897</v>
      </c>
      <c r="J65" s="320" t="s">
        <v>4852</v>
      </c>
      <c r="K65" s="322" t="s">
        <v>4899</v>
      </c>
      <c r="L65" s="386" t="s">
        <v>535</v>
      </c>
      <c r="M65" s="386" t="s">
        <v>5191</v>
      </c>
      <c r="N65" s="400"/>
      <c r="O65" s="320">
        <v>52</v>
      </c>
    </row>
    <row r="66" spans="2:15" ht="69.900000000000006" customHeight="1" x14ac:dyDescent="0.25">
      <c r="B66" s="320">
        <v>56</v>
      </c>
      <c r="C66" s="320">
        <v>4</v>
      </c>
      <c r="D66" s="320" t="s">
        <v>4919</v>
      </c>
      <c r="E66" s="354" t="s">
        <v>4897</v>
      </c>
      <c r="F66" s="351">
        <v>63640000</v>
      </c>
      <c r="G66" s="363" t="s">
        <v>4849</v>
      </c>
      <c r="H66" s="321" t="s">
        <v>4920</v>
      </c>
      <c r="I66" s="320" t="s">
        <v>4897</v>
      </c>
      <c r="J66" s="320" t="s">
        <v>4852</v>
      </c>
      <c r="K66" s="322" t="s">
        <v>4921</v>
      </c>
      <c r="L66" s="386" t="s">
        <v>576</v>
      </c>
      <c r="M66" s="386" t="s">
        <v>5157</v>
      </c>
      <c r="N66" s="400" t="s">
        <v>5349</v>
      </c>
      <c r="O66" s="320">
        <v>52</v>
      </c>
    </row>
    <row r="67" spans="2:15" ht="69.900000000000006" customHeight="1" x14ac:dyDescent="0.25">
      <c r="B67" s="320">
        <v>57</v>
      </c>
      <c r="C67" s="320">
        <v>4</v>
      </c>
      <c r="D67" s="320" t="s">
        <v>4934</v>
      </c>
      <c r="E67" s="354" t="s">
        <v>4928</v>
      </c>
      <c r="F67" s="351">
        <v>6060000</v>
      </c>
      <c r="G67" s="364" t="s">
        <v>4852</v>
      </c>
      <c r="H67" s="321" t="s">
        <v>4935</v>
      </c>
      <c r="I67" s="320" t="s">
        <v>4923</v>
      </c>
      <c r="J67" s="320" t="s">
        <v>4852</v>
      </c>
      <c r="K67" s="322" t="s">
        <v>4936</v>
      </c>
      <c r="L67" s="386" t="s">
        <v>531</v>
      </c>
      <c r="M67" s="386" t="s">
        <v>5192</v>
      </c>
      <c r="N67" s="400"/>
      <c r="O67" s="320">
        <v>52</v>
      </c>
    </row>
    <row r="68" spans="2:15" ht="69.900000000000006" customHeight="1" x14ac:dyDescent="0.25">
      <c r="B68" s="320">
        <v>58</v>
      </c>
      <c r="C68" s="320">
        <v>4</v>
      </c>
      <c r="D68" s="320" t="s">
        <v>4937</v>
      </c>
      <c r="E68" s="354" t="s">
        <v>4928</v>
      </c>
      <c r="F68" s="351">
        <v>1800000</v>
      </c>
      <c r="G68" s="364" t="s">
        <v>4852</v>
      </c>
      <c r="H68" s="321" t="s">
        <v>4938</v>
      </c>
      <c r="I68" s="320" t="s">
        <v>4923</v>
      </c>
      <c r="J68" s="320" t="s">
        <v>4852</v>
      </c>
      <c r="K68" s="322" t="s">
        <v>4939</v>
      </c>
      <c r="L68" s="386" t="s">
        <v>531</v>
      </c>
      <c r="M68" s="386" t="s">
        <v>5193</v>
      </c>
      <c r="N68" s="400"/>
      <c r="O68" s="320">
        <v>52</v>
      </c>
    </row>
    <row r="69" spans="2:15" ht="69.900000000000006" customHeight="1" x14ac:dyDescent="0.25">
      <c r="B69" s="320">
        <v>59</v>
      </c>
      <c r="C69" s="320">
        <v>4</v>
      </c>
      <c r="D69" s="320" t="s">
        <v>4940</v>
      </c>
      <c r="E69" s="354" t="s">
        <v>4928</v>
      </c>
      <c r="F69" s="351">
        <v>6320000</v>
      </c>
      <c r="G69" s="364" t="s">
        <v>4852</v>
      </c>
      <c r="H69" s="321" t="s">
        <v>4941</v>
      </c>
      <c r="I69" s="320" t="s">
        <v>4923</v>
      </c>
      <c r="J69" s="320" t="s">
        <v>4852</v>
      </c>
      <c r="K69" s="322" t="s">
        <v>4942</v>
      </c>
      <c r="L69" s="386" t="s">
        <v>535</v>
      </c>
      <c r="M69" s="386" t="s">
        <v>5194</v>
      </c>
      <c r="N69" s="400"/>
      <c r="O69" s="320">
        <v>52</v>
      </c>
    </row>
    <row r="70" spans="2:15" ht="69.900000000000006" customHeight="1" x14ac:dyDescent="0.25">
      <c r="B70" s="320">
        <v>60</v>
      </c>
      <c r="C70" s="320">
        <v>4</v>
      </c>
      <c r="D70" s="320" t="s">
        <v>4943</v>
      </c>
      <c r="E70" s="354" t="s">
        <v>4928</v>
      </c>
      <c r="F70" s="351">
        <v>3570000</v>
      </c>
      <c r="G70" s="364" t="s">
        <v>4852</v>
      </c>
      <c r="H70" s="321" t="s">
        <v>4944</v>
      </c>
      <c r="I70" s="320" t="s">
        <v>4923</v>
      </c>
      <c r="J70" s="320" t="s">
        <v>4852</v>
      </c>
      <c r="K70" s="322" t="s">
        <v>4945</v>
      </c>
      <c r="L70" s="386" t="s">
        <v>542</v>
      </c>
      <c r="M70" s="386" t="s">
        <v>5158</v>
      </c>
      <c r="N70" s="400"/>
      <c r="O70" s="320">
        <v>52</v>
      </c>
    </row>
    <row r="71" spans="2:15" ht="69.900000000000006" customHeight="1" x14ac:dyDescent="0.25">
      <c r="B71" s="320">
        <v>61</v>
      </c>
      <c r="C71" s="320">
        <v>4</v>
      </c>
      <c r="D71" s="320" t="s">
        <v>4946</v>
      </c>
      <c r="E71" s="354" t="s">
        <v>4928</v>
      </c>
      <c r="F71" s="351">
        <v>1040000</v>
      </c>
      <c r="G71" s="364" t="s">
        <v>4852</v>
      </c>
      <c r="H71" s="321" t="s">
        <v>4947</v>
      </c>
      <c r="I71" s="320" t="s">
        <v>4923</v>
      </c>
      <c r="J71" s="320" t="s">
        <v>4852</v>
      </c>
      <c r="K71" s="322" t="s">
        <v>4948</v>
      </c>
      <c r="L71" s="386" t="s">
        <v>531</v>
      </c>
      <c r="M71" s="386" t="s">
        <v>5193</v>
      </c>
      <c r="N71" s="400"/>
      <c r="O71" s="320">
        <v>52</v>
      </c>
    </row>
    <row r="72" spans="2:15" ht="69.900000000000006" customHeight="1" x14ac:dyDescent="0.25">
      <c r="B72" s="320">
        <v>62</v>
      </c>
      <c r="C72" s="320">
        <v>4</v>
      </c>
      <c r="D72" s="316" t="s">
        <v>4949</v>
      </c>
      <c r="E72" s="355" t="s">
        <v>4951</v>
      </c>
      <c r="F72" s="317">
        <v>8760000</v>
      </c>
      <c r="G72" s="364" t="s">
        <v>4852</v>
      </c>
      <c r="H72" s="316" t="s">
        <v>4959</v>
      </c>
      <c r="I72" s="316" t="s">
        <v>4950</v>
      </c>
      <c r="J72" s="316" t="s">
        <v>4852</v>
      </c>
      <c r="K72" s="319" t="s">
        <v>4960</v>
      </c>
      <c r="L72" s="386" t="s">
        <v>542</v>
      </c>
      <c r="M72" s="386" t="s">
        <v>5195</v>
      </c>
      <c r="N72" s="400"/>
      <c r="O72" s="320">
        <v>52</v>
      </c>
    </row>
    <row r="73" spans="2:15" ht="69.900000000000006" customHeight="1" x14ac:dyDescent="0.25">
      <c r="B73" s="320">
        <v>63</v>
      </c>
      <c r="C73" s="320">
        <v>4</v>
      </c>
      <c r="D73" s="316" t="s">
        <v>4956</v>
      </c>
      <c r="E73" s="355" t="s">
        <v>4951</v>
      </c>
      <c r="F73" s="317">
        <v>4980000</v>
      </c>
      <c r="G73" s="364" t="s">
        <v>4852</v>
      </c>
      <c r="H73" s="316" t="s">
        <v>4969</v>
      </c>
      <c r="I73" s="316" t="s">
        <v>4950</v>
      </c>
      <c r="J73" s="316" t="s">
        <v>4852</v>
      </c>
      <c r="K73" s="319" t="s">
        <v>4970</v>
      </c>
      <c r="L73" s="386" t="s">
        <v>542</v>
      </c>
      <c r="M73" s="386" t="s">
        <v>5195</v>
      </c>
      <c r="N73" s="400"/>
      <c r="O73" s="320">
        <v>52</v>
      </c>
    </row>
    <row r="74" spans="2:15" ht="69.900000000000006" customHeight="1" x14ac:dyDescent="0.25">
      <c r="B74" s="320">
        <v>64</v>
      </c>
      <c r="C74" s="320">
        <v>4</v>
      </c>
      <c r="D74" s="316" t="s">
        <v>4953</v>
      </c>
      <c r="E74" s="355" t="s">
        <v>4951</v>
      </c>
      <c r="F74" s="317">
        <v>34977460</v>
      </c>
      <c r="G74" s="364" t="s">
        <v>4852</v>
      </c>
      <c r="H74" s="316" t="s">
        <v>4963</v>
      </c>
      <c r="I74" s="316" t="s">
        <v>4950</v>
      </c>
      <c r="J74" s="316" t="s">
        <v>4852</v>
      </c>
      <c r="K74" s="319" t="s">
        <v>4964</v>
      </c>
      <c r="L74" s="386" t="s">
        <v>576</v>
      </c>
      <c r="M74" s="386" t="s">
        <v>5157</v>
      </c>
      <c r="N74" s="400"/>
      <c r="O74" s="320">
        <v>52</v>
      </c>
    </row>
    <row r="75" spans="2:15" ht="69.900000000000006" customHeight="1" x14ac:dyDescent="0.25">
      <c r="B75" s="320">
        <v>65</v>
      </c>
      <c r="C75" s="320">
        <v>4</v>
      </c>
      <c r="D75" s="316" t="s">
        <v>4954</v>
      </c>
      <c r="E75" s="355" t="s">
        <v>4951</v>
      </c>
      <c r="F75" s="317">
        <v>5656000</v>
      </c>
      <c r="G75" s="364" t="s">
        <v>4852</v>
      </c>
      <c r="H75" s="316" t="s">
        <v>4965</v>
      </c>
      <c r="I75" s="316" t="s">
        <v>4950</v>
      </c>
      <c r="J75" s="316" t="s">
        <v>4852</v>
      </c>
      <c r="K75" s="319" t="s">
        <v>4966</v>
      </c>
      <c r="L75" s="386" t="s">
        <v>531</v>
      </c>
      <c r="M75" s="386" t="s">
        <v>5192</v>
      </c>
      <c r="N75" s="400"/>
      <c r="O75" s="320">
        <v>52</v>
      </c>
    </row>
    <row r="76" spans="2:15" ht="69.900000000000006" customHeight="1" x14ac:dyDescent="0.25">
      <c r="B76" s="320">
        <v>66</v>
      </c>
      <c r="C76" s="320">
        <v>4</v>
      </c>
      <c r="D76" s="316" t="s">
        <v>4975</v>
      </c>
      <c r="E76" s="355" t="s">
        <v>4951</v>
      </c>
      <c r="F76" s="317">
        <v>6180000</v>
      </c>
      <c r="G76" s="364" t="s">
        <v>4852</v>
      </c>
      <c r="H76" s="316" t="s">
        <v>4977</v>
      </c>
      <c r="I76" s="316" t="s">
        <v>4950</v>
      </c>
      <c r="J76" s="316" t="s">
        <v>4852</v>
      </c>
      <c r="K76" s="319" t="s">
        <v>4978</v>
      </c>
      <c r="L76" s="386" t="s">
        <v>535</v>
      </c>
      <c r="M76" s="386" t="s">
        <v>5191</v>
      </c>
      <c r="N76" s="400"/>
      <c r="O76" s="320">
        <v>52</v>
      </c>
    </row>
    <row r="77" spans="2:15" ht="69.900000000000006" customHeight="1" x14ac:dyDescent="0.25">
      <c r="B77" s="320">
        <v>67</v>
      </c>
      <c r="C77" s="320">
        <v>4</v>
      </c>
      <c r="D77" s="316" t="s">
        <v>4955</v>
      </c>
      <c r="E77" s="355" t="s">
        <v>4951</v>
      </c>
      <c r="F77" s="317">
        <v>5900000</v>
      </c>
      <c r="G77" s="364" t="s">
        <v>4852</v>
      </c>
      <c r="H77" s="316" t="s">
        <v>4967</v>
      </c>
      <c r="I77" s="316" t="s">
        <v>4950</v>
      </c>
      <c r="J77" s="316" t="s">
        <v>4852</v>
      </c>
      <c r="K77" s="319" t="s">
        <v>4968</v>
      </c>
      <c r="L77" s="386" t="s">
        <v>542</v>
      </c>
      <c r="M77" s="386" t="s">
        <v>5158</v>
      </c>
      <c r="N77" s="400"/>
      <c r="O77" s="320">
        <v>52</v>
      </c>
    </row>
    <row r="78" spans="2:15" ht="69.900000000000006" customHeight="1" x14ac:dyDescent="0.25">
      <c r="B78" s="320">
        <v>68</v>
      </c>
      <c r="C78" s="320">
        <v>4</v>
      </c>
      <c r="D78" s="316" t="s">
        <v>4957</v>
      </c>
      <c r="E78" s="355" t="s">
        <v>4951</v>
      </c>
      <c r="F78" s="317">
        <v>6330000</v>
      </c>
      <c r="G78" s="364" t="s">
        <v>4852</v>
      </c>
      <c r="H78" s="316" t="s">
        <v>4971</v>
      </c>
      <c r="I78" s="316" t="s">
        <v>4950</v>
      </c>
      <c r="J78" s="316" t="s">
        <v>4852</v>
      </c>
      <c r="K78" s="319" t="s">
        <v>4972</v>
      </c>
      <c r="L78" s="386" t="s">
        <v>542</v>
      </c>
      <c r="M78" s="386" t="s">
        <v>5158</v>
      </c>
      <c r="N78" s="400"/>
      <c r="O78" s="320">
        <v>52</v>
      </c>
    </row>
    <row r="79" spans="2:15" ht="69.900000000000006" customHeight="1" x14ac:dyDescent="0.25">
      <c r="B79" s="320">
        <v>69</v>
      </c>
      <c r="C79" s="320">
        <v>4</v>
      </c>
      <c r="D79" s="316" t="s">
        <v>4958</v>
      </c>
      <c r="E79" s="355" t="s">
        <v>4951</v>
      </c>
      <c r="F79" s="317">
        <v>75325796</v>
      </c>
      <c r="G79" s="365" t="s">
        <v>4641</v>
      </c>
      <c r="H79" s="316" t="s">
        <v>4973</v>
      </c>
      <c r="I79" s="316" t="s">
        <v>4950</v>
      </c>
      <c r="J79" s="316" t="s">
        <v>4852</v>
      </c>
      <c r="K79" s="319" t="s">
        <v>4974</v>
      </c>
      <c r="L79" s="386"/>
      <c r="M79" s="386"/>
      <c r="N79" s="400"/>
      <c r="O79" s="320">
        <v>52</v>
      </c>
    </row>
    <row r="80" spans="2:15" ht="69.900000000000006" customHeight="1" x14ac:dyDescent="0.25">
      <c r="B80" s="320">
        <v>70</v>
      </c>
      <c r="C80" s="320">
        <v>4</v>
      </c>
      <c r="D80" s="316" t="s">
        <v>4976</v>
      </c>
      <c r="E80" s="355" t="s">
        <v>4951</v>
      </c>
      <c r="F80" s="317">
        <v>19929200</v>
      </c>
      <c r="G80" s="365" t="s">
        <v>4641</v>
      </c>
      <c r="H80" s="316" t="s">
        <v>4979</v>
      </c>
      <c r="I80" s="316" t="s">
        <v>4950</v>
      </c>
      <c r="J80" s="316" t="s">
        <v>4852</v>
      </c>
      <c r="K80" s="319" t="s">
        <v>4980</v>
      </c>
      <c r="L80" s="386"/>
      <c r="M80" s="386"/>
      <c r="N80" s="400"/>
      <c r="O80" s="320">
        <v>52</v>
      </c>
    </row>
    <row r="81" spans="2:15" ht="69.900000000000006" customHeight="1" x14ac:dyDescent="0.25">
      <c r="B81" s="320">
        <v>71</v>
      </c>
      <c r="C81" s="320">
        <v>4</v>
      </c>
      <c r="D81" s="316" t="s">
        <v>5146</v>
      </c>
      <c r="E81" s="355" t="s">
        <v>5116</v>
      </c>
      <c r="F81" s="351">
        <v>63640000</v>
      </c>
      <c r="G81" s="363" t="s">
        <v>5147</v>
      </c>
      <c r="H81" s="316" t="s">
        <v>5148</v>
      </c>
      <c r="I81" s="316" t="s">
        <v>4985</v>
      </c>
      <c r="J81" s="316" t="s">
        <v>4866</v>
      </c>
      <c r="K81" s="319" t="s">
        <v>5149</v>
      </c>
      <c r="L81" s="386" t="s">
        <v>576</v>
      </c>
      <c r="M81" s="386" t="s">
        <v>5157</v>
      </c>
      <c r="N81" s="400" t="s">
        <v>5349</v>
      </c>
      <c r="O81" s="320">
        <v>52</v>
      </c>
    </row>
    <row r="82" spans="2:15" ht="69.900000000000006" customHeight="1" x14ac:dyDescent="0.25">
      <c r="B82" s="320">
        <v>72</v>
      </c>
      <c r="C82" s="320">
        <v>4</v>
      </c>
      <c r="D82" s="316" t="s">
        <v>5114</v>
      </c>
      <c r="E82" s="355" t="s">
        <v>5095</v>
      </c>
      <c r="F82" s="317">
        <v>14352838</v>
      </c>
      <c r="G82" s="364" t="s">
        <v>4852</v>
      </c>
      <c r="H82" s="316" t="s">
        <v>5115</v>
      </c>
      <c r="I82" s="316" t="s">
        <v>5116</v>
      </c>
      <c r="J82" s="316" t="s">
        <v>4852</v>
      </c>
      <c r="K82" s="319" t="s">
        <v>5117</v>
      </c>
      <c r="L82" s="386" t="s">
        <v>576</v>
      </c>
      <c r="M82" s="386" t="s">
        <v>5157</v>
      </c>
      <c r="N82" s="400"/>
      <c r="O82" s="320">
        <v>52</v>
      </c>
    </row>
    <row r="83" spans="2:15" ht="69.900000000000006" customHeight="1" x14ac:dyDescent="0.25">
      <c r="B83" s="320">
        <v>73</v>
      </c>
      <c r="C83" s="320">
        <v>4</v>
      </c>
      <c r="D83" s="316" t="s">
        <v>5118</v>
      </c>
      <c r="E83" s="355" t="s">
        <v>5095</v>
      </c>
      <c r="F83" s="317">
        <v>3712700</v>
      </c>
      <c r="G83" s="364" t="s">
        <v>4852</v>
      </c>
      <c r="H83" s="316" t="s">
        <v>5119</v>
      </c>
      <c r="I83" s="316" t="s">
        <v>5097</v>
      </c>
      <c r="J83" s="316" t="s">
        <v>4852</v>
      </c>
      <c r="K83" s="319" t="s">
        <v>5120</v>
      </c>
      <c r="L83" s="386" t="s">
        <v>576</v>
      </c>
      <c r="M83" s="386" t="s">
        <v>5157</v>
      </c>
      <c r="N83" s="400"/>
      <c r="O83" s="320">
        <v>52</v>
      </c>
    </row>
    <row r="84" spans="2:15" ht="69.900000000000006" customHeight="1" x14ac:dyDescent="0.25">
      <c r="B84" s="320">
        <v>74</v>
      </c>
      <c r="C84" s="320">
        <v>4</v>
      </c>
      <c r="D84" s="316" t="s">
        <v>5102</v>
      </c>
      <c r="E84" s="355" t="s">
        <v>5095</v>
      </c>
      <c r="F84" s="317">
        <v>205000</v>
      </c>
      <c r="G84" s="364" t="s">
        <v>4852</v>
      </c>
      <c r="H84" s="316" t="s">
        <v>5103</v>
      </c>
      <c r="I84" s="316" t="s">
        <v>5097</v>
      </c>
      <c r="J84" s="316" t="s">
        <v>4852</v>
      </c>
      <c r="K84" s="319" t="s">
        <v>5104</v>
      </c>
      <c r="L84" s="386" t="s">
        <v>542</v>
      </c>
      <c r="M84" s="386" t="s">
        <v>5158</v>
      </c>
      <c r="N84" s="400"/>
      <c r="O84" s="320">
        <v>52</v>
      </c>
    </row>
    <row r="85" spans="2:15" ht="69.900000000000006" customHeight="1" x14ac:dyDescent="0.25">
      <c r="B85" s="320">
        <v>75</v>
      </c>
      <c r="C85" s="320">
        <v>4</v>
      </c>
      <c r="D85" s="316" t="s">
        <v>5099</v>
      </c>
      <c r="E85" s="355" t="s">
        <v>5095</v>
      </c>
      <c r="F85" s="317">
        <v>524500</v>
      </c>
      <c r="G85" s="364" t="s">
        <v>4852</v>
      </c>
      <c r="H85" s="316" t="s">
        <v>5100</v>
      </c>
      <c r="I85" s="316" t="s">
        <v>5097</v>
      </c>
      <c r="J85" s="316" t="s">
        <v>4852</v>
      </c>
      <c r="K85" s="319" t="s">
        <v>5101</v>
      </c>
      <c r="L85" s="386" t="s">
        <v>542</v>
      </c>
      <c r="M85" s="386" t="s">
        <v>5195</v>
      </c>
      <c r="N85" s="400"/>
      <c r="O85" s="320">
        <v>52</v>
      </c>
    </row>
    <row r="86" spans="2:15" ht="69.900000000000006" customHeight="1" x14ac:dyDescent="0.25">
      <c r="B86" s="320">
        <v>76</v>
      </c>
      <c r="C86" s="320">
        <v>4</v>
      </c>
      <c r="D86" s="316" t="s">
        <v>5094</v>
      </c>
      <c r="E86" s="355" t="s">
        <v>5095</v>
      </c>
      <c r="F86" s="317">
        <v>1790000</v>
      </c>
      <c r="G86" s="364" t="s">
        <v>4852</v>
      </c>
      <c r="H86" s="316" t="s">
        <v>5096</v>
      </c>
      <c r="I86" s="316" t="s">
        <v>5097</v>
      </c>
      <c r="J86" s="316" t="s">
        <v>4852</v>
      </c>
      <c r="K86" s="319" t="s">
        <v>5098</v>
      </c>
      <c r="L86" s="386" t="s">
        <v>542</v>
      </c>
      <c r="M86" s="386" t="s">
        <v>5195</v>
      </c>
      <c r="N86" s="400"/>
      <c r="O86" s="320">
        <v>52</v>
      </c>
    </row>
    <row r="87" spans="2:15" ht="69.900000000000006" customHeight="1" x14ac:dyDescent="0.25">
      <c r="B87" s="320">
        <v>77</v>
      </c>
      <c r="C87" s="320">
        <v>4</v>
      </c>
      <c r="D87" s="316" t="s">
        <v>5105</v>
      </c>
      <c r="E87" s="355" t="s">
        <v>5095</v>
      </c>
      <c r="F87" s="317">
        <v>1000000</v>
      </c>
      <c r="G87" s="364" t="s">
        <v>4852</v>
      </c>
      <c r="H87" s="316" t="s">
        <v>5106</v>
      </c>
      <c r="I87" s="316" t="s">
        <v>5097</v>
      </c>
      <c r="J87" s="316" t="s">
        <v>4852</v>
      </c>
      <c r="K87" s="319" t="s">
        <v>5107</v>
      </c>
      <c r="L87" s="386" t="s">
        <v>531</v>
      </c>
      <c r="M87" s="386" t="s">
        <v>5192</v>
      </c>
      <c r="N87" s="400"/>
      <c r="O87" s="320">
        <v>52</v>
      </c>
    </row>
    <row r="88" spans="2:15" ht="69.900000000000006" customHeight="1" x14ac:dyDescent="0.25">
      <c r="B88" s="320">
        <v>78</v>
      </c>
      <c r="C88" s="320">
        <v>5</v>
      </c>
      <c r="D88" s="316" t="s">
        <v>5005</v>
      </c>
      <c r="E88" s="355" t="s">
        <v>5006</v>
      </c>
      <c r="F88" s="317">
        <v>210863345</v>
      </c>
      <c r="G88" s="368" t="s">
        <v>5007</v>
      </c>
      <c r="H88" s="350" t="s">
        <v>5008</v>
      </c>
      <c r="I88" s="316" t="s">
        <v>4923</v>
      </c>
      <c r="J88" s="316" t="s">
        <v>4866</v>
      </c>
      <c r="K88" s="319" t="s">
        <v>5009</v>
      </c>
      <c r="L88" s="386" t="s">
        <v>576</v>
      </c>
      <c r="M88" s="386" t="s">
        <v>5159</v>
      </c>
      <c r="N88" s="400" t="s">
        <v>5348</v>
      </c>
      <c r="O88" s="320">
        <v>51</v>
      </c>
    </row>
    <row r="89" spans="2:15" ht="69.900000000000006" customHeight="1" x14ac:dyDescent="0.25">
      <c r="B89" s="320">
        <v>79</v>
      </c>
      <c r="C89" s="320">
        <v>5</v>
      </c>
      <c r="D89" s="316" t="s">
        <v>5154</v>
      </c>
      <c r="E89" s="355" t="s">
        <v>5153</v>
      </c>
      <c r="F89" s="317">
        <v>236089382</v>
      </c>
      <c r="G89" s="368" t="s">
        <v>4852</v>
      </c>
      <c r="H89" s="380" t="s">
        <v>5155</v>
      </c>
      <c r="I89" s="316" t="s">
        <v>5122</v>
      </c>
      <c r="J89" s="316" t="s">
        <v>4852</v>
      </c>
      <c r="K89" s="319" t="s">
        <v>5156</v>
      </c>
      <c r="L89" s="386" t="s">
        <v>576</v>
      </c>
      <c r="M89" s="386" t="s">
        <v>5159</v>
      </c>
      <c r="N89" s="400" t="s">
        <v>5348</v>
      </c>
      <c r="O89" s="320">
        <v>51</v>
      </c>
    </row>
    <row r="90" spans="2:15" ht="69.900000000000006" customHeight="1" x14ac:dyDescent="0.25">
      <c r="B90" s="320">
        <v>80</v>
      </c>
      <c r="C90" s="320">
        <v>5</v>
      </c>
      <c r="D90" s="316" t="s">
        <v>5177</v>
      </c>
      <c r="E90" s="355" t="s">
        <v>5178</v>
      </c>
      <c r="F90" s="317">
        <v>26312000</v>
      </c>
      <c r="G90" s="368" t="s">
        <v>5023</v>
      </c>
      <c r="H90" s="350" t="s">
        <v>5179</v>
      </c>
      <c r="I90" s="316" t="s">
        <v>5178</v>
      </c>
      <c r="J90" s="316" t="s">
        <v>4852</v>
      </c>
      <c r="K90" s="319" t="s">
        <v>5180</v>
      </c>
      <c r="L90" s="386" t="s">
        <v>576</v>
      </c>
      <c r="M90" s="386" t="s">
        <v>5159</v>
      </c>
      <c r="N90" s="400" t="s">
        <v>5348</v>
      </c>
      <c r="O90" s="320">
        <v>51</v>
      </c>
    </row>
    <row r="91" spans="2:15" ht="69.900000000000006" customHeight="1" x14ac:dyDescent="0.25">
      <c r="B91" s="320">
        <v>81</v>
      </c>
      <c r="C91" s="320">
        <v>5</v>
      </c>
      <c r="D91" s="316" t="s">
        <v>5181</v>
      </c>
      <c r="E91" s="355" t="s">
        <v>5182</v>
      </c>
      <c r="F91" s="317">
        <v>4745975</v>
      </c>
      <c r="G91" s="368" t="s">
        <v>4852</v>
      </c>
      <c r="H91" s="316" t="s">
        <v>5183</v>
      </c>
      <c r="I91" s="316" t="s">
        <v>5184</v>
      </c>
      <c r="J91" s="316" t="s">
        <v>4852</v>
      </c>
      <c r="K91" s="319" t="s">
        <v>5185</v>
      </c>
      <c r="L91" s="386" t="s">
        <v>576</v>
      </c>
      <c r="M91" s="386" t="s">
        <v>5159</v>
      </c>
      <c r="N91" s="400" t="s">
        <v>5348</v>
      </c>
      <c r="O91" s="320">
        <v>51</v>
      </c>
    </row>
    <row r="92" spans="2:15" ht="69.900000000000006" customHeight="1" x14ac:dyDescent="0.25">
      <c r="B92" s="320">
        <v>82</v>
      </c>
      <c r="C92" s="320">
        <v>5</v>
      </c>
      <c r="D92" s="316" t="s">
        <v>5186</v>
      </c>
      <c r="E92" s="355" t="s">
        <v>5182</v>
      </c>
      <c r="F92" s="317">
        <v>221543</v>
      </c>
      <c r="G92" s="368" t="s">
        <v>5035</v>
      </c>
      <c r="H92" s="316" t="s">
        <v>5187</v>
      </c>
      <c r="I92" s="316" t="s">
        <v>5184</v>
      </c>
      <c r="J92" s="316" t="s">
        <v>4852</v>
      </c>
      <c r="K92" s="319" t="s">
        <v>5188</v>
      </c>
      <c r="L92" s="386" t="s">
        <v>576</v>
      </c>
      <c r="M92" s="386" t="s">
        <v>5159</v>
      </c>
      <c r="N92" s="400" t="s">
        <v>5348</v>
      </c>
      <c r="O92" s="320">
        <v>51</v>
      </c>
    </row>
    <row r="93" spans="2:15" ht="69.900000000000006" customHeight="1" x14ac:dyDescent="0.25">
      <c r="B93" s="320">
        <v>83</v>
      </c>
      <c r="C93" s="320">
        <v>5</v>
      </c>
      <c r="D93" s="316" t="s">
        <v>5220</v>
      </c>
      <c r="E93" s="355" t="s">
        <v>5199</v>
      </c>
      <c r="F93" s="317">
        <v>2372988</v>
      </c>
      <c r="G93" s="368" t="s">
        <v>5011</v>
      </c>
      <c r="H93" s="316" t="s">
        <v>5221</v>
      </c>
      <c r="I93" s="316" t="s">
        <v>5201</v>
      </c>
      <c r="J93" s="316" t="s">
        <v>4852</v>
      </c>
      <c r="K93" s="319" t="s">
        <v>5017</v>
      </c>
      <c r="L93" s="376" t="s">
        <v>576</v>
      </c>
      <c r="M93" s="376" t="s">
        <v>5159</v>
      </c>
      <c r="N93" s="400" t="s">
        <v>5348</v>
      </c>
      <c r="O93" s="320">
        <v>51</v>
      </c>
    </row>
    <row r="94" spans="2:15" ht="69.900000000000006" customHeight="1" x14ac:dyDescent="0.25">
      <c r="B94" s="320">
        <v>84</v>
      </c>
      <c r="C94" s="320">
        <v>5</v>
      </c>
      <c r="D94" s="316" t="s">
        <v>5143</v>
      </c>
      <c r="E94" s="355" t="s">
        <v>5006</v>
      </c>
      <c r="F94" s="351">
        <v>63640000</v>
      </c>
      <c r="G94" s="363" t="s">
        <v>4863</v>
      </c>
      <c r="H94" s="316" t="s">
        <v>5144</v>
      </c>
      <c r="I94" s="316" t="s">
        <v>4985</v>
      </c>
      <c r="J94" s="316" t="s">
        <v>4866</v>
      </c>
      <c r="K94" s="319" t="s">
        <v>5145</v>
      </c>
      <c r="L94" s="386" t="s">
        <v>576</v>
      </c>
      <c r="M94" s="386" t="s">
        <v>5157</v>
      </c>
      <c r="N94" s="400" t="s">
        <v>5349</v>
      </c>
      <c r="O94" s="320">
        <v>52</v>
      </c>
    </row>
    <row r="95" spans="2:15" ht="69.900000000000006" customHeight="1" x14ac:dyDescent="0.25">
      <c r="B95" s="320">
        <v>85</v>
      </c>
      <c r="C95" s="320">
        <v>5</v>
      </c>
      <c r="D95" s="316" t="s">
        <v>5121</v>
      </c>
      <c r="E95" s="355" t="s">
        <v>5122</v>
      </c>
      <c r="F95" s="317">
        <v>540000000</v>
      </c>
      <c r="G95" s="396" t="s">
        <v>5123</v>
      </c>
      <c r="H95" s="316" t="s">
        <v>5124</v>
      </c>
      <c r="I95" s="316" t="s">
        <v>5125</v>
      </c>
      <c r="J95" s="316" t="s">
        <v>4852</v>
      </c>
      <c r="K95" s="319" t="s">
        <v>5126</v>
      </c>
      <c r="L95" s="386" t="s">
        <v>576</v>
      </c>
      <c r="M95" s="386" t="s">
        <v>5157</v>
      </c>
      <c r="N95" s="400" t="s">
        <v>5350</v>
      </c>
      <c r="O95" s="320">
        <v>53</v>
      </c>
    </row>
    <row r="96" spans="2:15" ht="69.900000000000006" customHeight="1" x14ac:dyDescent="0.25">
      <c r="B96" s="320">
        <v>86</v>
      </c>
      <c r="C96" s="320">
        <v>5</v>
      </c>
      <c r="D96" s="316" t="s">
        <v>5127</v>
      </c>
      <c r="E96" s="355" t="s">
        <v>5125</v>
      </c>
      <c r="F96" s="317">
        <v>900500</v>
      </c>
      <c r="G96" s="364" t="s">
        <v>4852</v>
      </c>
      <c r="H96" s="316" t="s">
        <v>5128</v>
      </c>
      <c r="I96" s="316" t="s">
        <v>5129</v>
      </c>
      <c r="J96" s="316" t="s">
        <v>4852</v>
      </c>
      <c r="K96" s="319" t="s">
        <v>5130</v>
      </c>
      <c r="L96" s="386" t="s">
        <v>542</v>
      </c>
      <c r="M96" s="386" t="s">
        <v>5158</v>
      </c>
      <c r="N96" s="400"/>
      <c r="O96" s="320">
        <v>52</v>
      </c>
    </row>
    <row r="97" spans="2:15" ht="69.900000000000006" customHeight="1" x14ac:dyDescent="0.25">
      <c r="B97" s="320">
        <v>87</v>
      </c>
      <c r="C97" s="320">
        <v>5</v>
      </c>
      <c r="D97" s="316" t="s">
        <v>5134</v>
      </c>
      <c r="E97" s="355" t="s">
        <v>5125</v>
      </c>
      <c r="F97" s="317">
        <v>3600000</v>
      </c>
      <c r="G97" s="364" t="s">
        <v>4852</v>
      </c>
      <c r="H97" s="316" t="s">
        <v>5135</v>
      </c>
      <c r="I97" s="316" t="s">
        <v>5129</v>
      </c>
      <c r="J97" s="316" t="s">
        <v>4852</v>
      </c>
      <c r="K97" s="319" t="s">
        <v>5136</v>
      </c>
      <c r="L97" s="386" t="s">
        <v>542</v>
      </c>
      <c r="M97" s="386" t="s">
        <v>5158</v>
      </c>
      <c r="N97" s="400"/>
      <c r="O97" s="320">
        <v>52</v>
      </c>
    </row>
    <row r="98" spans="2:15" ht="69.900000000000006" customHeight="1" x14ac:dyDescent="0.25">
      <c r="B98" s="320">
        <v>88</v>
      </c>
      <c r="C98" s="320">
        <v>5</v>
      </c>
      <c r="D98" s="316" t="s">
        <v>5137</v>
      </c>
      <c r="E98" s="355" t="s">
        <v>5125</v>
      </c>
      <c r="F98" s="317">
        <v>10960600</v>
      </c>
      <c r="G98" s="364" t="s">
        <v>4852</v>
      </c>
      <c r="H98" s="316" t="s">
        <v>5138</v>
      </c>
      <c r="I98" s="316" t="s">
        <v>5129</v>
      </c>
      <c r="J98" s="316" t="s">
        <v>4852</v>
      </c>
      <c r="K98" s="319" t="s">
        <v>5139</v>
      </c>
      <c r="L98" s="386" t="s">
        <v>542</v>
      </c>
      <c r="M98" s="386" t="s">
        <v>5158</v>
      </c>
      <c r="N98" s="400"/>
      <c r="O98" s="320">
        <v>52</v>
      </c>
    </row>
    <row r="99" spans="2:15" ht="69.900000000000006" customHeight="1" x14ac:dyDescent="0.25">
      <c r="B99" s="320">
        <v>89</v>
      </c>
      <c r="C99" s="320">
        <v>5</v>
      </c>
      <c r="D99" s="316" t="s">
        <v>5140</v>
      </c>
      <c r="E99" s="355" t="s">
        <v>5125</v>
      </c>
      <c r="F99" s="317">
        <v>930000</v>
      </c>
      <c r="G99" s="364" t="s">
        <v>4852</v>
      </c>
      <c r="H99" s="316" t="s">
        <v>5141</v>
      </c>
      <c r="I99" s="316" t="s">
        <v>5129</v>
      </c>
      <c r="J99" s="316" t="s">
        <v>4852</v>
      </c>
      <c r="K99" s="319" t="s">
        <v>5142</v>
      </c>
      <c r="L99" s="386" t="s">
        <v>535</v>
      </c>
      <c r="M99" s="386" t="s">
        <v>5191</v>
      </c>
      <c r="N99" s="400"/>
      <c r="O99" s="320">
        <v>52</v>
      </c>
    </row>
    <row r="100" spans="2:15" ht="69.900000000000006" customHeight="1" x14ac:dyDescent="0.25">
      <c r="B100" s="320">
        <v>90</v>
      </c>
      <c r="C100" s="320">
        <v>5</v>
      </c>
      <c r="D100" s="316" t="s">
        <v>5131</v>
      </c>
      <c r="E100" s="355" t="s">
        <v>5125</v>
      </c>
      <c r="F100" s="317">
        <v>872000</v>
      </c>
      <c r="G100" s="364" t="s">
        <v>4852</v>
      </c>
      <c r="H100" s="316" t="s">
        <v>5132</v>
      </c>
      <c r="I100" s="316" t="s">
        <v>5129</v>
      </c>
      <c r="J100" s="316" t="s">
        <v>4852</v>
      </c>
      <c r="K100" s="319" t="s">
        <v>5133</v>
      </c>
      <c r="L100" s="386" t="s">
        <v>531</v>
      </c>
      <c r="M100" s="386" t="s">
        <v>5192</v>
      </c>
      <c r="N100" s="400"/>
      <c r="O100" s="320">
        <v>52</v>
      </c>
    </row>
    <row r="101" spans="2:15" ht="69.900000000000006" customHeight="1" x14ac:dyDescent="0.25">
      <c r="B101" s="320">
        <v>91</v>
      </c>
      <c r="C101" s="320">
        <v>5</v>
      </c>
      <c r="D101" s="318" t="s">
        <v>5174</v>
      </c>
      <c r="E101" s="398" t="s">
        <v>5168</v>
      </c>
      <c r="F101" s="362">
        <v>114200000</v>
      </c>
      <c r="G101" s="396" t="s">
        <v>5123</v>
      </c>
      <c r="H101" s="318" t="s">
        <v>5175</v>
      </c>
      <c r="I101" s="318" t="s">
        <v>5153</v>
      </c>
      <c r="J101" s="318" t="s">
        <v>4852</v>
      </c>
      <c r="K101" s="319" t="s">
        <v>5176</v>
      </c>
      <c r="L101" s="386" t="s">
        <v>576</v>
      </c>
      <c r="M101" s="386" t="s">
        <v>5157</v>
      </c>
      <c r="N101" s="400" t="s">
        <v>5350</v>
      </c>
      <c r="O101" s="320">
        <v>53</v>
      </c>
    </row>
    <row r="102" spans="2:15" ht="69.900000000000006" customHeight="1" x14ac:dyDescent="0.25">
      <c r="B102" s="320">
        <v>92</v>
      </c>
      <c r="C102" s="320">
        <v>5</v>
      </c>
      <c r="D102" s="318" t="s">
        <v>5167</v>
      </c>
      <c r="E102" s="398" t="s">
        <v>5168</v>
      </c>
      <c r="F102" s="362">
        <v>93939616</v>
      </c>
      <c r="G102" s="365" t="s">
        <v>4641</v>
      </c>
      <c r="H102" s="318" t="s">
        <v>5169</v>
      </c>
      <c r="I102" s="318" t="s">
        <v>5170</v>
      </c>
      <c r="J102" s="318" t="s">
        <v>4852</v>
      </c>
      <c r="K102" s="319" t="s">
        <v>5171</v>
      </c>
      <c r="L102" s="386"/>
      <c r="M102" s="386"/>
      <c r="N102" s="400"/>
      <c r="O102" s="320">
        <v>52</v>
      </c>
    </row>
    <row r="103" spans="2:15" ht="69.900000000000006" customHeight="1" x14ac:dyDescent="0.25">
      <c r="B103" s="320">
        <v>93</v>
      </c>
      <c r="C103" s="320">
        <v>5</v>
      </c>
      <c r="D103" s="318" t="s">
        <v>5172</v>
      </c>
      <c r="E103" s="398" t="s">
        <v>5168</v>
      </c>
      <c r="F103" s="362">
        <v>1500000</v>
      </c>
      <c r="G103" s="365" t="s">
        <v>4641</v>
      </c>
      <c r="H103" s="318" t="s">
        <v>5173</v>
      </c>
      <c r="I103" s="318" t="s">
        <v>5170</v>
      </c>
      <c r="J103" s="318" t="s">
        <v>4852</v>
      </c>
      <c r="K103" s="319" t="s">
        <v>5171</v>
      </c>
      <c r="L103" s="386"/>
      <c r="M103" s="386"/>
      <c r="N103" s="400"/>
      <c r="O103" s="320">
        <v>52</v>
      </c>
    </row>
    <row r="104" spans="2:15" ht="69.900000000000006" customHeight="1" x14ac:dyDescent="0.25">
      <c r="B104" s="320">
        <v>94</v>
      </c>
      <c r="C104" s="320">
        <v>5</v>
      </c>
      <c r="D104" s="316" t="s">
        <v>5214</v>
      </c>
      <c r="E104" s="355" t="s">
        <v>5199</v>
      </c>
      <c r="F104" s="317">
        <v>448000</v>
      </c>
      <c r="G104" s="364" t="s">
        <v>4852</v>
      </c>
      <c r="H104" s="316" t="s">
        <v>5215</v>
      </c>
      <c r="I104" s="316" t="s">
        <v>5201</v>
      </c>
      <c r="J104" s="316" t="s">
        <v>4852</v>
      </c>
      <c r="K104" s="319" t="s">
        <v>5216</v>
      </c>
      <c r="L104" s="376" t="s">
        <v>542</v>
      </c>
      <c r="M104" s="376" t="s">
        <v>5158</v>
      </c>
      <c r="N104" s="400"/>
      <c r="O104" s="320">
        <v>52</v>
      </c>
    </row>
    <row r="105" spans="2:15" ht="69.900000000000006" customHeight="1" x14ac:dyDescent="0.25">
      <c r="B105" s="320">
        <v>95</v>
      </c>
      <c r="C105" s="320">
        <v>5</v>
      </c>
      <c r="D105" s="316" t="s">
        <v>5227</v>
      </c>
      <c r="E105" s="355" t="s">
        <v>5199</v>
      </c>
      <c r="F105" s="317">
        <v>1040000</v>
      </c>
      <c r="G105" s="364" t="s">
        <v>4852</v>
      </c>
      <c r="H105" s="316" t="s">
        <v>5228</v>
      </c>
      <c r="I105" s="316" t="s">
        <v>5201</v>
      </c>
      <c r="J105" s="316" t="s">
        <v>4852</v>
      </c>
      <c r="K105" s="319" t="s">
        <v>5229</v>
      </c>
      <c r="L105" s="376" t="s">
        <v>531</v>
      </c>
      <c r="M105" s="376" t="s">
        <v>5193</v>
      </c>
      <c r="N105" s="400"/>
      <c r="O105" s="320">
        <v>52</v>
      </c>
    </row>
    <row r="106" spans="2:15" ht="69.900000000000006" customHeight="1" x14ac:dyDescent="0.25">
      <c r="B106" s="320">
        <v>96</v>
      </c>
      <c r="C106" s="320">
        <v>5</v>
      </c>
      <c r="D106" s="316" t="s">
        <v>5211</v>
      </c>
      <c r="E106" s="355" t="s">
        <v>5199</v>
      </c>
      <c r="F106" s="317">
        <v>14922000</v>
      </c>
      <c r="G106" s="364" t="s">
        <v>4852</v>
      </c>
      <c r="H106" s="316" t="s">
        <v>5212</v>
      </c>
      <c r="I106" s="316" t="s">
        <v>5201</v>
      </c>
      <c r="J106" s="316" t="s">
        <v>4852</v>
      </c>
      <c r="K106" s="319" t="s">
        <v>5213</v>
      </c>
      <c r="L106" s="376" t="s">
        <v>531</v>
      </c>
      <c r="M106" s="376" t="s">
        <v>5192</v>
      </c>
      <c r="N106" s="400"/>
      <c r="O106" s="320">
        <v>52</v>
      </c>
    </row>
    <row r="107" spans="2:15" ht="69.900000000000006" customHeight="1" x14ac:dyDescent="0.25">
      <c r="B107" s="320">
        <v>97</v>
      </c>
      <c r="C107" s="320">
        <v>5</v>
      </c>
      <c r="D107" s="316" t="s">
        <v>5217</v>
      </c>
      <c r="E107" s="355" t="s">
        <v>5199</v>
      </c>
      <c r="F107" s="317">
        <v>3184000</v>
      </c>
      <c r="G107" s="364" t="s">
        <v>4852</v>
      </c>
      <c r="H107" s="316" t="s">
        <v>5218</v>
      </c>
      <c r="I107" s="316" t="s">
        <v>5201</v>
      </c>
      <c r="J107" s="316" t="s">
        <v>4852</v>
      </c>
      <c r="K107" s="319" t="s">
        <v>5219</v>
      </c>
      <c r="L107" s="376" t="s">
        <v>542</v>
      </c>
      <c r="M107" s="376" t="s">
        <v>5158</v>
      </c>
      <c r="N107" s="400"/>
      <c r="O107" s="320">
        <v>52</v>
      </c>
    </row>
    <row r="108" spans="2:15" ht="69.900000000000006" customHeight="1" x14ac:dyDescent="0.25">
      <c r="B108" s="320">
        <v>98</v>
      </c>
      <c r="C108" s="320">
        <v>5</v>
      </c>
      <c r="D108" s="316" t="s">
        <v>5222</v>
      </c>
      <c r="E108" s="355" t="s">
        <v>5199</v>
      </c>
      <c r="F108" s="317">
        <v>3620000</v>
      </c>
      <c r="G108" s="364" t="s">
        <v>4852</v>
      </c>
      <c r="H108" s="316" t="s">
        <v>5223</v>
      </c>
      <c r="I108" s="316" t="s">
        <v>5201</v>
      </c>
      <c r="J108" s="316" t="s">
        <v>4852</v>
      </c>
      <c r="K108" s="319" t="s">
        <v>5224</v>
      </c>
      <c r="L108" s="376" t="s">
        <v>531</v>
      </c>
      <c r="M108" s="376" t="s">
        <v>5192</v>
      </c>
      <c r="N108" s="400"/>
      <c r="O108" s="320">
        <v>52</v>
      </c>
    </row>
    <row r="109" spans="2:15" ht="69.900000000000006" customHeight="1" x14ac:dyDescent="0.25">
      <c r="B109" s="320">
        <v>99</v>
      </c>
      <c r="C109" s="320">
        <v>5</v>
      </c>
      <c r="D109" s="316" t="s">
        <v>5208</v>
      </c>
      <c r="E109" s="355" t="s">
        <v>5199</v>
      </c>
      <c r="F109" s="317">
        <v>1250000</v>
      </c>
      <c r="G109" s="364" t="s">
        <v>4852</v>
      </c>
      <c r="H109" s="316" t="s">
        <v>5209</v>
      </c>
      <c r="I109" s="316" t="s">
        <v>5201</v>
      </c>
      <c r="J109" s="316" t="s">
        <v>4852</v>
      </c>
      <c r="K109" s="319" t="s">
        <v>5210</v>
      </c>
      <c r="L109" s="376" t="s">
        <v>531</v>
      </c>
      <c r="M109" s="376" t="s">
        <v>5193</v>
      </c>
      <c r="N109" s="400"/>
      <c r="O109" s="320">
        <v>52</v>
      </c>
    </row>
    <row r="110" spans="2:15" ht="69.900000000000006" customHeight="1" x14ac:dyDescent="0.25">
      <c r="B110" s="320">
        <v>100</v>
      </c>
      <c r="C110" s="320">
        <v>5</v>
      </c>
      <c r="D110" s="316" t="s">
        <v>5225</v>
      </c>
      <c r="E110" s="355" t="s">
        <v>5199</v>
      </c>
      <c r="F110" s="317">
        <v>74895594</v>
      </c>
      <c r="G110" s="365" t="s">
        <v>4641</v>
      </c>
      <c r="H110" s="316" t="s">
        <v>5226</v>
      </c>
      <c r="I110" s="316" t="s">
        <v>5201</v>
      </c>
      <c r="J110" s="316" t="s">
        <v>4852</v>
      </c>
      <c r="K110" s="319" t="s">
        <v>5205</v>
      </c>
      <c r="L110" s="376"/>
      <c r="M110" s="376"/>
      <c r="N110" s="400"/>
      <c r="O110" s="320">
        <v>52</v>
      </c>
    </row>
    <row r="111" spans="2:15" ht="69.900000000000006" customHeight="1" x14ac:dyDescent="0.25">
      <c r="B111" s="320">
        <v>101</v>
      </c>
      <c r="C111" s="320">
        <v>5</v>
      </c>
      <c r="D111" s="316" t="s">
        <v>5203</v>
      </c>
      <c r="E111" s="355" t="s">
        <v>5199</v>
      </c>
      <c r="F111" s="317">
        <v>10182883</v>
      </c>
      <c r="G111" s="365" t="s">
        <v>4641</v>
      </c>
      <c r="H111" s="316" t="s">
        <v>5204</v>
      </c>
      <c r="I111" s="316" t="s">
        <v>5201</v>
      </c>
      <c r="J111" s="316" t="s">
        <v>4852</v>
      </c>
      <c r="K111" s="319" t="s">
        <v>5205</v>
      </c>
      <c r="L111" s="376"/>
      <c r="M111" s="376"/>
      <c r="N111" s="400"/>
      <c r="O111" s="320">
        <v>52</v>
      </c>
    </row>
    <row r="112" spans="2:15" ht="69.900000000000006" customHeight="1" x14ac:dyDescent="0.25">
      <c r="B112" s="320">
        <v>102</v>
      </c>
      <c r="C112" s="320">
        <v>5</v>
      </c>
      <c r="D112" s="316" t="s">
        <v>5206</v>
      </c>
      <c r="E112" s="355" t="s">
        <v>5199</v>
      </c>
      <c r="F112" s="317">
        <v>8760100</v>
      </c>
      <c r="G112" s="365" t="s">
        <v>4641</v>
      </c>
      <c r="H112" s="316" t="s">
        <v>5207</v>
      </c>
      <c r="I112" s="316" t="s">
        <v>5201</v>
      </c>
      <c r="J112" s="316" t="s">
        <v>4852</v>
      </c>
      <c r="K112" s="319" t="s">
        <v>5205</v>
      </c>
      <c r="L112" s="376"/>
      <c r="M112" s="376"/>
      <c r="N112" s="400"/>
      <c r="O112" s="320">
        <v>52</v>
      </c>
    </row>
    <row r="113" spans="2:15" ht="69.900000000000006" customHeight="1" x14ac:dyDescent="0.25">
      <c r="B113" s="320">
        <v>103</v>
      </c>
      <c r="C113" s="320">
        <v>5</v>
      </c>
      <c r="D113" s="316" t="s">
        <v>5198</v>
      </c>
      <c r="E113" s="355" t="s">
        <v>5199</v>
      </c>
      <c r="F113" s="317">
        <v>312088731</v>
      </c>
      <c r="G113" s="366" t="s">
        <v>4876</v>
      </c>
      <c r="H113" s="316" t="s">
        <v>5200</v>
      </c>
      <c r="I113" s="316" t="s">
        <v>5201</v>
      </c>
      <c r="J113" s="316" t="s">
        <v>4879</v>
      </c>
      <c r="K113" s="319" t="s">
        <v>5202</v>
      </c>
      <c r="L113" s="376"/>
      <c r="M113" s="376"/>
      <c r="N113" s="400"/>
      <c r="O113" s="320">
        <v>52</v>
      </c>
    </row>
    <row r="114" spans="2:15" ht="69.900000000000006" customHeight="1" x14ac:dyDescent="0.25">
      <c r="B114" s="320">
        <v>107</v>
      </c>
      <c r="C114" s="320">
        <v>6</v>
      </c>
      <c r="D114" s="316" t="s">
        <v>5244</v>
      </c>
      <c r="E114" s="355" t="s">
        <v>5246</v>
      </c>
      <c r="F114" s="317">
        <v>11850000</v>
      </c>
      <c r="G114" s="383" t="s">
        <v>4852</v>
      </c>
      <c r="H114" s="318" t="s">
        <v>5247</v>
      </c>
      <c r="I114" s="316" t="s">
        <v>5245</v>
      </c>
      <c r="J114" s="316" t="s">
        <v>4852</v>
      </c>
      <c r="K114" s="319" t="s">
        <v>5248</v>
      </c>
      <c r="L114" s="376" t="s">
        <v>542</v>
      </c>
      <c r="M114" s="376" t="s">
        <v>5158</v>
      </c>
      <c r="N114" s="400" t="s">
        <v>5347</v>
      </c>
      <c r="O114" s="320">
        <v>52</v>
      </c>
    </row>
    <row r="115" spans="2:15" ht="69.900000000000006" customHeight="1" x14ac:dyDescent="0.25">
      <c r="B115" s="320">
        <v>108</v>
      </c>
      <c r="C115" s="320">
        <v>6</v>
      </c>
      <c r="D115" s="316" t="s">
        <v>5264</v>
      </c>
      <c r="E115" s="355" t="s">
        <v>5246</v>
      </c>
      <c r="F115" s="317">
        <v>8750000</v>
      </c>
      <c r="G115" s="383" t="s">
        <v>5123</v>
      </c>
      <c r="H115" s="318" t="s">
        <v>5265</v>
      </c>
      <c r="I115" s="316" t="s">
        <v>5245</v>
      </c>
      <c r="J115" s="316" t="s">
        <v>4852</v>
      </c>
      <c r="K115" s="319" t="s">
        <v>5266</v>
      </c>
      <c r="L115" s="376" t="s">
        <v>542</v>
      </c>
      <c r="M115" s="376" t="s">
        <v>5158</v>
      </c>
      <c r="N115" s="400" t="s">
        <v>5347</v>
      </c>
      <c r="O115" s="320">
        <v>52</v>
      </c>
    </row>
    <row r="116" spans="2:15" ht="69.900000000000006" customHeight="1" x14ac:dyDescent="0.25">
      <c r="B116" s="320">
        <v>109</v>
      </c>
      <c r="C116" s="320">
        <v>6</v>
      </c>
      <c r="D116" s="316" t="s">
        <v>5261</v>
      </c>
      <c r="E116" s="355" t="s">
        <v>5246</v>
      </c>
      <c r="F116" s="317">
        <v>136000000</v>
      </c>
      <c r="G116" s="383" t="s">
        <v>5123</v>
      </c>
      <c r="H116" s="318" t="s">
        <v>5262</v>
      </c>
      <c r="I116" s="316" t="s">
        <v>5245</v>
      </c>
      <c r="J116" s="316" t="s">
        <v>4852</v>
      </c>
      <c r="K116" s="319" t="s">
        <v>5263</v>
      </c>
      <c r="L116" s="376" t="s">
        <v>542</v>
      </c>
      <c r="M116" s="376" t="s">
        <v>5158</v>
      </c>
      <c r="N116" s="400" t="s">
        <v>5347</v>
      </c>
      <c r="O116" s="320">
        <v>52</v>
      </c>
    </row>
    <row r="117" spans="2:15" ht="69.900000000000006" customHeight="1" x14ac:dyDescent="0.25">
      <c r="B117" s="320">
        <v>110</v>
      </c>
      <c r="C117" s="320">
        <v>6</v>
      </c>
      <c r="D117" s="316" t="s">
        <v>5276</v>
      </c>
      <c r="E117" s="355" t="s">
        <v>5246</v>
      </c>
      <c r="F117" s="317">
        <v>202275000</v>
      </c>
      <c r="G117" s="383" t="s">
        <v>5123</v>
      </c>
      <c r="H117" s="318" t="s">
        <v>5277</v>
      </c>
      <c r="I117" s="316" t="s">
        <v>5245</v>
      </c>
      <c r="J117" s="316" t="s">
        <v>4852</v>
      </c>
      <c r="K117" s="319" t="s">
        <v>5278</v>
      </c>
      <c r="L117" s="376" t="s">
        <v>542</v>
      </c>
      <c r="M117" s="376" t="s">
        <v>5158</v>
      </c>
      <c r="N117" s="400" t="s">
        <v>5347</v>
      </c>
      <c r="O117" s="320">
        <v>52</v>
      </c>
    </row>
    <row r="118" spans="2:15" ht="69.900000000000006" customHeight="1" x14ac:dyDescent="0.25">
      <c r="B118" s="320">
        <v>111</v>
      </c>
      <c r="C118" s="320">
        <v>6</v>
      </c>
      <c r="D118" s="316" t="s">
        <v>5249</v>
      </c>
      <c r="E118" s="355" t="s">
        <v>5246</v>
      </c>
      <c r="F118" s="317">
        <v>32800000</v>
      </c>
      <c r="G118" s="383" t="s">
        <v>5123</v>
      </c>
      <c r="H118" s="318" t="s">
        <v>5250</v>
      </c>
      <c r="I118" s="316" t="s">
        <v>5245</v>
      </c>
      <c r="J118" s="316" t="s">
        <v>4852</v>
      </c>
      <c r="K118" s="319" t="s">
        <v>5251</v>
      </c>
      <c r="L118" s="376" t="s">
        <v>542</v>
      </c>
      <c r="M118" s="376" t="s">
        <v>5158</v>
      </c>
      <c r="N118" s="400" t="s">
        <v>5347</v>
      </c>
      <c r="O118" s="320">
        <v>52</v>
      </c>
    </row>
    <row r="119" spans="2:15" ht="69.900000000000006" customHeight="1" x14ac:dyDescent="0.25">
      <c r="B119" s="320">
        <v>112</v>
      </c>
      <c r="C119" s="320">
        <v>6</v>
      </c>
      <c r="D119" s="316" t="s">
        <v>5267</v>
      </c>
      <c r="E119" s="355" t="s">
        <v>5246</v>
      </c>
      <c r="F119" s="317">
        <v>39150000</v>
      </c>
      <c r="G119" s="383" t="s">
        <v>5123</v>
      </c>
      <c r="H119" s="318" t="s">
        <v>5268</v>
      </c>
      <c r="I119" s="316" t="s">
        <v>5245</v>
      </c>
      <c r="J119" s="316" t="s">
        <v>4852</v>
      </c>
      <c r="K119" s="319" t="s">
        <v>5269</v>
      </c>
      <c r="L119" s="376" t="s">
        <v>542</v>
      </c>
      <c r="M119" s="376" t="s">
        <v>5158</v>
      </c>
      <c r="N119" s="400" t="s">
        <v>5347</v>
      </c>
      <c r="O119" s="320">
        <v>52</v>
      </c>
    </row>
    <row r="120" spans="2:15" ht="69.900000000000006" customHeight="1" x14ac:dyDescent="0.25">
      <c r="B120" s="320">
        <v>113</v>
      </c>
      <c r="C120" s="320">
        <v>6</v>
      </c>
      <c r="D120" s="350" t="s">
        <v>5282</v>
      </c>
      <c r="E120" s="356" t="s">
        <v>5283</v>
      </c>
      <c r="F120" s="351">
        <v>180000000</v>
      </c>
      <c r="G120" s="388" t="s">
        <v>4852</v>
      </c>
      <c r="H120" s="350" t="s">
        <v>5284</v>
      </c>
      <c r="I120" s="350" t="s">
        <v>5246</v>
      </c>
      <c r="J120" s="350" t="s">
        <v>4852</v>
      </c>
      <c r="K120" s="352" t="s">
        <v>5285</v>
      </c>
      <c r="L120" s="376" t="s">
        <v>542</v>
      </c>
      <c r="M120" s="376" t="s">
        <v>5158</v>
      </c>
      <c r="N120" s="400" t="s">
        <v>5347</v>
      </c>
      <c r="O120" s="320">
        <v>52</v>
      </c>
    </row>
    <row r="121" spans="2:15" ht="69.900000000000006" customHeight="1" x14ac:dyDescent="0.25">
      <c r="B121" s="320">
        <v>114</v>
      </c>
      <c r="C121" s="320">
        <v>6</v>
      </c>
      <c r="D121" s="350" t="s">
        <v>5304</v>
      </c>
      <c r="E121" s="356" t="s">
        <v>5283</v>
      </c>
      <c r="F121" s="351">
        <v>30000000</v>
      </c>
      <c r="G121" s="383" t="s">
        <v>4852</v>
      </c>
      <c r="H121" s="350" t="s">
        <v>5305</v>
      </c>
      <c r="I121" s="350" t="s">
        <v>5246</v>
      </c>
      <c r="J121" s="350" t="s">
        <v>4852</v>
      </c>
      <c r="K121" s="352" t="s">
        <v>5306</v>
      </c>
      <c r="L121" s="376" t="s">
        <v>542</v>
      </c>
      <c r="M121" s="376" t="s">
        <v>5158</v>
      </c>
      <c r="N121" s="400" t="s">
        <v>5347</v>
      </c>
      <c r="O121" s="320">
        <v>52</v>
      </c>
    </row>
    <row r="122" spans="2:15" ht="69.900000000000006" customHeight="1" x14ac:dyDescent="0.25">
      <c r="B122" s="320">
        <v>115</v>
      </c>
      <c r="C122" s="320">
        <v>6</v>
      </c>
      <c r="D122" s="316" t="s">
        <v>5313</v>
      </c>
      <c r="E122" s="355" t="s">
        <v>5314</v>
      </c>
      <c r="F122" s="317">
        <v>6750000</v>
      </c>
      <c r="G122" s="383" t="s">
        <v>5123</v>
      </c>
      <c r="H122" s="316" t="s">
        <v>5315</v>
      </c>
      <c r="I122" s="316" t="s">
        <v>5246</v>
      </c>
      <c r="J122" s="316" t="s">
        <v>4852</v>
      </c>
      <c r="K122" s="352" t="s">
        <v>5316</v>
      </c>
      <c r="L122" s="376" t="s">
        <v>542</v>
      </c>
      <c r="M122" s="376" t="s">
        <v>5158</v>
      </c>
      <c r="N122" s="400" t="s">
        <v>5347</v>
      </c>
      <c r="O122" s="320">
        <v>52</v>
      </c>
    </row>
    <row r="123" spans="2:15" ht="69.900000000000006" customHeight="1" x14ac:dyDescent="0.25">
      <c r="B123" s="320">
        <v>116</v>
      </c>
      <c r="C123" s="320">
        <v>6</v>
      </c>
      <c r="D123" s="316" t="s">
        <v>5317</v>
      </c>
      <c r="E123" s="355" t="s">
        <v>5314</v>
      </c>
      <c r="F123" s="317">
        <v>14000000</v>
      </c>
      <c r="G123" s="383" t="s">
        <v>5123</v>
      </c>
      <c r="H123" s="316" t="s">
        <v>5318</v>
      </c>
      <c r="I123" s="316" t="s">
        <v>5246</v>
      </c>
      <c r="J123" s="316" t="s">
        <v>4852</v>
      </c>
      <c r="K123" s="352" t="s">
        <v>5319</v>
      </c>
      <c r="L123" s="376" t="s">
        <v>542</v>
      </c>
      <c r="M123" s="376" t="s">
        <v>5158</v>
      </c>
      <c r="N123" s="400" t="s">
        <v>5347</v>
      </c>
      <c r="O123" s="320">
        <v>52</v>
      </c>
    </row>
    <row r="124" spans="2:15" ht="69.900000000000006" customHeight="1" x14ac:dyDescent="0.25">
      <c r="B124" s="320">
        <v>117</v>
      </c>
      <c r="C124" s="320">
        <v>6</v>
      </c>
      <c r="D124" s="316" t="s">
        <v>5329</v>
      </c>
      <c r="E124" s="355" t="s">
        <v>5314</v>
      </c>
      <c r="F124" s="317">
        <v>185225000</v>
      </c>
      <c r="G124" s="383" t="s">
        <v>5123</v>
      </c>
      <c r="H124" s="316" t="s">
        <v>5330</v>
      </c>
      <c r="I124" s="316" t="s">
        <v>5246</v>
      </c>
      <c r="J124" s="316" t="s">
        <v>4852</v>
      </c>
      <c r="K124" s="352" t="s">
        <v>5331</v>
      </c>
      <c r="L124" s="376" t="s">
        <v>542</v>
      </c>
      <c r="M124" s="376" t="s">
        <v>5158</v>
      </c>
      <c r="N124" s="400" t="s">
        <v>5347</v>
      </c>
      <c r="O124" s="320">
        <v>52</v>
      </c>
    </row>
    <row r="125" spans="2:15" ht="69.900000000000006" customHeight="1" x14ac:dyDescent="0.25">
      <c r="B125" s="320">
        <v>118</v>
      </c>
      <c r="C125" s="320">
        <v>6</v>
      </c>
      <c r="D125" s="316" t="s">
        <v>5323</v>
      </c>
      <c r="E125" s="355" t="s">
        <v>5314</v>
      </c>
      <c r="F125" s="317">
        <v>436225000</v>
      </c>
      <c r="G125" s="383" t="s">
        <v>5123</v>
      </c>
      <c r="H125" s="316" t="s">
        <v>5324</v>
      </c>
      <c r="I125" s="316" t="s">
        <v>5246</v>
      </c>
      <c r="J125" s="316" t="s">
        <v>4852</v>
      </c>
      <c r="K125" s="352" t="s">
        <v>5325</v>
      </c>
      <c r="L125" s="376" t="s">
        <v>542</v>
      </c>
      <c r="M125" s="376" t="s">
        <v>5158</v>
      </c>
      <c r="N125" s="400" t="s">
        <v>5347</v>
      </c>
      <c r="O125" s="320">
        <v>52</v>
      </c>
    </row>
    <row r="126" spans="2:15" ht="69.900000000000006" customHeight="1" x14ac:dyDescent="0.25">
      <c r="B126" s="320">
        <v>119</v>
      </c>
      <c r="C126" s="320">
        <v>6</v>
      </c>
      <c r="D126" s="316" t="s">
        <v>5344</v>
      </c>
      <c r="E126" s="355" t="s">
        <v>5314</v>
      </c>
      <c r="F126" s="317">
        <v>9000000</v>
      </c>
      <c r="G126" s="383" t="s">
        <v>5123</v>
      </c>
      <c r="H126" s="316" t="s">
        <v>5345</v>
      </c>
      <c r="I126" s="316" t="s">
        <v>5283</v>
      </c>
      <c r="J126" s="316" t="s">
        <v>4852</v>
      </c>
      <c r="K126" s="352" t="s">
        <v>5346</v>
      </c>
      <c r="L126" s="376" t="s">
        <v>542</v>
      </c>
      <c r="M126" s="376" t="s">
        <v>5158</v>
      </c>
      <c r="N126" s="400" t="s">
        <v>5347</v>
      </c>
      <c r="O126" s="320">
        <v>52</v>
      </c>
    </row>
    <row r="127" spans="2:15" ht="69.900000000000006" customHeight="1" x14ac:dyDescent="0.25">
      <c r="B127" s="320">
        <v>120</v>
      </c>
      <c r="C127" s="320">
        <v>6</v>
      </c>
      <c r="D127" s="316" t="s">
        <v>5335</v>
      </c>
      <c r="E127" s="355" t="s">
        <v>5314</v>
      </c>
      <c r="F127" s="317">
        <v>36000000</v>
      </c>
      <c r="G127" s="383" t="s">
        <v>5123</v>
      </c>
      <c r="H127" s="316" t="s">
        <v>5336</v>
      </c>
      <c r="I127" s="316" t="s">
        <v>5283</v>
      </c>
      <c r="J127" s="316" t="s">
        <v>4852</v>
      </c>
      <c r="K127" s="352" t="s">
        <v>5337</v>
      </c>
      <c r="L127" s="376" t="s">
        <v>542</v>
      </c>
      <c r="M127" s="376" t="s">
        <v>5158</v>
      </c>
      <c r="N127" s="400" t="s">
        <v>5347</v>
      </c>
      <c r="O127" s="320">
        <v>52</v>
      </c>
    </row>
    <row r="128" spans="2:15" ht="69.900000000000006" customHeight="1" x14ac:dyDescent="0.25">
      <c r="B128" s="320">
        <v>121</v>
      </c>
      <c r="C128" s="320">
        <v>6</v>
      </c>
      <c r="D128" s="316" t="s">
        <v>5332</v>
      </c>
      <c r="E128" s="355" t="s">
        <v>5314</v>
      </c>
      <c r="F128" s="317">
        <v>46500000</v>
      </c>
      <c r="G128" s="383" t="s">
        <v>5123</v>
      </c>
      <c r="H128" s="316" t="s">
        <v>5333</v>
      </c>
      <c r="I128" s="316" t="s">
        <v>5283</v>
      </c>
      <c r="J128" s="316" t="s">
        <v>4852</v>
      </c>
      <c r="K128" s="352" t="s">
        <v>5334</v>
      </c>
      <c r="L128" s="376" t="s">
        <v>542</v>
      </c>
      <c r="M128" s="376" t="s">
        <v>5158</v>
      </c>
      <c r="N128" s="400" t="s">
        <v>5347</v>
      </c>
      <c r="O128" s="320">
        <v>52</v>
      </c>
    </row>
    <row r="129" spans="2:15" ht="69.900000000000006" customHeight="1" x14ac:dyDescent="0.25">
      <c r="B129" s="320">
        <v>122</v>
      </c>
      <c r="C129" s="320">
        <v>6</v>
      </c>
      <c r="D129" s="316" t="s">
        <v>5326</v>
      </c>
      <c r="E129" s="355" t="s">
        <v>5314</v>
      </c>
      <c r="F129" s="317">
        <v>10000000</v>
      </c>
      <c r="G129" s="383" t="s">
        <v>5123</v>
      </c>
      <c r="H129" s="316" t="s">
        <v>5327</v>
      </c>
      <c r="I129" s="316" t="s">
        <v>5283</v>
      </c>
      <c r="J129" s="316" t="s">
        <v>4852</v>
      </c>
      <c r="K129" s="352" t="s">
        <v>5328</v>
      </c>
      <c r="L129" s="376" t="s">
        <v>542</v>
      </c>
      <c r="M129" s="376" t="s">
        <v>5158</v>
      </c>
      <c r="N129" s="400" t="s">
        <v>5347</v>
      </c>
      <c r="O129" s="320">
        <v>52</v>
      </c>
    </row>
    <row r="130" spans="2:15" ht="69.900000000000006" customHeight="1" x14ac:dyDescent="0.25">
      <c r="B130" s="320">
        <v>123</v>
      </c>
      <c r="C130" s="320">
        <v>6</v>
      </c>
      <c r="D130" s="316" t="s">
        <v>5341</v>
      </c>
      <c r="E130" s="355" t="s">
        <v>5314</v>
      </c>
      <c r="F130" s="317">
        <v>15500000</v>
      </c>
      <c r="G130" s="383" t="s">
        <v>5123</v>
      </c>
      <c r="H130" s="316" t="s">
        <v>5342</v>
      </c>
      <c r="I130" s="316" t="s">
        <v>5283</v>
      </c>
      <c r="J130" s="316" t="s">
        <v>4852</v>
      </c>
      <c r="K130" s="352" t="s">
        <v>5343</v>
      </c>
      <c r="L130" s="376" t="s">
        <v>542</v>
      </c>
      <c r="M130" s="376" t="s">
        <v>5158</v>
      </c>
      <c r="N130" s="400" t="s">
        <v>5347</v>
      </c>
      <c r="O130" s="320">
        <v>52</v>
      </c>
    </row>
    <row r="131" spans="2:15" ht="69.900000000000006" customHeight="1" x14ac:dyDescent="0.25">
      <c r="B131" s="320">
        <v>124</v>
      </c>
      <c r="C131" s="320">
        <v>6</v>
      </c>
      <c r="D131" s="316" t="s">
        <v>5320</v>
      </c>
      <c r="E131" s="355" t="s">
        <v>5314</v>
      </c>
      <c r="F131" s="317">
        <v>25000000</v>
      </c>
      <c r="G131" s="383" t="s">
        <v>5123</v>
      </c>
      <c r="H131" s="316" t="s">
        <v>5321</v>
      </c>
      <c r="I131" s="316" t="s">
        <v>5283</v>
      </c>
      <c r="J131" s="316" t="s">
        <v>4852</v>
      </c>
      <c r="K131" s="352" t="s">
        <v>5322</v>
      </c>
      <c r="L131" s="376" t="s">
        <v>542</v>
      </c>
      <c r="M131" s="376" t="s">
        <v>5158</v>
      </c>
      <c r="N131" s="400" t="s">
        <v>5347</v>
      </c>
      <c r="O131" s="320">
        <v>52</v>
      </c>
    </row>
    <row r="132" spans="2:15" ht="69.900000000000006" customHeight="1" x14ac:dyDescent="0.25">
      <c r="B132" s="320">
        <v>125</v>
      </c>
      <c r="C132" s="320">
        <v>6</v>
      </c>
      <c r="D132" s="316" t="s">
        <v>5357</v>
      </c>
      <c r="E132" s="355" t="s">
        <v>5354</v>
      </c>
      <c r="F132" s="317">
        <v>30000000</v>
      </c>
      <c r="G132" s="383" t="s">
        <v>4852</v>
      </c>
      <c r="H132" s="316" t="s">
        <v>5358</v>
      </c>
      <c r="I132" s="316" t="s">
        <v>5246</v>
      </c>
      <c r="J132" s="316" t="s">
        <v>4852</v>
      </c>
      <c r="K132" s="319" t="s">
        <v>5359</v>
      </c>
      <c r="L132" s="376" t="s">
        <v>542</v>
      </c>
      <c r="M132" s="376" t="s">
        <v>5158</v>
      </c>
      <c r="N132" s="400" t="s">
        <v>5347</v>
      </c>
      <c r="O132" s="320">
        <v>52</v>
      </c>
    </row>
    <row r="133" spans="2:15" ht="69.900000000000006" customHeight="1" x14ac:dyDescent="0.25">
      <c r="B133" s="320">
        <v>126</v>
      </c>
      <c r="C133" s="320">
        <v>6</v>
      </c>
      <c r="D133" s="316" t="s">
        <v>5362</v>
      </c>
      <c r="E133" s="355" t="s">
        <v>5354</v>
      </c>
      <c r="F133" s="317">
        <v>55500000</v>
      </c>
      <c r="G133" s="383" t="s">
        <v>5123</v>
      </c>
      <c r="H133" s="316" t="s">
        <v>5363</v>
      </c>
      <c r="I133" s="316" t="s">
        <v>5246</v>
      </c>
      <c r="J133" s="316" t="s">
        <v>4852</v>
      </c>
      <c r="K133" s="319" t="s">
        <v>5364</v>
      </c>
      <c r="L133" s="376" t="s">
        <v>542</v>
      </c>
      <c r="M133" s="376" t="s">
        <v>5158</v>
      </c>
      <c r="N133" s="400" t="s">
        <v>5347</v>
      </c>
      <c r="O133" s="320">
        <v>52</v>
      </c>
    </row>
    <row r="134" spans="2:15" ht="69.900000000000006" customHeight="1" x14ac:dyDescent="0.25">
      <c r="B134" s="320">
        <v>127</v>
      </c>
      <c r="C134" s="320">
        <v>6</v>
      </c>
      <c r="D134" s="316" t="s">
        <v>5365</v>
      </c>
      <c r="E134" s="355" t="s">
        <v>5354</v>
      </c>
      <c r="F134" s="317">
        <v>152000000</v>
      </c>
      <c r="G134" s="383" t="s">
        <v>5123</v>
      </c>
      <c r="H134" s="316" t="s">
        <v>5366</v>
      </c>
      <c r="I134" s="316" t="s">
        <v>5246</v>
      </c>
      <c r="J134" s="316" t="s">
        <v>4852</v>
      </c>
      <c r="K134" s="319" t="s">
        <v>5367</v>
      </c>
      <c r="L134" s="376" t="s">
        <v>542</v>
      </c>
      <c r="M134" s="376" t="s">
        <v>5158</v>
      </c>
      <c r="N134" s="400" t="s">
        <v>5347</v>
      </c>
      <c r="O134" s="320">
        <v>52</v>
      </c>
    </row>
    <row r="135" spans="2:15" ht="69.900000000000006" customHeight="1" x14ac:dyDescent="0.25">
      <c r="B135" s="320">
        <v>128</v>
      </c>
      <c r="C135" s="320">
        <v>6</v>
      </c>
      <c r="D135" s="316" t="s">
        <v>5368</v>
      </c>
      <c r="E135" s="355" t="s">
        <v>5354</v>
      </c>
      <c r="F135" s="317">
        <v>16250000</v>
      </c>
      <c r="G135" s="383" t="s">
        <v>5123</v>
      </c>
      <c r="H135" s="316" t="s">
        <v>5369</v>
      </c>
      <c r="I135" s="316" t="s">
        <v>5246</v>
      </c>
      <c r="J135" s="316" t="s">
        <v>4852</v>
      </c>
      <c r="K135" s="319" t="s">
        <v>5370</v>
      </c>
      <c r="L135" s="376" t="s">
        <v>542</v>
      </c>
      <c r="M135" s="376" t="s">
        <v>5158</v>
      </c>
      <c r="N135" s="400" t="s">
        <v>5347</v>
      </c>
      <c r="O135" s="320">
        <v>52</v>
      </c>
    </row>
    <row r="136" spans="2:15" ht="69.900000000000006" customHeight="1" x14ac:dyDescent="0.25">
      <c r="B136" s="320">
        <v>104</v>
      </c>
      <c r="C136" s="320">
        <v>6</v>
      </c>
      <c r="D136" s="316" t="s">
        <v>5234</v>
      </c>
      <c r="E136" s="355" t="s">
        <v>5235</v>
      </c>
      <c r="F136" s="351">
        <v>210863345</v>
      </c>
      <c r="G136" s="368" t="s">
        <v>5007</v>
      </c>
      <c r="H136" s="397" t="s">
        <v>5236</v>
      </c>
      <c r="I136" s="316" t="s">
        <v>5170</v>
      </c>
      <c r="J136" s="316" t="s">
        <v>4866</v>
      </c>
      <c r="K136" s="319" t="s">
        <v>5237</v>
      </c>
      <c r="L136" s="376" t="s">
        <v>576</v>
      </c>
      <c r="M136" s="376" t="s">
        <v>5159</v>
      </c>
      <c r="N136" s="400" t="s">
        <v>5348</v>
      </c>
      <c r="O136" s="320">
        <v>51</v>
      </c>
    </row>
    <row r="137" spans="2:15" ht="69.900000000000006" customHeight="1" x14ac:dyDescent="0.25">
      <c r="B137" s="320">
        <v>105</v>
      </c>
      <c r="C137" s="320">
        <v>6</v>
      </c>
      <c r="D137" s="316" t="s">
        <v>5238</v>
      </c>
      <c r="E137" s="355" t="s">
        <v>5235</v>
      </c>
      <c r="F137" s="351">
        <v>4697567</v>
      </c>
      <c r="G137" s="368" t="s">
        <v>5007</v>
      </c>
      <c r="H137" s="397" t="s">
        <v>5239</v>
      </c>
      <c r="I137" s="316" t="s">
        <v>5170</v>
      </c>
      <c r="J137" s="316" t="s">
        <v>4866</v>
      </c>
      <c r="K137" s="319" t="s">
        <v>5240</v>
      </c>
      <c r="L137" s="376" t="s">
        <v>576</v>
      </c>
      <c r="M137" s="376" t="s">
        <v>5159</v>
      </c>
      <c r="N137" s="400" t="s">
        <v>5348</v>
      </c>
      <c r="O137" s="320">
        <v>51</v>
      </c>
    </row>
    <row r="138" spans="2:15" ht="69.900000000000006" customHeight="1" x14ac:dyDescent="0.25">
      <c r="B138" s="320">
        <v>106</v>
      </c>
      <c r="C138" s="320">
        <v>6</v>
      </c>
      <c r="D138" s="316" t="s">
        <v>5353</v>
      </c>
      <c r="E138" s="355" t="s">
        <v>5354</v>
      </c>
      <c r="F138" s="317">
        <v>241668914</v>
      </c>
      <c r="G138" s="368" t="s">
        <v>4852</v>
      </c>
      <c r="H138" s="316" t="s">
        <v>5355</v>
      </c>
      <c r="I138" s="316" t="s">
        <v>5314</v>
      </c>
      <c r="J138" s="316" t="s">
        <v>4852</v>
      </c>
      <c r="K138" s="319" t="s">
        <v>5356</v>
      </c>
      <c r="L138" s="376" t="s">
        <v>576</v>
      </c>
      <c r="M138" s="376" t="s">
        <v>5159</v>
      </c>
      <c r="N138" s="399" t="s">
        <v>5348</v>
      </c>
      <c r="O138" s="320">
        <v>51</v>
      </c>
    </row>
    <row r="139" spans="2:15" ht="69.900000000000006" customHeight="1" x14ac:dyDescent="0.25">
      <c r="B139" s="320">
        <v>129</v>
      </c>
      <c r="C139" s="320">
        <v>6</v>
      </c>
      <c r="D139" s="316" t="s">
        <v>5241</v>
      </c>
      <c r="E139" s="355" t="s">
        <v>5235</v>
      </c>
      <c r="F139" s="351">
        <v>63640000</v>
      </c>
      <c r="G139" s="363" t="s">
        <v>4863</v>
      </c>
      <c r="H139" s="397" t="s">
        <v>5242</v>
      </c>
      <c r="I139" s="316" t="s">
        <v>5184</v>
      </c>
      <c r="J139" s="316" t="s">
        <v>4866</v>
      </c>
      <c r="K139" s="319" t="s">
        <v>5243</v>
      </c>
      <c r="L139" s="376" t="s">
        <v>576</v>
      </c>
      <c r="M139" s="376" t="s">
        <v>5157</v>
      </c>
      <c r="N139" s="400" t="s">
        <v>5349</v>
      </c>
      <c r="O139" s="320">
        <v>52</v>
      </c>
    </row>
    <row r="140" spans="2:15" ht="69.900000000000006" customHeight="1" x14ac:dyDescent="0.25">
      <c r="B140" s="320">
        <v>130</v>
      </c>
      <c r="C140" s="320">
        <v>6</v>
      </c>
      <c r="D140" s="316" t="s">
        <v>5279</v>
      </c>
      <c r="E140" s="355" t="s">
        <v>5246</v>
      </c>
      <c r="F140" s="317">
        <v>3000000</v>
      </c>
      <c r="G140" s="384" t="s">
        <v>4852</v>
      </c>
      <c r="H140" s="318" t="s">
        <v>5280</v>
      </c>
      <c r="I140" s="316" t="s">
        <v>5201</v>
      </c>
      <c r="J140" s="316" t="s">
        <v>4852</v>
      </c>
      <c r="K140" s="319" t="s">
        <v>5281</v>
      </c>
      <c r="L140" s="387" t="s">
        <v>531</v>
      </c>
      <c r="M140" s="387" t="s">
        <v>5192</v>
      </c>
      <c r="N140" s="400"/>
      <c r="O140" s="320">
        <v>52</v>
      </c>
    </row>
    <row r="141" spans="2:15" ht="69.900000000000006" customHeight="1" x14ac:dyDescent="0.25">
      <c r="B141" s="320">
        <v>131</v>
      </c>
      <c r="C141" s="320">
        <v>6</v>
      </c>
      <c r="D141" s="350" t="s">
        <v>5298</v>
      </c>
      <c r="E141" s="356" t="s">
        <v>5283</v>
      </c>
      <c r="F141" s="351">
        <v>6450000</v>
      </c>
      <c r="G141" s="384" t="s">
        <v>4852</v>
      </c>
      <c r="H141" s="350" t="s">
        <v>5299</v>
      </c>
      <c r="I141" s="350" t="s">
        <v>5246</v>
      </c>
      <c r="J141" s="350" t="s">
        <v>4852</v>
      </c>
      <c r="K141" s="352" t="s">
        <v>5300</v>
      </c>
      <c r="L141" s="376" t="s">
        <v>542</v>
      </c>
      <c r="M141" s="376" t="s">
        <v>5158</v>
      </c>
      <c r="N141" s="400"/>
      <c r="O141" s="320">
        <v>52</v>
      </c>
    </row>
    <row r="142" spans="2:15" ht="69.900000000000006" customHeight="1" x14ac:dyDescent="0.25">
      <c r="B142" s="320">
        <v>132</v>
      </c>
      <c r="C142" s="320">
        <v>6</v>
      </c>
      <c r="D142" s="316" t="s">
        <v>5270</v>
      </c>
      <c r="E142" s="355" t="s">
        <v>5246</v>
      </c>
      <c r="F142" s="317">
        <v>11343740</v>
      </c>
      <c r="G142" s="384" t="s">
        <v>4852</v>
      </c>
      <c r="H142" s="318" t="s">
        <v>5271</v>
      </c>
      <c r="I142" s="316" t="s">
        <v>5245</v>
      </c>
      <c r="J142" s="316" t="s">
        <v>4852</v>
      </c>
      <c r="K142" s="319" t="s">
        <v>5272</v>
      </c>
      <c r="L142" s="376" t="s">
        <v>535</v>
      </c>
      <c r="M142" s="376" t="s">
        <v>5194</v>
      </c>
      <c r="N142" s="400"/>
      <c r="O142" s="320">
        <v>52</v>
      </c>
    </row>
    <row r="143" spans="2:15" ht="69.900000000000006" customHeight="1" x14ac:dyDescent="0.25">
      <c r="B143" s="320">
        <v>133</v>
      </c>
      <c r="C143" s="320">
        <v>6</v>
      </c>
      <c r="D143" s="316" t="s">
        <v>5255</v>
      </c>
      <c r="E143" s="355" t="s">
        <v>5246</v>
      </c>
      <c r="F143" s="317">
        <v>2118000</v>
      </c>
      <c r="G143" s="384" t="s">
        <v>4852</v>
      </c>
      <c r="H143" s="318" t="s">
        <v>5256</v>
      </c>
      <c r="I143" s="316" t="s">
        <v>5245</v>
      </c>
      <c r="J143" s="316" t="s">
        <v>4852</v>
      </c>
      <c r="K143" s="319" t="s">
        <v>5257</v>
      </c>
      <c r="L143" s="376" t="s">
        <v>542</v>
      </c>
      <c r="M143" s="376" t="s">
        <v>5195</v>
      </c>
      <c r="N143" s="400"/>
      <c r="O143" s="320">
        <v>52</v>
      </c>
    </row>
    <row r="144" spans="2:15" ht="69.900000000000006" customHeight="1" x14ac:dyDescent="0.25">
      <c r="B144" s="320">
        <v>134</v>
      </c>
      <c r="C144" s="320">
        <v>6</v>
      </c>
      <c r="D144" s="316" t="s">
        <v>5273</v>
      </c>
      <c r="E144" s="355" t="s">
        <v>5246</v>
      </c>
      <c r="F144" s="317">
        <v>11404870</v>
      </c>
      <c r="G144" s="384" t="s">
        <v>4852</v>
      </c>
      <c r="H144" s="318" t="s">
        <v>5274</v>
      </c>
      <c r="I144" s="316" t="s">
        <v>5245</v>
      </c>
      <c r="J144" s="316" t="s">
        <v>4852</v>
      </c>
      <c r="K144" s="319" t="s">
        <v>5275</v>
      </c>
      <c r="L144" s="376" t="s">
        <v>535</v>
      </c>
      <c r="M144" s="376" t="s">
        <v>5194</v>
      </c>
      <c r="N144" s="400"/>
      <c r="O144" s="320">
        <v>52</v>
      </c>
    </row>
    <row r="145" spans="2:15" ht="69.900000000000006" customHeight="1" x14ac:dyDescent="0.25">
      <c r="B145" s="320">
        <v>135</v>
      </c>
      <c r="C145" s="320">
        <v>6</v>
      </c>
      <c r="D145" s="316" t="s">
        <v>5258</v>
      </c>
      <c r="E145" s="355" t="s">
        <v>5246</v>
      </c>
      <c r="F145" s="317">
        <v>7200000</v>
      </c>
      <c r="G145" s="384" t="s">
        <v>4852</v>
      </c>
      <c r="H145" s="318" t="s">
        <v>5259</v>
      </c>
      <c r="I145" s="316" t="s">
        <v>5245</v>
      </c>
      <c r="J145" s="316" t="s">
        <v>4852</v>
      </c>
      <c r="K145" s="319" t="s">
        <v>5260</v>
      </c>
      <c r="L145" s="376" t="s">
        <v>535</v>
      </c>
      <c r="M145" s="376" t="s">
        <v>5191</v>
      </c>
      <c r="N145" s="400"/>
      <c r="O145" s="320">
        <v>52</v>
      </c>
    </row>
    <row r="146" spans="2:15" ht="69.900000000000006" customHeight="1" x14ac:dyDescent="0.25">
      <c r="B146" s="320">
        <v>136</v>
      </c>
      <c r="C146" s="320">
        <v>6</v>
      </c>
      <c r="D146" s="316" t="s">
        <v>5252</v>
      </c>
      <c r="E146" s="355" t="s">
        <v>5246</v>
      </c>
      <c r="F146" s="317">
        <v>10500000</v>
      </c>
      <c r="G146" s="384" t="s">
        <v>4852</v>
      </c>
      <c r="H146" s="318" t="s">
        <v>5253</v>
      </c>
      <c r="I146" s="316" t="s">
        <v>5245</v>
      </c>
      <c r="J146" s="316" t="s">
        <v>4852</v>
      </c>
      <c r="K146" s="319" t="s">
        <v>5254</v>
      </c>
      <c r="L146" s="376" t="s">
        <v>542</v>
      </c>
      <c r="M146" s="376" t="s">
        <v>5158</v>
      </c>
      <c r="N146" s="400"/>
      <c r="O146" s="320">
        <v>52</v>
      </c>
    </row>
    <row r="147" spans="2:15" ht="69.900000000000006" customHeight="1" x14ac:dyDescent="0.25">
      <c r="B147" s="320">
        <v>137</v>
      </c>
      <c r="C147" s="320">
        <v>6</v>
      </c>
      <c r="D147" s="350" t="s">
        <v>5307</v>
      </c>
      <c r="E147" s="356" t="s">
        <v>5283</v>
      </c>
      <c r="F147" s="351">
        <v>1650000</v>
      </c>
      <c r="G147" s="384" t="s">
        <v>4852</v>
      </c>
      <c r="H147" s="350" t="s">
        <v>5308</v>
      </c>
      <c r="I147" s="350" t="s">
        <v>5246</v>
      </c>
      <c r="J147" s="350" t="s">
        <v>4852</v>
      </c>
      <c r="K147" s="352" t="s">
        <v>5309</v>
      </c>
      <c r="L147" s="376" t="s">
        <v>535</v>
      </c>
      <c r="M147" s="376" t="s">
        <v>5194</v>
      </c>
      <c r="N147" s="320"/>
      <c r="O147" s="320">
        <v>52</v>
      </c>
    </row>
    <row r="148" spans="2:15" ht="69.900000000000006" customHeight="1" x14ac:dyDescent="0.25">
      <c r="B148" s="320">
        <v>138</v>
      </c>
      <c r="C148" s="320">
        <v>6</v>
      </c>
      <c r="D148" s="350" t="s">
        <v>5310</v>
      </c>
      <c r="E148" s="356" t="s">
        <v>5283</v>
      </c>
      <c r="F148" s="351">
        <v>4074431</v>
      </c>
      <c r="G148" s="384" t="s">
        <v>4852</v>
      </c>
      <c r="H148" s="350" t="s">
        <v>5311</v>
      </c>
      <c r="I148" s="350" t="s">
        <v>5246</v>
      </c>
      <c r="J148" s="350" t="s">
        <v>4852</v>
      </c>
      <c r="K148" s="352" t="s">
        <v>5312</v>
      </c>
      <c r="L148" s="376" t="s">
        <v>542</v>
      </c>
      <c r="M148" s="376" t="s">
        <v>5195</v>
      </c>
      <c r="N148" s="320"/>
      <c r="O148" s="320">
        <v>52</v>
      </c>
    </row>
    <row r="149" spans="2:15" ht="69.900000000000006" customHeight="1" x14ac:dyDescent="0.25">
      <c r="B149" s="320">
        <v>139</v>
      </c>
      <c r="C149" s="320">
        <v>6</v>
      </c>
      <c r="D149" s="350" t="s">
        <v>5289</v>
      </c>
      <c r="E149" s="356" t="s">
        <v>5283</v>
      </c>
      <c r="F149" s="351">
        <v>15880573</v>
      </c>
      <c r="G149" s="389" t="s">
        <v>4852</v>
      </c>
      <c r="H149" s="350" t="s">
        <v>5290</v>
      </c>
      <c r="I149" s="350" t="s">
        <v>5246</v>
      </c>
      <c r="J149" s="350" t="s">
        <v>4852</v>
      </c>
      <c r="K149" s="352" t="s">
        <v>5291</v>
      </c>
      <c r="L149" s="376" t="s">
        <v>542</v>
      </c>
      <c r="M149" s="376" t="s">
        <v>5158</v>
      </c>
      <c r="N149" s="320"/>
      <c r="O149" s="320">
        <v>52</v>
      </c>
    </row>
    <row r="150" spans="2:15" ht="69.900000000000006" customHeight="1" x14ac:dyDescent="0.25">
      <c r="B150" s="320">
        <v>140</v>
      </c>
      <c r="C150" s="320">
        <v>6</v>
      </c>
      <c r="D150" s="316" t="s">
        <v>5338</v>
      </c>
      <c r="E150" s="355" t="s">
        <v>5314</v>
      </c>
      <c r="F150" s="317">
        <v>3700700</v>
      </c>
      <c r="G150" s="384" t="s">
        <v>4852</v>
      </c>
      <c r="H150" s="316" t="s">
        <v>5339</v>
      </c>
      <c r="I150" s="316" t="s">
        <v>5246</v>
      </c>
      <c r="J150" s="316" t="s">
        <v>4852</v>
      </c>
      <c r="K150" s="352" t="s">
        <v>5340</v>
      </c>
      <c r="L150" s="376" t="s">
        <v>535</v>
      </c>
      <c r="M150" s="376" t="s">
        <v>5194</v>
      </c>
      <c r="N150" s="320"/>
      <c r="O150" s="320">
        <v>52</v>
      </c>
    </row>
    <row r="151" spans="2:15" ht="69.900000000000006" customHeight="1" x14ac:dyDescent="0.25">
      <c r="B151" s="320">
        <v>141</v>
      </c>
      <c r="C151" s="320">
        <v>6</v>
      </c>
      <c r="D151" s="350" t="s">
        <v>5286</v>
      </c>
      <c r="E151" s="356" t="s">
        <v>5283</v>
      </c>
      <c r="F151" s="351">
        <v>3840000</v>
      </c>
      <c r="G151" s="389" t="s">
        <v>4852</v>
      </c>
      <c r="H151" s="350" t="s">
        <v>5287</v>
      </c>
      <c r="I151" s="350" t="s">
        <v>5246</v>
      </c>
      <c r="J151" s="350" t="s">
        <v>4852</v>
      </c>
      <c r="K151" s="352" t="s">
        <v>5288</v>
      </c>
      <c r="L151" s="376" t="s">
        <v>542</v>
      </c>
      <c r="M151" s="376" t="s">
        <v>5158</v>
      </c>
      <c r="N151" s="320"/>
      <c r="O151" s="320">
        <v>52</v>
      </c>
    </row>
    <row r="152" spans="2:15" ht="69.900000000000006" customHeight="1" x14ac:dyDescent="0.25">
      <c r="B152" s="320">
        <v>142</v>
      </c>
      <c r="C152" s="320">
        <v>6</v>
      </c>
      <c r="D152" s="350" t="s">
        <v>5295</v>
      </c>
      <c r="E152" s="356" t="s">
        <v>5283</v>
      </c>
      <c r="F152" s="351">
        <v>25425327</v>
      </c>
      <c r="G152" s="389" t="s">
        <v>4852</v>
      </c>
      <c r="H152" s="350" t="s">
        <v>5296</v>
      </c>
      <c r="I152" s="350" t="s">
        <v>5246</v>
      </c>
      <c r="J152" s="350" t="s">
        <v>4852</v>
      </c>
      <c r="K152" s="352" t="s">
        <v>5297</v>
      </c>
      <c r="L152" s="376" t="s">
        <v>531</v>
      </c>
      <c r="M152" s="376" t="s">
        <v>5192</v>
      </c>
      <c r="N152" s="320"/>
      <c r="O152" s="320">
        <v>52</v>
      </c>
    </row>
    <row r="153" spans="2:15" ht="69.900000000000006" customHeight="1" x14ac:dyDescent="0.25">
      <c r="B153" s="320">
        <v>143</v>
      </c>
      <c r="C153" s="320">
        <v>6</v>
      </c>
      <c r="D153" s="350" t="s">
        <v>5292</v>
      </c>
      <c r="E153" s="356" t="s">
        <v>5283</v>
      </c>
      <c r="F153" s="351">
        <v>15508650</v>
      </c>
      <c r="G153" s="389" t="s">
        <v>4852</v>
      </c>
      <c r="H153" s="350" t="s">
        <v>5293</v>
      </c>
      <c r="I153" s="350" t="s">
        <v>5246</v>
      </c>
      <c r="J153" s="350" t="s">
        <v>4852</v>
      </c>
      <c r="K153" s="352" t="s">
        <v>5294</v>
      </c>
      <c r="L153" s="376" t="s">
        <v>535</v>
      </c>
      <c r="M153" s="376" t="s">
        <v>5191</v>
      </c>
      <c r="N153" s="320"/>
      <c r="O153" s="320">
        <v>52</v>
      </c>
    </row>
    <row r="154" spans="2:15" ht="69.900000000000006" customHeight="1" x14ac:dyDescent="0.25">
      <c r="B154" s="320">
        <v>144</v>
      </c>
      <c r="C154" s="320">
        <v>6</v>
      </c>
      <c r="D154" s="350" t="s">
        <v>5301</v>
      </c>
      <c r="E154" s="356" t="s">
        <v>5283</v>
      </c>
      <c r="F154" s="351">
        <v>27294800</v>
      </c>
      <c r="G154" s="384" t="s">
        <v>4852</v>
      </c>
      <c r="H154" s="350" t="s">
        <v>5302</v>
      </c>
      <c r="I154" s="350" t="s">
        <v>5246</v>
      </c>
      <c r="J154" s="350" t="s">
        <v>4852</v>
      </c>
      <c r="K154" s="352" t="s">
        <v>5303</v>
      </c>
      <c r="L154" s="376" t="s">
        <v>535</v>
      </c>
      <c r="M154" s="376" t="s">
        <v>5191</v>
      </c>
      <c r="N154" s="320"/>
      <c r="O154" s="320">
        <v>52</v>
      </c>
    </row>
    <row r="155" spans="2:15" ht="69.900000000000006" customHeight="1" x14ac:dyDescent="0.25">
      <c r="B155" s="320">
        <v>145</v>
      </c>
      <c r="C155" s="320">
        <v>6</v>
      </c>
      <c r="D155" s="316" t="s">
        <v>5360</v>
      </c>
      <c r="E155" s="355" t="s">
        <v>5354</v>
      </c>
      <c r="F155" s="317">
        <v>7559500</v>
      </c>
      <c r="G155" s="366" t="s">
        <v>4876</v>
      </c>
      <c r="H155" s="316" t="s">
        <v>5361</v>
      </c>
      <c r="I155" s="316" t="s">
        <v>5314</v>
      </c>
      <c r="J155" s="316" t="s">
        <v>4879</v>
      </c>
      <c r="K155" s="319" t="s">
        <v>5202</v>
      </c>
      <c r="L155" s="376"/>
      <c r="M155" s="376"/>
      <c r="N155" s="399"/>
      <c r="O155" s="320">
        <v>52</v>
      </c>
    </row>
    <row r="156" spans="2:15" ht="69.900000000000006" customHeight="1" x14ac:dyDescent="0.25">
      <c r="B156" s="320">
        <v>146</v>
      </c>
      <c r="C156" s="320">
        <v>6</v>
      </c>
      <c r="D156" s="404" t="s">
        <v>5376</v>
      </c>
      <c r="E156" s="405" t="s">
        <v>5377</v>
      </c>
      <c r="F156" s="406">
        <v>136770850</v>
      </c>
      <c r="G156" s="383" t="s">
        <v>4852</v>
      </c>
      <c r="H156" s="404" t="s">
        <v>5378</v>
      </c>
      <c r="I156" s="404" t="s">
        <v>5379</v>
      </c>
      <c r="J156" s="404" t="s">
        <v>4852</v>
      </c>
      <c r="K156" s="408" t="s">
        <v>5380</v>
      </c>
      <c r="L156" s="376" t="s">
        <v>542</v>
      </c>
      <c r="M156" s="376" t="s">
        <v>5158</v>
      </c>
      <c r="N156" s="400" t="s">
        <v>5347</v>
      </c>
      <c r="O156" s="320">
        <v>52</v>
      </c>
    </row>
    <row r="157" spans="2:15" ht="69.900000000000006" customHeight="1" x14ac:dyDescent="0.25">
      <c r="B157" s="320">
        <v>147</v>
      </c>
      <c r="C157" s="320">
        <v>6</v>
      </c>
      <c r="D157" s="316" t="s">
        <v>5381</v>
      </c>
      <c r="E157" s="355" t="s">
        <v>5377</v>
      </c>
      <c r="F157" s="317">
        <v>48815040</v>
      </c>
      <c r="G157" s="384" t="s">
        <v>4852</v>
      </c>
      <c r="H157" s="316" t="s">
        <v>5382</v>
      </c>
      <c r="I157" s="316" t="s">
        <v>5379</v>
      </c>
      <c r="J157" s="316" t="s">
        <v>4852</v>
      </c>
      <c r="K157" s="352" t="s">
        <v>5383</v>
      </c>
      <c r="L157" s="376" t="s">
        <v>535</v>
      </c>
      <c r="M157" s="376" t="s">
        <v>5191</v>
      </c>
      <c r="N157" s="399"/>
      <c r="O157" s="320">
        <v>52</v>
      </c>
    </row>
    <row r="158" spans="2:15" ht="69.900000000000006" customHeight="1" x14ac:dyDescent="0.25">
      <c r="B158" s="320">
        <v>148</v>
      </c>
      <c r="C158" s="320">
        <v>6</v>
      </c>
      <c r="D158" s="316" t="s">
        <v>5384</v>
      </c>
      <c r="E158" s="355" t="s">
        <v>5377</v>
      </c>
      <c r="F158" s="317">
        <v>360000</v>
      </c>
      <c r="G158" s="384" t="s">
        <v>4852</v>
      </c>
      <c r="H158" s="316" t="s">
        <v>5385</v>
      </c>
      <c r="I158" s="316" t="s">
        <v>5379</v>
      </c>
      <c r="J158" s="316" t="s">
        <v>4852</v>
      </c>
      <c r="K158" s="352" t="s">
        <v>5386</v>
      </c>
      <c r="L158" s="376" t="s">
        <v>531</v>
      </c>
      <c r="M158" s="376" t="s">
        <v>5193</v>
      </c>
      <c r="N158" s="399"/>
      <c r="O158" s="320">
        <v>52</v>
      </c>
    </row>
    <row r="159" spans="2:15" ht="69.900000000000006" customHeight="1" x14ac:dyDescent="0.25">
      <c r="B159" s="320">
        <v>149</v>
      </c>
      <c r="C159" s="320">
        <v>6</v>
      </c>
      <c r="D159" s="404" t="s">
        <v>5387</v>
      </c>
      <c r="E159" s="405" t="s">
        <v>5377</v>
      </c>
      <c r="F159" s="406">
        <v>2110000</v>
      </c>
      <c r="G159" s="384" t="s">
        <v>4852</v>
      </c>
      <c r="H159" s="404" t="s">
        <v>5388</v>
      </c>
      <c r="I159" s="404" t="s">
        <v>5379</v>
      </c>
      <c r="J159" s="404" t="s">
        <v>4852</v>
      </c>
      <c r="K159" s="408" t="s">
        <v>5389</v>
      </c>
      <c r="L159" s="407" t="s">
        <v>531</v>
      </c>
      <c r="M159" s="407" t="s">
        <v>5192</v>
      </c>
      <c r="N159" s="403"/>
      <c r="O159" s="320">
        <v>52</v>
      </c>
    </row>
    <row r="160" spans="2:15" ht="69.900000000000006" customHeight="1" x14ac:dyDescent="0.25">
      <c r="B160" s="320">
        <v>150</v>
      </c>
      <c r="C160" s="320">
        <v>6</v>
      </c>
      <c r="D160" s="316" t="s">
        <v>5390</v>
      </c>
      <c r="E160" s="355" t="s">
        <v>5377</v>
      </c>
      <c r="F160" s="317">
        <v>9185000</v>
      </c>
      <c r="G160" s="384" t="s">
        <v>4852</v>
      </c>
      <c r="H160" s="316" t="s">
        <v>5391</v>
      </c>
      <c r="I160" s="316" t="s">
        <v>5379</v>
      </c>
      <c r="J160" s="316" t="s">
        <v>4852</v>
      </c>
      <c r="K160" s="352" t="s">
        <v>5392</v>
      </c>
      <c r="L160" s="376" t="s">
        <v>542</v>
      </c>
      <c r="M160" s="376" t="s">
        <v>5195</v>
      </c>
      <c r="N160" s="399"/>
      <c r="O160" s="320">
        <v>52</v>
      </c>
    </row>
    <row r="161" spans="2:15" ht="69.900000000000006" customHeight="1" x14ac:dyDescent="0.25">
      <c r="B161" s="320">
        <v>151</v>
      </c>
      <c r="C161" s="320">
        <v>6</v>
      </c>
      <c r="D161" s="316" t="s">
        <v>5393</v>
      </c>
      <c r="E161" s="355" t="s">
        <v>5377</v>
      </c>
      <c r="F161" s="317">
        <v>14635000</v>
      </c>
      <c r="G161" s="384" t="s">
        <v>4852</v>
      </c>
      <c r="H161" s="316" t="s">
        <v>5394</v>
      </c>
      <c r="I161" s="316" t="s">
        <v>5379</v>
      </c>
      <c r="J161" s="316" t="s">
        <v>4852</v>
      </c>
      <c r="K161" s="352" t="s">
        <v>5395</v>
      </c>
      <c r="L161" s="376" t="s">
        <v>542</v>
      </c>
      <c r="M161" s="376" t="s">
        <v>5158</v>
      </c>
      <c r="N161" s="399"/>
      <c r="O161" s="320">
        <v>52</v>
      </c>
    </row>
    <row r="162" spans="2:15" ht="69.900000000000006" customHeight="1" x14ac:dyDescent="0.25">
      <c r="B162" s="320">
        <v>152</v>
      </c>
      <c r="C162" s="320">
        <v>6</v>
      </c>
      <c r="D162" s="404" t="s">
        <v>5396</v>
      </c>
      <c r="E162" s="405" t="s">
        <v>5377</v>
      </c>
      <c r="F162" s="406">
        <v>25208100</v>
      </c>
      <c r="G162" s="384" t="s">
        <v>4852</v>
      </c>
      <c r="H162" s="404" t="s">
        <v>5397</v>
      </c>
      <c r="I162" s="404" t="s">
        <v>5379</v>
      </c>
      <c r="J162" s="404" t="s">
        <v>4852</v>
      </c>
      <c r="K162" s="408" t="s">
        <v>5398</v>
      </c>
      <c r="L162" s="407" t="s">
        <v>542</v>
      </c>
      <c r="M162" s="407" t="s">
        <v>5195</v>
      </c>
      <c r="N162" s="403"/>
      <c r="O162" s="320">
        <v>52</v>
      </c>
    </row>
    <row r="163" spans="2:15" ht="69.900000000000006" customHeight="1" x14ac:dyDescent="0.25">
      <c r="B163" s="320">
        <v>153</v>
      </c>
      <c r="C163" s="320">
        <v>6</v>
      </c>
      <c r="D163" s="316" t="s">
        <v>5399</v>
      </c>
      <c r="E163" s="355" t="s">
        <v>5377</v>
      </c>
      <c r="F163" s="317">
        <v>9875000</v>
      </c>
      <c r="G163" s="383" t="s">
        <v>4852</v>
      </c>
      <c r="H163" s="316" t="s">
        <v>5400</v>
      </c>
      <c r="I163" s="316" t="s">
        <v>5379</v>
      </c>
      <c r="J163" s="316" t="s">
        <v>4852</v>
      </c>
      <c r="K163" s="352" t="s">
        <v>5401</v>
      </c>
      <c r="L163" s="376" t="s">
        <v>542</v>
      </c>
      <c r="M163" s="376" t="s">
        <v>5158</v>
      </c>
      <c r="N163" s="400" t="s">
        <v>5347</v>
      </c>
      <c r="O163" s="320">
        <v>52</v>
      </c>
    </row>
    <row r="164" spans="2:15" ht="69.900000000000006" customHeight="1" x14ac:dyDescent="0.25">
      <c r="B164" s="320">
        <v>154</v>
      </c>
      <c r="C164" s="320">
        <v>6</v>
      </c>
      <c r="D164" s="316" t="s">
        <v>5402</v>
      </c>
      <c r="E164" s="355" t="s">
        <v>5377</v>
      </c>
      <c r="F164" s="317">
        <v>3950000</v>
      </c>
      <c r="G164" s="383" t="s">
        <v>4852</v>
      </c>
      <c r="H164" s="316" t="s">
        <v>5403</v>
      </c>
      <c r="I164" s="316" t="s">
        <v>5379</v>
      </c>
      <c r="J164" s="316" t="s">
        <v>4852</v>
      </c>
      <c r="K164" s="352" t="s">
        <v>5404</v>
      </c>
      <c r="L164" s="376" t="s">
        <v>542</v>
      </c>
      <c r="M164" s="376" t="s">
        <v>5158</v>
      </c>
      <c r="N164" s="400" t="s">
        <v>5347</v>
      </c>
      <c r="O164" s="320">
        <v>52</v>
      </c>
    </row>
    <row r="165" spans="2:15" ht="69.900000000000006" customHeight="1" x14ac:dyDescent="0.25">
      <c r="B165" s="320">
        <v>155</v>
      </c>
      <c r="C165" s="320">
        <v>6</v>
      </c>
      <c r="D165" s="404" t="s">
        <v>5405</v>
      </c>
      <c r="E165" s="405" t="s">
        <v>5377</v>
      </c>
      <c r="F165" s="406">
        <v>3950000</v>
      </c>
      <c r="G165" s="383" t="s">
        <v>4852</v>
      </c>
      <c r="H165" s="404" t="s">
        <v>5406</v>
      </c>
      <c r="I165" s="404" t="s">
        <v>5379</v>
      </c>
      <c r="J165" s="404" t="s">
        <v>4852</v>
      </c>
      <c r="K165" s="408" t="s">
        <v>5404</v>
      </c>
      <c r="L165" s="376" t="s">
        <v>542</v>
      </c>
      <c r="M165" s="376" t="s">
        <v>5158</v>
      </c>
      <c r="N165" s="400" t="s">
        <v>5347</v>
      </c>
      <c r="O165" s="320">
        <v>52</v>
      </c>
    </row>
    <row r="166" spans="2:15" ht="69.900000000000006" customHeight="1" x14ac:dyDescent="0.25">
      <c r="B166" s="320">
        <v>156</v>
      </c>
      <c r="C166" s="399">
        <v>6</v>
      </c>
      <c r="D166" s="316" t="s">
        <v>5407</v>
      </c>
      <c r="E166" s="355" t="s">
        <v>5408</v>
      </c>
      <c r="F166" s="317">
        <v>424528</v>
      </c>
      <c r="G166" s="368" t="s">
        <v>4852</v>
      </c>
      <c r="H166" s="316" t="s">
        <v>5409</v>
      </c>
      <c r="I166" s="316" t="s">
        <v>5379</v>
      </c>
      <c r="J166" s="316" t="s">
        <v>4852</v>
      </c>
      <c r="K166" s="352" t="s">
        <v>5410</v>
      </c>
      <c r="L166" s="376" t="s">
        <v>576</v>
      </c>
      <c r="M166" s="376" t="s">
        <v>5159</v>
      </c>
      <c r="N166" s="400" t="s">
        <v>5348</v>
      </c>
      <c r="O166" s="399">
        <v>51</v>
      </c>
    </row>
    <row r="167" spans="2:15" ht="69.900000000000006" customHeight="1" x14ac:dyDescent="0.25">
      <c r="B167" s="320">
        <v>157</v>
      </c>
      <c r="C167" s="403">
        <v>6</v>
      </c>
      <c r="D167" s="404" t="s">
        <v>5411</v>
      </c>
      <c r="E167" s="405" t="s">
        <v>5408</v>
      </c>
      <c r="F167" s="406">
        <v>16698000</v>
      </c>
      <c r="G167" s="368" t="s">
        <v>5023</v>
      </c>
      <c r="H167" s="404" t="s">
        <v>5412</v>
      </c>
      <c r="I167" s="404" t="s">
        <v>5379</v>
      </c>
      <c r="J167" s="404" t="s">
        <v>4852</v>
      </c>
      <c r="K167" s="408" t="s">
        <v>5413</v>
      </c>
      <c r="L167" s="376" t="s">
        <v>576</v>
      </c>
      <c r="M167" s="376" t="s">
        <v>5159</v>
      </c>
      <c r="N167" s="400" t="s">
        <v>5348</v>
      </c>
      <c r="O167" s="403">
        <v>51</v>
      </c>
    </row>
    <row r="168" spans="2:15" ht="69.900000000000006" customHeight="1" x14ac:dyDescent="0.25">
      <c r="B168" s="320">
        <v>158</v>
      </c>
      <c r="C168" s="403">
        <v>6</v>
      </c>
      <c r="D168" s="316" t="s">
        <v>5415</v>
      </c>
      <c r="E168" s="355" t="s">
        <v>5416</v>
      </c>
      <c r="F168" s="317">
        <v>1200000</v>
      </c>
      <c r="G168" s="384" t="s">
        <v>4852</v>
      </c>
      <c r="H168" s="316" t="s">
        <v>5417</v>
      </c>
      <c r="I168" s="316" t="s">
        <v>5418</v>
      </c>
      <c r="J168" s="316" t="s">
        <v>4852</v>
      </c>
      <c r="K168" s="319" t="s">
        <v>5419</v>
      </c>
      <c r="L168" s="407" t="s">
        <v>531</v>
      </c>
      <c r="M168" s="407" t="s">
        <v>5192</v>
      </c>
      <c r="N168" s="399"/>
      <c r="O168" s="399">
        <v>52</v>
      </c>
    </row>
    <row r="169" spans="2:15" ht="69.900000000000006" customHeight="1" x14ac:dyDescent="0.25">
      <c r="B169" s="320">
        <v>159</v>
      </c>
      <c r="C169" s="403">
        <v>6</v>
      </c>
      <c r="D169" s="404" t="s">
        <v>5420</v>
      </c>
      <c r="E169" s="405" t="s">
        <v>5416</v>
      </c>
      <c r="F169" s="406">
        <v>9950000</v>
      </c>
      <c r="G169" s="383" t="s">
        <v>5123</v>
      </c>
      <c r="H169" s="404" t="s">
        <v>5421</v>
      </c>
      <c r="I169" s="404" t="s">
        <v>5418</v>
      </c>
      <c r="J169" s="404" t="s">
        <v>4852</v>
      </c>
      <c r="K169" s="409" t="s">
        <v>5422</v>
      </c>
      <c r="L169" s="376" t="s">
        <v>542</v>
      </c>
      <c r="M169" s="376" t="s">
        <v>5158</v>
      </c>
      <c r="N169" s="400" t="s">
        <v>5347</v>
      </c>
      <c r="O169" s="403">
        <v>52</v>
      </c>
    </row>
    <row r="170" spans="2:15" ht="69.900000000000006" customHeight="1" x14ac:dyDescent="0.25">
      <c r="B170" s="320">
        <v>160</v>
      </c>
      <c r="C170" s="403">
        <v>6</v>
      </c>
      <c r="D170" s="404" t="s">
        <v>5423</v>
      </c>
      <c r="E170" s="405" t="s">
        <v>5416</v>
      </c>
      <c r="F170" s="406">
        <v>1810000</v>
      </c>
      <c r="G170" s="384" t="s">
        <v>4852</v>
      </c>
      <c r="H170" s="404" t="s">
        <v>5424</v>
      </c>
      <c r="I170" s="404" t="s">
        <v>5418</v>
      </c>
      <c r="J170" s="404" t="s">
        <v>4852</v>
      </c>
      <c r="K170" s="409" t="s">
        <v>5425</v>
      </c>
      <c r="L170" s="407" t="s">
        <v>531</v>
      </c>
      <c r="M170" s="407" t="s">
        <v>5192</v>
      </c>
      <c r="N170" s="403"/>
      <c r="O170" s="403">
        <v>52</v>
      </c>
    </row>
    <row r="172" spans="2:15" ht="69.900000000000006" customHeight="1" x14ac:dyDescent="0.25">
      <c r="N172" s="395" t="s">
        <v>4644</v>
      </c>
    </row>
  </sheetData>
  <sortState xmlns:xlrd2="http://schemas.microsoft.com/office/spreadsheetml/2017/richdata2" ref="B11:K51">
    <sortCondition ref="H11:H51"/>
  </sortState>
  <conditionalFormatting sqref="D113:D116">
    <cfRule type="duplicateValues" dxfId="12" priority="3"/>
  </conditionalFormatting>
  <conditionalFormatting sqref="D11:D170">
    <cfRule type="duplicateValues" dxfId="11" priority="28"/>
    <cfRule type="duplicateValues" dxfId="10"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zoomScale="70" zoomScaleNormal="70" zoomScaleSheetLayoutView="70" workbookViewId="0">
      <selection activeCell="C2" sqref="C2:H2"/>
    </sheetView>
  </sheetViews>
  <sheetFormatPr defaultRowHeight="14.4" x14ac:dyDescent="0.3"/>
  <cols>
    <col min="3" max="3" width="99.77734375" style="299" bestFit="1" customWidth="1"/>
    <col min="4" max="4" width="16.109375" bestFit="1" customWidth="1"/>
    <col min="5" max="5" width="15" bestFit="1" customWidth="1"/>
    <col min="6" max="6" width="7.77734375" bestFit="1" customWidth="1"/>
    <col min="7" max="7" width="15" bestFit="1" customWidth="1"/>
    <col min="8" max="8" width="7.33203125" bestFit="1" customWidth="1"/>
    <col min="9" max="9" width="18.5546875" bestFit="1" customWidth="1"/>
    <col min="10" max="10" width="21.44140625" customWidth="1"/>
    <col min="13" max="13" width="14.33203125" style="274" customWidth="1"/>
    <col min="18" max="18" width="19.33203125" customWidth="1"/>
    <col min="21" max="21" width="11.5546875" bestFit="1" customWidth="1"/>
  </cols>
  <sheetData>
    <row r="1" spans="3:18" ht="18.600000000000001" x14ac:dyDescent="0.45">
      <c r="C1" s="463" t="str">
        <f>PERSUBBID!A1</f>
        <v>REALISASI TANPA GAJI</v>
      </c>
      <c r="D1" s="463"/>
      <c r="E1" s="463"/>
      <c r="F1" s="463"/>
      <c r="G1" s="463"/>
      <c r="H1" s="463"/>
    </row>
    <row r="2" spans="3:18" ht="18.600000000000001" x14ac:dyDescent="0.45">
      <c r="C2" s="463" t="str">
        <f>PERSUBBID!A2</f>
        <v>Berdasarkan DIPA Revisi 2 POK 2 TA. 2022 (Tanggal 22 Maret 2022)</v>
      </c>
      <c r="D2" s="463"/>
      <c r="E2" s="463"/>
      <c r="F2" s="463"/>
      <c r="G2" s="463"/>
      <c r="H2" s="463"/>
    </row>
    <row r="3" spans="3:18" ht="18.600000000000001" x14ac:dyDescent="0.45">
      <c r="C3" s="463" t="str">
        <f>PERSUBBID!A3</f>
        <v>SAMPAI DENGAN 15 JUNI 2022</v>
      </c>
      <c r="D3" s="463"/>
      <c r="E3" s="463"/>
      <c r="F3" s="463"/>
      <c r="G3" s="463"/>
      <c r="H3" s="463"/>
    </row>
    <row r="4" spans="3:18" x14ac:dyDescent="0.3">
      <c r="C4" s="369"/>
      <c r="D4" s="369"/>
      <c r="E4" s="369"/>
      <c r="F4" s="369"/>
      <c r="G4" s="369"/>
      <c r="H4" s="369"/>
    </row>
    <row r="5" spans="3:18" ht="15.6" x14ac:dyDescent="0.3">
      <c r="C5" s="370" t="s">
        <v>4824</v>
      </c>
      <c r="D5" s="371" t="s">
        <v>4819</v>
      </c>
      <c r="E5" s="371" t="s">
        <v>4820</v>
      </c>
      <c r="F5" s="371" t="s">
        <v>4821</v>
      </c>
      <c r="G5" s="371" t="s">
        <v>4822</v>
      </c>
      <c r="H5" s="371" t="s">
        <v>4823</v>
      </c>
    </row>
    <row r="6" spans="3:18" ht="17.100000000000001" customHeight="1" x14ac:dyDescent="0.3">
      <c r="C6" s="307" t="s">
        <v>530</v>
      </c>
      <c r="D6" s="420">
        <v>11375804000</v>
      </c>
      <c r="E6" s="420">
        <v>6067322932</v>
      </c>
      <c r="F6" s="421">
        <v>53.33533288724032</v>
      </c>
      <c r="G6" s="420">
        <v>5308481068</v>
      </c>
      <c r="H6" s="421">
        <v>46.66466711275968</v>
      </c>
      <c r="R6" s="274"/>
    </row>
    <row r="7" spans="3:18" x14ac:dyDescent="0.3">
      <c r="C7" s="372" t="s">
        <v>4696</v>
      </c>
      <c r="D7" s="422">
        <v>1000000000</v>
      </c>
      <c r="E7" s="422">
        <v>368522100</v>
      </c>
      <c r="F7" s="423">
        <v>36.852209999999999</v>
      </c>
      <c r="G7" s="422">
        <v>631477900</v>
      </c>
      <c r="H7" s="423">
        <v>63.147790000000001</v>
      </c>
      <c r="R7" s="274"/>
    </row>
    <row r="8" spans="3:18" x14ac:dyDescent="0.3">
      <c r="C8" s="372" t="s">
        <v>4706</v>
      </c>
      <c r="D8" s="422">
        <v>1000000000</v>
      </c>
      <c r="E8" s="422">
        <v>368522100</v>
      </c>
      <c r="F8" s="423">
        <v>36.852209999999999</v>
      </c>
      <c r="G8" s="422">
        <v>631477900</v>
      </c>
      <c r="H8" s="423">
        <v>63.147790000000001</v>
      </c>
    </row>
    <row r="9" spans="3:18" ht="17.100000000000001" customHeight="1" x14ac:dyDescent="0.3">
      <c r="C9" s="373" t="s">
        <v>535</v>
      </c>
      <c r="D9" s="424">
        <v>821400000</v>
      </c>
      <c r="E9" s="424">
        <v>288789600</v>
      </c>
      <c r="F9" s="425">
        <v>35.158217677136591</v>
      </c>
      <c r="G9" s="424">
        <v>532610400</v>
      </c>
      <c r="H9" s="425">
        <v>64.841782322863409</v>
      </c>
    </row>
    <row r="10" spans="3:18" x14ac:dyDescent="0.3">
      <c r="C10" s="226" t="s">
        <v>536</v>
      </c>
      <c r="D10" s="426">
        <v>686300000</v>
      </c>
      <c r="E10" s="426">
        <v>214180240</v>
      </c>
      <c r="F10" s="427">
        <v>31.207961532857354</v>
      </c>
      <c r="G10" s="426">
        <v>472119760</v>
      </c>
      <c r="H10" s="427">
        <v>68.792038467142646</v>
      </c>
    </row>
    <row r="11" spans="3:18" x14ac:dyDescent="0.3">
      <c r="C11" s="372" t="s">
        <v>4708</v>
      </c>
      <c r="D11" s="422">
        <v>686300000</v>
      </c>
      <c r="E11" s="422">
        <v>214180240</v>
      </c>
      <c r="F11" s="423">
        <v>31.207961532857354</v>
      </c>
      <c r="G11" s="422">
        <v>472119760</v>
      </c>
      <c r="H11" s="423">
        <v>68.792038467142646</v>
      </c>
    </row>
    <row r="12" spans="3:18" x14ac:dyDescent="0.3">
      <c r="C12" s="390" t="s">
        <v>4714</v>
      </c>
      <c r="D12" s="428">
        <v>686300000</v>
      </c>
      <c r="E12" s="428">
        <v>214180240</v>
      </c>
      <c r="F12" s="429">
        <v>31.207961532857354</v>
      </c>
      <c r="G12" s="428">
        <v>472119760</v>
      </c>
      <c r="H12" s="429">
        <v>68.792038467142646</v>
      </c>
    </row>
    <row r="13" spans="3:18" x14ac:dyDescent="0.3">
      <c r="C13" s="374" t="s">
        <v>4715</v>
      </c>
      <c r="D13" s="430">
        <v>386924000</v>
      </c>
      <c r="E13" s="430">
        <v>58923650</v>
      </c>
      <c r="F13" s="431">
        <v>15.228740010958225</v>
      </c>
      <c r="G13" s="430">
        <v>328000350</v>
      </c>
      <c r="H13" s="431">
        <v>84.771259989041781</v>
      </c>
    </row>
    <row r="14" spans="3:18" x14ac:dyDescent="0.3">
      <c r="C14" s="378" t="s">
        <v>4698</v>
      </c>
      <c r="D14" s="422">
        <v>64900000</v>
      </c>
      <c r="E14" s="422">
        <v>6195000</v>
      </c>
      <c r="F14" s="423">
        <v>9.5454545454545467</v>
      </c>
      <c r="G14" s="422">
        <v>58705000</v>
      </c>
      <c r="H14" s="423">
        <v>90.454545454545453</v>
      </c>
    </row>
    <row r="15" spans="3:18" x14ac:dyDescent="0.3">
      <c r="C15" s="378" t="s">
        <v>4711</v>
      </c>
      <c r="D15" s="422">
        <v>6000000</v>
      </c>
      <c r="E15" s="422">
        <v>963000</v>
      </c>
      <c r="F15" s="423">
        <v>16.05</v>
      </c>
      <c r="G15" s="422">
        <v>5037000</v>
      </c>
      <c r="H15" s="423">
        <v>83.95</v>
      </c>
    </row>
    <row r="16" spans="3:18" x14ac:dyDescent="0.3">
      <c r="C16" s="378" t="s">
        <v>4716</v>
      </c>
      <c r="D16" s="422">
        <v>30000000</v>
      </c>
      <c r="E16" s="422">
        <v>9537000</v>
      </c>
      <c r="F16" s="423">
        <v>31.790000000000003</v>
      </c>
      <c r="G16" s="422">
        <v>20463000</v>
      </c>
      <c r="H16" s="423">
        <v>68.210000000000008</v>
      </c>
    </row>
    <row r="17" spans="3:21" x14ac:dyDescent="0.3">
      <c r="C17" s="378" t="s">
        <v>4701</v>
      </c>
      <c r="D17" s="422">
        <v>25200000</v>
      </c>
      <c r="E17" s="422">
        <v>9000000</v>
      </c>
      <c r="F17" s="423">
        <v>35.714285714285715</v>
      </c>
      <c r="G17" s="422">
        <v>16200000</v>
      </c>
      <c r="H17" s="423">
        <v>64.285714285714292</v>
      </c>
    </row>
    <row r="18" spans="3:21" x14ac:dyDescent="0.3">
      <c r="C18" s="378" t="s">
        <v>4703</v>
      </c>
      <c r="D18" s="422">
        <v>6000000</v>
      </c>
      <c r="E18" s="422">
        <v>0</v>
      </c>
      <c r="F18" s="423">
        <v>0</v>
      </c>
      <c r="G18" s="422">
        <v>6000000</v>
      </c>
      <c r="H18" s="423">
        <v>100</v>
      </c>
    </row>
    <row r="19" spans="3:21" x14ac:dyDescent="0.3">
      <c r="C19" s="378" t="s">
        <v>4702</v>
      </c>
      <c r="D19" s="422">
        <v>253324000</v>
      </c>
      <c r="E19" s="422">
        <v>33228650</v>
      </c>
      <c r="F19" s="423">
        <v>13.117055628365257</v>
      </c>
      <c r="G19" s="422">
        <v>220095350</v>
      </c>
      <c r="H19" s="423">
        <v>86.882944371634736</v>
      </c>
    </row>
    <row r="20" spans="3:21" x14ac:dyDescent="0.3">
      <c r="C20" s="378" t="s">
        <v>508</v>
      </c>
      <c r="D20" s="422">
        <v>1500000</v>
      </c>
      <c r="E20" s="422">
        <v>0</v>
      </c>
      <c r="F20" s="423">
        <v>0</v>
      </c>
      <c r="G20" s="422">
        <v>1500000</v>
      </c>
      <c r="H20" s="423">
        <v>100</v>
      </c>
    </row>
    <row r="21" spans="3:21" x14ac:dyDescent="0.3">
      <c r="C21" s="374" t="s">
        <v>4717</v>
      </c>
      <c r="D21" s="430">
        <v>247816000</v>
      </c>
      <c r="E21" s="430">
        <v>155256590</v>
      </c>
      <c r="F21" s="431">
        <v>62.649945927623719</v>
      </c>
      <c r="G21" s="430">
        <v>92559410</v>
      </c>
      <c r="H21" s="431">
        <v>37.350054072376281</v>
      </c>
    </row>
    <row r="22" spans="3:21" x14ac:dyDescent="0.3">
      <c r="C22" s="378" t="s">
        <v>4698</v>
      </c>
      <c r="D22" s="422">
        <v>71456000</v>
      </c>
      <c r="E22" s="422">
        <v>10438550</v>
      </c>
      <c r="F22" s="423">
        <v>14.60836038961039</v>
      </c>
      <c r="G22" s="422">
        <v>61017450</v>
      </c>
      <c r="H22" s="423">
        <v>85.391639610389618</v>
      </c>
      <c r="U22" s="276"/>
    </row>
    <row r="23" spans="3:21" x14ac:dyDescent="0.3">
      <c r="C23" s="378" t="s">
        <v>4711</v>
      </c>
      <c r="D23" s="422">
        <v>5000000</v>
      </c>
      <c r="E23" s="422">
        <v>4262850</v>
      </c>
      <c r="F23" s="423">
        <v>85.257000000000005</v>
      </c>
      <c r="G23" s="422">
        <v>737150</v>
      </c>
      <c r="H23" s="423">
        <v>14.743</v>
      </c>
      <c r="U23" s="276"/>
    </row>
    <row r="24" spans="3:21" x14ac:dyDescent="0.3">
      <c r="C24" s="378" t="s">
        <v>4716</v>
      </c>
      <c r="D24" s="422">
        <v>15000000</v>
      </c>
      <c r="E24" s="422">
        <v>2453500</v>
      </c>
      <c r="F24" s="423">
        <v>16.356666666666666</v>
      </c>
      <c r="G24" s="422">
        <v>12546500</v>
      </c>
      <c r="H24" s="423">
        <v>83.643333333333331</v>
      </c>
    </row>
    <row r="25" spans="3:21" x14ac:dyDescent="0.3">
      <c r="C25" s="378" t="s">
        <v>4701</v>
      </c>
      <c r="D25" s="422">
        <v>16200000</v>
      </c>
      <c r="E25" s="422">
        <v>6300000</v>
      </c>
      <c r="F25" s="423">
        <v>38.888888888888893</v>
      </c>
      <c r="G25" s="422">
        <v>9900000</v>
      </c>
      <c r="H25" s="423">
        <v>61.111111111111114</v>
      </c>
    </row>
    <row r="26" spans="3:21" x14ac:dyDescent="0.3">
      <c r="C26" s="378" t="s">
        <v>4703</v>
      </c>
      <c r="D26" s="422">
        <v>2000000</v>
      </c>
      <c r="E26" s="422">
        <v>365000</v>
      </c>
      <c r="F26" s="423">
        <v>18.25</v>
      </c>
      <c r="G26" s="422">
        <v>1635000</v>
      </c>
      <c r="H26" s="423">
        <v>81.75</v>
      </c>
    </row>
    <row r="27" spans="3:21" x14ac:dyDescent="0.3">
      <c r="C27" s="378" t="s">
        <v>4702</v>
      </c>
      <c r="D27" s="422">
        <v>138160000</v>
      </c>
      <c r="E27" s="422">
        <v>131436690</v>
      </c>
      <c r="F27" s="423">
        <v>95.133678343949043</v>
      </c>
      <c r="G27" s="422">
        <v>6723310</v>
      </c>
      <c r="H27" s="423">
        <v>4.866321656050955</v>
      </c>
    </row>
    <row r="28" spans="3:21" x14ac:dyDescent="0.3">
      <c r="C28" s="374" t="s">
        <v>4731</v>
      </c>
      <c r="D28" s="430">
        <v>51560000</v>
      </c>
      <c r="E28" s="430">
        <v>0</v>
      </c>
      <c r="F28" s="431">
        <v>0</v>
      </c>
      <c r="G28" s="430">
        <v>51560000</v>
      </c>
      <c r="H28" s="431">
        <v>100</v>
      </c>
    </row>
    <row r="29" spans="3:21" x14ac:dyDescent="0.3">
      <c r="C29" s="378" t="s">
        <v>4698</v>
      </c>
      <c r="D29" s="422">
        <v>20830000</v>
      </c>
      <c r="E29" s="422">
        <v>0</v>
      </c>
      <c r="F29" s="423">
        <v>0</v>
      </c>
      <c r="G29" s="422">
        <v>20830000</v>
      </c>
      <c r="H29" s="423">
        <v>100</v>
      </c>
    </row>
    <row r="30" spans="3:21" x14ac:dyDescent="0.3">
      <c r="C30" s="378" t="s">
        <v>4711</v>
      </c>
      <c r="D30" s="422">
        <v>500000</v>
      </c>
      <c r="E30" s="422">
        <v>0</v>
      </c>
      <c r="F30" s="423">
        <v>0</v>
      </c>
      <c r="G30" s="422">
        <v>500000</v>
      </c>
      <c r="H30" s="423">
        <v>100</v>
      </c>
    </row>
    <row r="31" spans="3:21" x14ac:dyDescent="0.3">
      <c r="C31" s="378" t="s">
        <v>4701</v>
      </c>
      <c r="D31" s="422">
        <v>7200000</v>
      </c>
      <c r="E31" s="422">
        <v>0</v>
      </c>
      <c r="F31" s="423">
        <v>0</v>
      </c>
      <c r="G31" s="422">
        <v>7200000</v>
      </c>
      <c r="H31" s="423">
        <v>100</v>
      </c>
    </row>
    <row r="32" spans="3:21" x14ac:dyDescent="0.3">
      <c r="C32" s="378" t="s">
        <v>4702</v>
      </c>
      <c r="D32" s="422">
        <v>23030000</v>
      </c>
      <c r="E32" s="422">
        <v>0</v>
      </c>
      <c r="F32" s="423">
        <v>0</v>
      </c>
      <c r="G32" s="422">
        <v>23030000</v>
      </c>
      <c r="H32" s="423">
        <v>100</v>
      </c>
    </row>
    <row r="33" spans="3:8" x14ac:dyDescent="0.3">
      <c r="C33" s="226" t="s">
        <v>538</v>
      </c>
      <c r="D33" s="426">
        <v>135100000</v>
      </c>
      <c r="E33" s="426">
        <v>74609360</v>
      </c>
      <c r="F33" s="427">
        <v>55.22528497409327</v>
      </c>
      <c r="G33" s="426">
        <v>60490640</v>
      </c>
      <c r="H33" s="427">
        <v>44.774715025906737</v>
      </c>
    </row>
    <row r="34" spans="3:8" x14ac:dyDescent="0.3">
      <c r="C34" s="372" t="s">
        <v>4708</v>
      </c>
      <c r="D34" s="422">
        <v>135100000</v>
      </c>
      <c r="E34" s="422">
        <v>74609360</v>
      </c>
      <c r="F34" s="423">
        <v>55.22528497409327</v>
      </c>
      <c r="G34" s="422">
        <v>60490640</v>
      </c>
      <c r="H34" s="423">
        <v>44.774715025906737</v>
      </c>
    </row>
    <row r="35" spans="3:8" x14ac:dyDescent="0.3">
      <c r="C35" s="390" t="s">
        <v>4718</v>
      </c>
      <c r="D35" s="428">
        <v>135100000</v>
      </c>
      <c r="E35" s="428">
        <v>74609360</v>
      </c>
      <c r="F35" s="429">
        <v>55.22528497409327</v>
      </c>
      <c r="G35" s="428">
        <v>60490640</v>
      </c>
      <c r="H35" s="429">
        <v>44.774715025906737</v>
      </c>
    </row>
    <row r="36" spans="3:8" x14ac:dyDescent="0.3">
      <c r="C36" s="374" t="s">
        <v>4719</v>
      </c>
      <c r="D36" s="430">
        <v>135100000</v>
      </c>
      <c r="E36" s="430">
        <v>74609360</v>
      </c>
      <c r="F36" s="431">
        <v>55.22528497409327</v>
      </c>
      <c r="G36" s="430">
        <v>60490640</v>
      </c>
      <c r="H36" s="431">
        <v>44.774715025906737</v>
      </c>
    </row>
    <row r="37" spans="3:8" x14ac:dyDescent="0.3">
      <c r="C37" s="378" t="s">
        <v>4698</v>
      </c>
      <c r="D37" s="422">
        <v>13900000</v>
      </c>
      <c r="E37" s="422">
        <v>9490750</v>
      </c>
      <c r="F37" s="423">
        <v>68.27877697841727</v>
      </c>
      <c r="G37" s="422">
        <v>4409250</v>
      </c>
      <c r="H37" s="423">
        <v>31.721223021582734</v>
      </c>
    </row>
    <row r="38" spans="3:8" x14ac:dyDescent="0.3">
      <c r="C38" s="378" t="s">
        <v>4711</v>
      </c>
      <c r="D38" s="422">
        <v>8784000</v>
      </c>
      <c r="E38" s="422">
        <v>0</v>
      </c>
      <c r="F38" s="423">
        <v>0</v>
      </c>
      <c r="G38" s="422">
        <v>8784000</v>
      </c>
      <c r="H38" s="423">
        <v>100</v>
      </c>
    </row>
    <row r="39" spans="3:8" x14ac:dyDescent="0.3">
      <c r="C39" s="378" t="s">
        <v>4701</v>
      </c>
      <c r="D39" s="422">
        <v>10000000</v>
      </c>
      <c r="E39" s="422">
        <v>7200000</v>
      </c>
      <c r="F39" s="423">
        <v>72</v>
      </c>
      <c r="G39" s="422">
        <v>2800000</v>
      </c>
      <c r="H39" s="423">
        <v>28.000000000000004</v>
      </c>
    </row>
    <row r="40" spans="3:8" x14ac:dyDescent="0.3">
      <c r="C40" s="378" t="s">
        <v>4703</v>
      </c>
      <c r="D40" s="422">
        <v>5000000</v>
      </c>
      <c r="E40" s="422">
        <v>0</v>
      </c>
      <c r="F40" s="423">
        <v>0</v>
      </c>
      <c r="G40" s="422">
        <v>5000000</v>
      </c>
      <c r="H40" s="423">
        <v>100</v>
      </c>
    </row>
    <row r="41" spans="3:8" x14ac:dyDescent="0.3">
      <c r="C41" s="378" t="s">
        <v>4702</v>
      </c>
      <c r="D41" s="422">
        <v>97416000</v>
      </c>
      <c r="E41" s="422">
        <v>57918610</v>
      </c>
      <c r="F41" s="423">
        <v>59.454925268949651</v>
      </c>
      <c r="G41" s="422">
        <v>39497390</v>
      </c>
      <c r="H41" s="423">
        <v>40.545074731050342</v>
      </c>
    </row>
    <row r="42" spans="3:8" x14ac:dyDescent="0.3">
      <c r="C42" s="373" t="s">
        <v>531</v>
      </c>
      <c r="D42" s="424">
        <v>178600000</v>
      </c>
      <c r="E42" s="424">
        <v>79732500</v>
      </c>
      <c r="F42" s="425">
        <v>44.643057110862259</v>
      </c>
      <c r="G42" s="424">
        <v>98867500</v>
      </c>
      <c r="H42" s="425">
        <v>55.356942889137741</v>
      </c>
    </row>
    <row r="43" spans="3:8" x14ac:dyDescent="0.3">
      <c r="C43" s="226" t="s">
        <v>532</v>
      </c>
      <c r="D43" s="426">
        <v>124100000</v>
      </c>
      <c r="E43" s="426">
        <v>55518000</v>
      </c>
      <c r="F43" s="427">
        <v>44.736502820306207</v>
      </c>
      <c r="G43" s="426">
        <v>68582000</v>
      </c>
      <c r="H43" s="427">
        <v>55.2634971796938</v>
      </c>
    </row>
    <row r="44" spans="3:8" x14ac:dyDescent="0.3">
      <c r="C44" s="372" t="s">
        <v>4708</v>
      </c>
      <c r="D44" s="422">
        <v>124100000</v>
      </c>
      <c r="E44" s="422">
        <v>55518000</v>
      </c>
      <c r="F44" s="423">
        <v>44.736502820306207</v>
      </c>
      <c r="G44" s="422">
        <v>68582000</v>
      </c>
      <c r="H44" s="423">
        <v>55.2634971796938</v>
      </c>
    </row>
    <row r="45" spans="3:8" x14ac:dyDescent="0.3">
      <c r="C45" s="390" t="s">
        <v>4709</v>
      </c>
      <c r="D45" s="428">
        <v>124100000</v>
      </c>
      <c r="E45" s="428">
        <v>55518000</v>
      </c>
      <c r="F45" s="429">
        <v>44.736502820306207</v>
      </c>
      <c r="G45" s="428">
        <v>68582000</v>
      </c>
      <c r="H45" s="429">
        <v>55.2634971796938</v>
      </c>
    </row>
    <row r="46" spans="3:8" x14ac:dyDescent="0.3">
      <c r="C46" s="374" t="s">
        <v>4710</v>
      </c>
      <c r="D46" s="430">
        <v>83135000</v>
      </c>
      <c r="E46" s="430">
        <v>33957000</v>
      </c>
      <c r="F46" s="431">
        <v>40.845612557887776</v>
      </c>
      <c r="G46" s="430">
        <v>49178000</v>
      </c>
      <c r="H46" s="431">
        <v>59.154387442112224</v>
      </c>
    </row>
    <row r="47" spans="3:8" x14ac:dyDescent="0.3">
      <c r="C47" s="378" t="s">
        <v>4698</v>
      </c>
      <c r="D47" s="422">
        <v>19875000</v>
      </c>
      <c r="E47" s="422">
        <v>5581000</v>
      </c>
      <c r="F47" s="423">
        <v>28.080503144654088</v>
      </c>
      <c r="G47" s="422">
        <v>14294000</v>
      </c>
      <c r="H47" s="423">
        <v>71.919496855345912</v>
      </c>
    </row>
    <row r="48" spans="3:8" x14ac:dyDescent="0.3">
      <c r="C48" s="378" t="s">
        <v>4701</v>
      </c>
      <c r="D48" s="422">
        <v>20000000</v>
      </c>
      <c r="E48" s="422">
        <v>2100000</v>
      </c>
      <c r="F48" s="423">
        <v>10.5</v>
      </c>
      <c r="G48" s="422">
        <v>17900000</v>
      </c>
      <c r="H48" s="423">
        <v>89.5</v>
      </c>
    </row>
    <row r="49" spans="3:8" x14ac:dyDescent="0.3">
      <c r="C49" s="378" t="s">
        <v>4702</v>
      </c>
      <c r="D49" s="422">
        <v>43260000</v>
      </c>
      <c r="E49" s="422">
        <v>26276000</v>
      </c>
      <c r="F49" s="423">
        <v>60.739713361072589</v>
      </c>
      <c r="G49" s="422">
        <v>16984000</v>
      </c>
      <c r="H49" s="423">
        <v>39.260286638927418</v>
      </c>
    </row>
    <row r="50" spans="3:8" x14ac:dyDescent="0.3">
      <c r="C50" s="374" t="s">
        <v>4712</v>
      </c>
      <c r="D50" s="430">
        <v>40965000</v>
      </c>
      <c r="E50" s="430">
        <v>21561000</v>
      </c>
      <c r="F50" s="431">
        <v>52.632735261808861</v>
      </c>
      <c r="G50" s="430">
        <v>19404000</v>
      </c>
      <c r="H50" s="431">
        <v>47.367264738191139</v>
      </c>
    </row>
    <row r="51" spans="3:8" x14ac:dyDescent="0.3">
      <c r="C51" s="378" t="s">
        <v>4698</v>
      </c>
      <c r="D51" s="422">
        <v>19500000</v>
      </c>
      <c r="E51" s="422">
        <v>4041000</v>
      </c>
      <c r="F51" s="423">
        <v>20.723076923076921</v>
      </c>
      <c r="G51" s="422">
        <v>15459000</v>
      </c>
      <c r="H51" s="423">
        <v>79.276923076923083</v>
      </c>
    </row>
    <row r="52" spans="3:8" x14ac:dyDescent="0.3">
      <c r="C52" s="378" t="s">
        <v>4701</v>
      </c>
      <c r="D52" s="422">
        <v>4000000</v>
      </c>
      <c r="E52" s="422">
        <v>900000</v>
      </c>
      <c r="F52" s="423">
        <v>22.5</v>
      </c>
      <c r="G52" s="422">
        <v>3100000</v>
      </c>
      <c r="H52" s="423">
        <v>77.5</v>
      </c>
    </row>
    <row r="53" spans="3:8" x14ac:dyDescent="0.3">
      <c r="C53" s="378" t="s">
        <v>4702</v>
      </c>
      <c r="D53" s="422">
        <v>17465000</v>
      </c>
      <c r="E53" s="422">
        <v>16620000</v>
      </c>
      <c r="F53" s="423">
        <v>95.161752075579727</v>
      </c>
      <c r="G53" s="422">
        <v>845000</v>
      </c>
      <c r="H53" s="423">
        <v>4.8382479244202692</v>
      </c>
    </row>
    <row r="54" spans="3:8" x14ac:dyDescent="0.3">
      <c r="C54" s="226" t="s">
        <v>534</v>
      </c>
      <c r="D54" s="426">
        <v>54500000</v>
      </c>
      <c r="E54" s="426">
        <v>24214500</v>
      </c>
      <c r="F54" s="427">
        <v>44.430275229357797</v>
      </c>
      <c r="G54" s="426">
        <v>30285500</v>
      </c>
      <c r="H54" s="427">
        <v>55.569724770642203</v>
      </c>
    </row>
    <row r="55" spans="3:8" x14ac:dyDescent="0.3">
      <c r="C55" s="372" t="s">
        <v>4708</v>
      </c>
      <c r="D55" s="422">
        <v>54500000</v>
      </c>
      <c r="E55" s="422">
        <v>24214500</v>
      </c>
      <c r="F55" s="423">
        <v>44.430275229357797</v>
      </c>
      <c r="G55" s="422">
        <v>30285500</v>
      </c>
      <c r="H55" s="423">
        <v>55.569724770642203</v>
      </c>
    </row>
    <row r="56" spans="3:8" x14ac:dyDescent="0.3">
      <c r="C56" s="390" t="s">
        <v>4713</v>
      </c>
      <c r="D56" s="428">
        <v>54500000</v>
      </c>
      <c r="E56" s="428">
        <v>24214500</v>
      </c>
      <c r="F56" s="429">
        <v>44.430275229357797</v>
      </c>
      <c r="G56" s="428">
        <v>30285500</v>
      </c>
      <c r="H56" s="429">
        <v>55.569724770642203</v>
      </c>
    </row>
    <row r="57" spans="3:8" x14ac:dyDescent="0.3">
      <c r="C57" s="374" t="s">
        <v>4730</v>
      </c>
      <c r="D57" s="430">
        <v>54500000</v>
      </c>
      <c r="E57" s="430">
        <v>24214500</v>
      </c>
      <c r="F57" s="431">
        <v>44.430275229357797</v>
      </c>
      <c r="G57" s="430">
        <v>30285500</v>
      </c>
      <c r="H57" s="431">
        <v>55.569724770642203</v>
      </c>
    </row>
    <row r="58" spans="3:8" x14ac:dyDescent="0.3">
      <c r="C58" s="378" t="s">
        <v>4698</v>
      </c>
      <c r="D58" s="422">
        <v>21250000</v>
      </c>
      <c r="E58" s="422">
        <v>3120000</v>
      </c>
      <c r="F58" s="423">
        <v>14.682352941176472</v>
      </c>
      <c r="G58" s="422">
        <v>18130000</v>
      </c>
      <c r="H58" s="423">
        <v>85.317647058823525</v>
      </c>
    </row>
    <row r="59" spans="3:8" x14ac:dyDescent="0.3">
      <c r="C59" s="378" t="s">
        <v>4702</v>
      </c>
      <c r="D59" s="422">
        <v>33250000</v>
      </c>
      <c r="E59" s="422">
        <v>21094500</v>
      </c>
      <c r="F59" s="423">
        <v>63.442105263157899</v>
      </c>
      <c r="G59" s="422">
        <v>12155500</v>
      </c>
      <c r="H59" s="423">
        <v>36.557894736842108</v>
      </c>
    </row>
    <row r="60" spans="3:8" x14ac:dyDescent="0.3">
      <c r="C60" s="372" t="s">
        <v>4721</v>
      </c>
      <c r="D60" s="422">
        <v>10375804000</v>
      </c>
      <c r="E60" s="422">
        <v>5698800832</v>
      </c>
      <c r="F60" s="423">
        <v>54.923944515528632</v>
      </c>
      <c r="G60" s="422">
        <v>4677003168</v>
      </c>
      <c r="H60" s="423">
        <v>45.076055484471375</v>
      </c>
    </row>
    <row r="61" spans="3:8" x14ac:dyDescent="0.3">
      <c r="C61" s="372" t="s">
        <v>4722</v>
      </c>
      <c r="D61" s="422">
        <v>4293304000</v>
      </c>
      <c r="E61" s="422">
        <v>2222086920</v>
      </c>
      <c r="F61" s="423">
        <v>51.75703653875896</v>
      </c>
      <c r="G61" s="422">
        <v>2071217080</v>
      </c>
      <c r="H61" s="423">
        <v>48.24296346124104</v>
      </c>
    </row>
    <row r="62" spans="3:8" x14ac:dyDescent="0.3">
      <c r="C62" s="373" t="s">
        <v>535</v>
      </c>
      <c r="D62" s="424">
        <v>17357000</v>
      </c>
      <c r="E62" s="424">
        <v>13647358</v>
      </c>
      <c r="F62" s="425">
        <v>78.627401048568302</v>
      </c>
      <c r="G62" s="424">
        <v>3709642</v>
      </c>
      <c r="H62" s="425">
        <v>21.372598951431698</v>
      </c>
    </row>
    <row r="63" spans="3:8" x14ac:dyDescent="0.3">
      <c r="C63" s="226" t="s">
        <v>538</v>
      </c>
      <c r="D63" s="426">
        <v>17357000</v>
      </c>
      <c r="E63" s="426">
        <v>13647358</v>
      </c>
      <c r="F63" s="427">
        <v>78.627401048568302</v>
      </c>
      <c r="G63" s="426">
        <v>3709642</v>
      </c>
      <c r="H63" s="427">
        <v>21.372598951431698</v>
      </c>
    </row>
    <row r="64" spans="3:8" x14ac:dyDescent="0.3">
      <c r="C64" s="372" t="s">
        <v>4743</v>
      </c>
      <c r="D64" s="422">
        <v>17357000</v>
      </c>
      <c r="E64" s="422">
        <v>13647358</v>
      </c>
      <c r="F64" s="423">
        <v>78.627401048568302</v>
      </c>
      <c r="G64" s="422">
        <v>3709642</v>
      </c>
      <c r="H64" s="423">
        <v>21.372598951431698</v>
      </c>
    </row>
    <row r="65" spans="3:8" x14ac:dyDescent="0.3">
      <c r="C65" s="390" t="s">
        <v>4742</v>
      </c>
      <c r="D65" s="428">
        <v>17357000</v>
      </c>
      <c r="E65" s="428">
        <v>13647358</v>
      </c>
      <c r="F65" s="429">
        <v>78.627401048568302</v>
      </c>
      <c r="G65" s="428">
        <v>3709642</v>
      </c>
      <c r="H65" s="429">
        <v>21.372598951431698</v>
      </c>
    </row>
    <row r="66" spans="3:8" x14ac:dyDescent="0.3">
      <c r="C66" s="374" t="s">
        <v>4747</v>
      </c>
      <c r="D66" s="430">
        <v>17357000</v>
      </c>
      <c r="E66" s="430">
        <v>13647358</v>
      </c>
      <c r="F66" s="431">
        <v>78.627401048568302</v>
      </c>
      <c r="G66" s="430">
        <v>3709642</v>
      </c>
      <c r="H66" s="431">
        <v>21.372598951431698</v>
      </c>
    </row>
    <row r="67" spans="3:8" x14ac:dyDescent="0.3">
      <c r="C67" s="378" t="s">
        <v>4698</v>
      </c>
      <c r="D67" s="422">
        <v>4000000</v>
      </c>
      <c r="E67" s="422">
        <v>3999200</v>
      </c>
      <c r="F67" s="423">
        <v>99.98</v>
      </c>
      <c r="G67" s="422">
        <v>800</v>
      </c>
      <c r="H67" s="423">
        <v>0.02</v>
      </c>
    </row>
    <row r="68" spans="3:8" x14ac:dyDescent="0.3">
      <c r="C68" s="378" t="s">
        <v>4711</v>
      </c>
      <c r="D68" s="422">
        <v>4298000</v>
      </c>
      <c r="E68" s="422">
        <v>4297458</v>
      </c>
      <c r="F68" s="423">
        <v>99.987389483480698</v>
      </c>
      <c r="G68" s="422">
        <v>542</v>
      </c>
      <c r="H68" s="423">
        <v>1.2610516519311306E-2</v>
      </c>
    </row>
    <row r="69" spans="3:8" x14ac:dyDescent="0.3">
      <c r="C69" s="378" t="s">
        <v>4702</v>
      </c>
      <c r="D69" s="422">
        <v>9059000</v>
      </c>
      <c r="E69" s="422">
        <v>5350700</v>
      </c>
      <c r="F69" s="423">
        <v>59.065018213930898</v>
      </c>
      <c r="G69" s="422">
        <v>3708300</v>
      </c>
      <c r="H69" s="423">
        <v>40.934981786069102</v>
      </c>
    </row>
    <row r="70" spans="3:8" x14ac:dyDescent="0.3">
      <c r="C70" s="373" t="s">
        <v>531</v>
      </c>
      <c r="D70" s="424">
        <v>193769000</v>
      </c>
      <c r="E70" s="424">
        <v>127448590</v>
      </c>
      <c r="F70" s="425">
        <v>65.773467376102474</v>
      </c>
      <c r="G70" s="424">
        <v>66320410</v>
      </c>
      <c r="H70" s="425">
        <v>34.226532623897526</v>
      </c>
    </row>
    <row r="71" spans="3:8" x14ac:dyDescent="0.3">
      <c r="C71" s="226" t="s">
        <v>532</v>
      </c>
      <c r="D71" s="426">
        <v>83506000</v>
      </c>
      <c r="E71" s="426">
        <v>78297590</v>
      </c>
      <c r="F71" s="427">
        <v>93.762831413311616</v>
      </c>
      <c r="G71" s="426">
        <v>5208410</v>
      </c>
      <c r="H71" s="427">
        <v>6.2371685866883819</v>
      </c>
    </row>
    <row r="72" spans="3:8" x14ac:dyDescent="0.3">
      <c r="C72" s="372" t="s">
        <v>4743</v>
      </c>
      <c r="D72" s="422">
        <v>83506000</v>
      </c>
      <c r="E72" s="422">
        <v>78297590</v>
      </c>
      <c r="F72" s="423">
        <v>93.762831413311616</v>
      </c>
      <c r="G72" s="422">
        <v>5208410</v>
      </c>
      <c r="H72" s="423">
        <v>6.2371685866883819</v>
      </c>
    </row>
    <row r="73" spans="3:8" x14ac:dyDescent="0.3">
      <c r="C73" s="390" t="s">
        <v>4742</v>
      </c>
      <c r="D73" s="428">
        <v>83506000</v>
      </c>
      <c r="E73" s="428">
        <v>78297590</v>
      </c>
      <c r="F73" s="429">
        <v>93.762831413311616</v>
      </c>
      <c r="G73" s="428">
        <v>5208410</v>
      </c>
      <c r="H73" s="429">
        <v>6.2371685866883819</v>
      </c>
    </row>
    <row r="74" spans="3:8" x14ac:dyDescent="0.3">
      <c r="C74" s="374" t="s">
        <v>4748</v>
      </c>
      <c r="D74" s="430">
        <v>83506000</v>
      </c>
      <c r="E74" s="430">
        <v>78297590</v>
      </c>
      <c r="F74" s="431">
        <v>93.762831413311616</v>
      </c>
      <c r="G74" s="430">
        <v>5208410</v>
      </c>
      <c r="H74" s="431">
        <v>6.2371685866883819</v>
      </c>
    </row>
    <row r="75" spans="3:8" x14ac:dyDescent="0.3">
      <c r="C75" s="378" t="s">
        <v>4698</v>
      </c>
      <c r="D75" s="422">
        <v>12550000</v>
      </c>
      <c r="E75" s="422">
        <v>11542500</v>
      </c>
      <c r="F75" s="423">
        <v>91.972111553784856</v>
      </c>
      <c r="G75" s="422">
        <v>1007500</v>
      </c>
      <c r="H75" s="423">
        <v>8.0278884462151403</v>
      </c>
    </row>
    <row r="76" spans="3:8" x14ac:dyDescent="0.3">
      <c r="C76" s="378" t="s">
        <v>4711</v>
      </c>
      <c r="D76" s="422">
        <v>1192000</v>
      </c>
      <c r="E76" s="422">
        <v>1191418</v>
      </c>
      <c r="F76" s="423">
        <v>99.951174496644285</v>
      </c>
      <c r="G76" s="422">
        <v>582</v>
      </c>
      <c r="H76" s="423">
        <v>4.8825503355704701E-2</v>
      </c>
    </row>
    <row r="77" spans="3:8" x14ac:dyDescent="0.3">
      <c r="C77" s="378" t="s">
        <v>4701</v>
      </c>
      <c r="D77" s="422">
        <v>9000000</v>
      </c>
      <c r="E77" s="422">
        <v>4800000</v>
      </c>
      <c r="F77" s="423">
        <v>53.333333333333336</v>
      </c>
      <c r="G77" s="422">
        <v>4200000</v>
      </c>
      <c r="H77" s="423">
        <v>46.666666666666664</v>
      </c>
    </row>
    <row r="78" spans="3:8" x14ac:dyDescent="0.3">
      <c r="C78" s="378" t="s">
        <v>4702</v>
      </c>
      <c r="D78" s="422">
        <v>60764000</v>
      </c>
      <c r="E78" s="422">
        <v>60763672</v>
      </c>
      <c r="F78" s="423">
        <v>99.999460206701343</v>
      </c>
      <c r="G78" s="422">
        <v>328</v>
      </c>
      <c r="H78" s="423">
        <v>5.3979329866368244E-4</v>
      </c>
    </row>
    <row r="79" spans="3:8" x14ac:dyDescent="0.3">
      <c r="C79" s="226" t="s">
        <v>534</v>
      </c>
      <c r="D79" s="426">
        <v>110263000</v>
      </c>
      <c r="E79" s="426">
        <v>49151000</v>
      </c>
      <c r="F79" s="427">
        <v>44.576149751049762</v>
      </c>
      <c r="G79" s="426">
        <v>61112000</v>
      </c>
      <c r="H79" s="427">
        <v>55.423850248950238</v>
      </c>
    </row>
    <row r="80" spans="3:8" x14ac:dyDescent="0.3">
      <c r="C80" s="372" t="s">
        <v>4743</v>
      </c>
      <c r="D80" s="422">
        <v>110263000</v>
      </c>
      <c r="E80" s="422">
        <v>49151000</v>
      </c>
      <c r="F80" s="423">
        <v>44.576149751049762</v>
      </c>
      <c r="G80" s="422">
        <v>61112000</v>
      </c>
      <c r="H80" s="423">
        <v>55.423850248950238</v>
      </c>
    </row>
    <row r="81" spans="3:8" x14ac:dyDescent="0.3">
      <c r="C81" s="390" t="s">
        <v>4742</v>
      </c>
      <c r="D81" s="428">
        <v>110263000</v>
      </c>
      <c r="E81" s="428">
        <v>49151000</v>
      </c>
      <c r="F81" s="429">
        <v>44.576149751049762</v>
      </c>
      <c r="G81" s="428">
        <v>61112000</v>
      </c>
      <c r="H81" s="429">
        <v>55.423850248950238</v>
      </c>
    </row>
    <row r="82" spans="3:8" x14ac:dyDescent="0.3">
      <c r="C82" s="374" t="s">
        <v>4750</v>
      </c>
      <c r="D82" s="430">
        <v>110263000</v>
      </c>
      <c r="E82" s="430">
        <v>49151000</v>
      </c>
      <c r="F82" s="431">
        <v>44.576149751049762</v>
      </c>
      <c r="G82" s="430">
        <v>61112000</v>
      </c>
      <c r="H82" s="431">
        <v>55.423850248950238</v>
      </c>
    </row>
    <row r="83" spans="3:8" x14ac:dyDescent="0.3">
      <c r="C83" s="378" t="s">
        <v>4698</v>
      </c>
      <c r="D83" s="422">
        <v>17550000</v>
      </c>
      <c r="E83" s="422">
        <v>9469000</v>
      </c>
      <c r="F83" s="423">
        <v>53.954415954415957</v>
      </c>
      <c r="G83" s="422">
        <v>8081000</v>
      </c>
      <c r="H83" s="423">
        <v>46.04558404558405</v>
      </c>
    </row>
    <row r="84" spans="3:8" x14ac:dyDescent="0.3">
      <c r="C84" s="378" t="s">
        <v>4711</v>
      </c>
      <c r="D84" s="422">
        <v>27651000</v>
      </c>
      <c r="E84" s="422">
        <v>620000</v>
      </c>
      <c r="F84" s="423">
        <v>2.2422335539401832</v>
      </c>
      <c r="G84" s="422">
        <v>27031000</v>
      </c>
      <c r="H84" s="423">
        <v>97.757766446059819</v>
      </c>
    </row>
    <row r="85" spans="3:8" x14ac:dyDescent="0.3">
      <c r="C85" s="378" t="s">
        <v>4701</v>
      </c>
      <c r="D85" s="422">
        <v>40000000</v>
      </c>
      <c r="E85" s="422">
        <v>14000000</v>
      </c>
      <c r="F85" s="423">
        <v>35</v>
      </c>
      <c r="G85" s="422">
        <v>26000000</v>
      </c>
      <c r="H85" s="423">
        <v>65</v>
      </c>
    </row>
    <row r="86" spans="3:8" x14ac:dyDescent="0.3">
      <c r="C86" s="378" t="s">
        <v>4702</v>
      </c>
      <c r="D86" s="422">
        <v>25062000</v>
      </c>
      <c r="E86" s="422">
        <v>25062000</v>
      </c>
      <c r="F86" s="423">
        <v>100</v>
      </c>
      <c r="G86" s="422">
        <v>0</v>
      </c>
      <c r="H86" s="423">
        <v>0</v>
      </c>
    </row>
    <row r="87" spans="3:8" x14ac:dyDescent="0.3">
      <c r="C87" s="373" t="s">
        <v>542</v>
      </c>
      <c r="D87" s="424">
        <v>463716000</v>
      </c>
      <c r="E87" s="424">
        <v>236473592</v>
      </c>
      <c r="F87" s="425">
        <v>50.995348877330095</v>
      </c>
      <c r="G87" s="424">
        <v>227242408</v>
      </c>
      <c r="H87" s="425">
        <v>49.004651122669912</v>
      </c>
    </row>
    <row r="88" spans="3:8" x14ac:dyDescent="0.3">
      <c r="C88" s="226" t="s">
        <v>591</v>
      </c>
      <c r="D88" s="426">
        <v>169798000</v>
      </c>
      <c r="E88" s="426">
        <v>105796297</v>
      </c>
      <c r="F88" s="427">
        <v>62.307151438768415</v>
      </c>
      <c r="G88" s="426">
        <v>64001703</v>
      </c>
      <c r="H88" s="427">
        <v>37.692848561231578</v>
      </c>
    </row>
    <row r="89" spans="3:8" x14ac:dyDescent="0.3">
      <c r="C89" s="372" t="s">
        <v>4775</v>
      </c>
      <c r="D89" s="422">
        <v>169798000</v>
      </c>
      <c r="E89" s="422">
        <v>105796297</v>
      </c>
      <c r="F89" s="423">
        <v>62.307151438768415</v>
      </c>
      <c r="G89" s="422">
        <v>64001703</v>
      </c>
      <c r="H89" s="423">
        <v>37.692848561231578</v>
      </c>
    </row>
    <row r="90" spans="3:8" x14ac:dyDescent="0.3">
      <c r="C90" s="390" t="s">
        <v>4774</v>
      </c>
      <c r="D90" s="428">
        <v>119729000</v>
      </c>
      <c r="E90" s="428">
        <v>77314297</v>
      </c>
      <c r="F90" s="429">
        <v>64.574411379030977</v>
      </c>
      <c r="G90" s="428">
        <v>42414703</v>
      </c>
      <c r="H90" s="429">
        <v>35.425588620969023</v>
      </c>
    </row>
    <row r="91" spans="3:8" x14ac:dyDescent="0.3">
      <c r="C91" s="374" t="s">
        <v>4726</v>
      </c>
      <c r="D91" s="430">
        <v>43789000</v>
      </c>
      <c r="E91" s="430">
        <v>6778028</v>
      </c>
      <c r="F91" s="431">
        <v>15.47883715088264</v>
      </c>
      <c r="G91" s="430">
        <v>37010972</v>
      </c>
      <c r="H91" s="431">
        <v>84.52116284911736</v>
      </c>
    </row>
    <row r="92" spans="3:8" x14ac:dyDescent="0.3">
      <c r="C92" s="378" t="s">
        <v>4698</v>
      </c>
      <c r="D92" s="422">
        <v>23250000</v>
      </c>
      <c r="E92" s="422">
        <v>6278500</v>
      </c>
      <c r="F92" s="423">
        <v>27.004301075268817</v>
      </c>
      <c r="G92" s="422">
        <v>16971500</v>
      </c>
      <c r="H92" s="423">
        <v>72.995698924731172</v>
      </c>
    </row>
    <row r="93" spans="3:8" x14ac:dyDescent="0.3">
      <c r="C93" s="378" t="s">
        <v>4711</v>
      </c>
      <c r="D93" s="422">
        <v>2000000</v>
      </c>
      <c r="E93" s="422">
        <v>499528</v>
      </c>
      <c r="F93" s="423">
        <v>24.976400000000002</v>
      </c>
      <c r="G93" s="422">
        <v>1500472</v>
      </c>
      <c r="H93" s="423">
        <v>75.023600000000002</v>
      </c>
    </row>
    <row r="94" spans="3:8" x14ac:dyDescent="0.3">
      <c r="C94" s="378" t="s">
        <v>4702</v>
      </c>
      <c r="D94" s="422">
        <v>18539000</v>
      </c>
      <c r="E94" s="422">
        <v>0</v>
      </c>
      <c r="F94" s="423">
        <v>0</v>
      </c>
      <c r="G94" s="422">
        <v>18539000</v>
      </c>
      <c r="H94" s="423">
        <v>100</v>
      </c>
    </row>
    <row r="95" spans="3:8" x14ac:dyDescent="0.3">
      <c r="C95" s="374" t="s">
        <v>4727</v>
      </c>
      <c r="D95" s="430">
        <v>75940000</v>
      </c>
      <c r="E95" s="430">
        <v>70536269</v>
      </c>
      <c r="F95" s="431">
        <v>92.884209902554645</v>
      </c>
      <c r="G95" s="430">
        <v>5403731</v>
      </c>
      <c r="H95" s="431">
        <v>7.1157900974453518</v>
      </c>
    </row>
    <row r="96" spans="3:8" x14ac:dyDescent="0.3">
      <c r="C96" s="378" t="s">
        <v>4698</v>
      </c>
      <c r="D96" s="422">
        <v>13525000</v>
      </c>
      <c r="E96" s="422">
        <v>9519000</v>
      </c>
      <c r="F96" s="423">
        <v>70.380776340110913</v>
      </c>
      <c r="G96" s="422">
        <v>4006000</v>
      </c>
      <c r="H96" s="423">
        <v>29.619223659889094</v>
      </c>
    </row>
    <row r="97" spans="3:8" x14ac:dyDescent="0.3">
      <c r="C97" s="378" t="s">
        <v>4711</v>
      </c>
      <c r="D97" s="422">
        <v>2000000</v>
      </c>
      <c r="E97" s="422">
        <v>603014</v>
      </c>
      <c r="F97" s="423">
        <v>30.150700000000004</v>
      </c>
      <c r="G97" s="422">
        <v>1396986</v>
      </c>
      <c r="H97" s="423">
        <v>69.849299999999999</v>
      </c>
    </row>
    <row r="98" spans="3:8" x14ac:dyDescent="0.3">
      <c r="C98" s="378" t="s">
        <v>4702</v>
      </c>
      <c r="D98" s="422">
        <v>60415000</v>
      </c>
      <c r="E98" s="422">
        <v>60414255</v>
      </c>
      <c r="F98" s="423">
        <v>99.99876686253414</v>
      </c>
      <c r="G98" s="422">
        <v>745</v>
      </c>
      <c r="H98" s="423">
        <v>1.2331374658611273E-3</v>
      </c>
    </row>
    <row r="99" spans="3:8" x14ac:dyDescent="0.3">
      <c r="C99" s="390" t="s">
        <v>4776</v>
      </c>
      <c r="D99" s="428">
        <v>50069000</v>
      </c>
      <c r="E99" s="428">
        <v>28482000</v>
      </c>
      <c r="F99" s="429">
        <v>56.885498012742417</v>
      </c>
      <c r="G99" s="428">
        <v>21587000</v>
      </c>
      <c r="H99" s="429">
        <v>43.114501987257583</v>
      </c>
    </row>
    <row r="100" spans="3:8" x14ac:dyDescent="0.3">
      <c r="C100" s="374" t="s">
        <v>4777</v>
      </c>
      <c r="D100" s="430">
        <v>50069000</v>
      </c>
      <c r="E100" s="430">
        <v>28482000</v>
      </c>
      <c r="F100" s="431">
        <v>56.885498012742417</v>
      </c>
      <c r="G100" s="430">
        <v>21587000</v>
      </c>
      <c r="H100" s="431">
        <v>43.114501987257583</v>
      </c>
    </row>
    <row r="101" spans="3:8" x14ac:dyDescent="0.3">
      <c r="C101" s="378" t="s">
        <v>4698</v>
      </c>
      <c r="D101" s="422">
        <v>17900000</v>
      </c>
      <c r="E101" s="422">
        <v>8344000</v>
      </c>
      <c r="F101" s="423">
        <v>46.614525139664806</v>
      </c>
      <c r="G101" s="422">
        <v>9556000</v>
      </c>
      <c r="H101" s="423">
        <v>53.385474860335194</v>
      </c>
    </row>
    <row r="102" spans="3:8" x14ac:dyDescent="0.3">
      <c r="C102" s="378" t="s">
        <v>4711</v>
      </c>
      <c r="D102" s="422">
        <v>2000000</v>
      </c>
      <c r="E102" s="422">
        <v>0</v>
      </c>
      <c r="F102" s="423">
        <v>0</v>
      </c>
      <c r="G102" s="422">
        <v>2000000</v>
      </c>
      <c r="H102" s="423">
        <v>100</v>
      </c>
    </row>
    <row r="103" spans="3:8" x14ac:dyDescent="0.3">
      <c r="C103" s="378" t="s">
        <v>4702</v>
      </c>
      <c r="D103" s="422">
        <v>30169000</v>
      </c>
      <c r="E103" s="422">
        <v>20138000</v>
      </c>
      <c r="F103" s="423">
        <v>66.750638072193311</v>
      </c>
      <c r="G103" s="422">
        <v>10031000</v>
      </c>
      <c r="H103" s="423">
        <v>33.249361927806689</v>
      </c>
    </row>
    <row r="104" spans="3:8" x14ac:dyDescent="0.3">
      <c r="C104" s="226" t="s">
        <v>543</v>
      </c>
      <c r="D104" s="426">
        <v>293918000</v>
      </c>
      <c r="E104" s="426">
        <v>130677295</v>
      </c>
      <c r="F104" s="427">
        <v>44.460460060288924</v>
      </c>
      <c r="G104" s="426">
        <v>163240705</v>
      </c>
      <c r="H104" s="427">
        <v>55.539539939711076</v>
      </c>
    </row>
    <row r="105" spans="3:8" x14ac:dyDescent="0.3">
      <c r="C105" s="372" t="s">
        <v>4741</v>
      </c>
      <c r="D105" s="422">
        <v>113346000</v>
      </c>
      <c r="E105" s="422">
        <v>28697850</v>
      </c>
      <c r="F105" s="423">
        <v>25.318802604414802</v>
      </c>
      <c r="G105" s="422">
        <v>84648150</v>
      </c>
      <c r="H105" s="423">
        <v>74.681197395585201</v>
      </c>
    </row>
    <row r="106" spans="3:8" x14ac:dyDescent="0.3">
      <c r="C106" s="390" t="s">
        <v>4740</v>
      </c>
      <c r="D106" s="428">
        <v>113346000</v>
      </c>
      <c r="E106" s="428">
        <v>28697850</v>
      </c>
      <c r="F106" s="429">
        <v>25.318802604414802</v>
      </c>
      <c r="G106" s="428">
        <v>84648150</v>
      </c>
      <c r="H106" s="429">
        <v>74.681197395585201</v>
      </c>
    </row>
    <row r="107" spans="3:8" x14ac:dyDescent="0.3">
      <c r="C107" s="374" t="s">
        <v>4739</v>
      </c>
      <c r="D107" s="430">
        <v>113346000</v>
      </c>
      <c r="E107" s="430">
        <v>28697850</v>
      </c>
      <c r="F107" s="431">
        <v>25.318802604414802</v>
      </c>
      <c r="G107" s="430">
        <v>84648150</v>
      </c>
      <c r="H107" s="431">
        <v>74.681197395585201</v>
      </c>
    </row>
    <row r="108" spans="3:8" x14ac:dyDescent="0.3">
      <c r="C108" s="378" t="s">
        <v>4698</v>
      </c>
      <c r="D108" s="422">
        <v>12400000</v>
      </c>
      <c r="E108" s="422">
        <v>5947500</v>
      </c>
      <c r="F108" s="423">
        <v>47.963709677419352</v>
      </c>
      <c r="G108" s="422">
        <v>6452500</v>
      </c>
      <c r="H108" s="423">
        <v>52.036290322580648</v>
      </c>
    </row>
    <row r="109" spans="3:8" x14ac:dyDescent="0.3">
      <c r="C109" s="378" t="s">
        <v>4716</v>
      </c>
      <c r="D109" s="422">
        <v>10000000</v>
      </c>
      <c r="E109" s="422">
        <v>4379750</v>
      </c>
      <c r="F109" s="423">
        <v>43.797499999999999</v>
      </c>
      <c r="G109" s="422">
        <v>5620250</v>
      </c>
      <c r="H109" s="423">
        <v>56.202500000000001</v>
      </c>
    </row>
    <row r="110" spans="3:8" ht="17.100000000000001" customHeight="1" x14ac:dyDescent="0.3">
      <c r="C110" s="378" t="s">
        <v>4702</v>
      </c>
      <c r="D110" s="422">
        <v>90946000</v>
      </c>
      <c r="E110" s="422">
        <v>18370600</v>
      </c>
      <c r="F110" s="423">
        <v>20.199459019638027</v>
      </c>
      <c r="G110" s="422">
        <v>72575400</v>
      </c>
      <c r="H110" s="423">
        <v>79.800540980361973</v>
      </c>
    </row>
    <row r="111" spans="3:8" x14ac:dyDescent="0.3">
      <c r="C111" s="372" t="s">
        <v>4769</v>
      </c>
      <c r="D111" s="422">
        <v>180572000</v>
      </c>
      <c r="E111" s="422">
        <v>101979445</v>
      </c>
      <c r="F111" s="423">
        <v>56.475779744367891</v>
      </c>
      <c r="G111" s="422">
        <v>78592555</v>
      </c>
      <c r="H111" s="423">
        <v>43.524220255632102</v>
      </c>
    </row>
    <row r="112" spans="3:8" x14ac:dyDescent="0.3">
      <c r="C112" s="390" t="s">
        <v>4770</v>
      </c>
      <c r="D112" s="428">
        <v>180572000</v>
      </c>
      <c r="E112" s="428">
        <v>101979445</v>
      </c>
      <c r="F112" s="429">
        <v>56.475779744367891</v>
      </c>
      <c r="G112" s="428">
        <v>78592555</v>
      </c>
      <c r="H112" s="429">
        <v>43.524220255632102</v>
      </c>
    </row>
    <row r="113" spans="3:8" x14ac:dyDescent="0.3">
      <c r="C113" s="374" t="s">
        <v>4771</v>
      </c>
      <c r="D113" s="430">
        <v>22164000</v>
      </c>
      <c r="E113" s="430">
        <v>13706395</v>
      </c>
      <c r="F113" s="431">
        <v>61.84080039704024</v>
      </c>
      <c r="G113" s="430">
        <v>8457605</v>
      </c>
      <c r="H113" s="431">
        <v>38.159199602959752</v>
      </c>
    </row>
    <row r="114" spans="3:8" x14ac:dyDescent="0.3">
      <c r="C114" s="378" t="s">
        <v>4698</v>
      </c>
      <c r="D114" s="422">
        <v>6000000</v>
      </c>
      <c r="E114" s="422">
        <v>2991000</v>
      </c>
      <c r="F114" s="423">
        <v>49.85</v>
      </c>
      <c r="G114" s="422">
        <v>3009000</v>
      </c>
      <c r="H114" s="423">
        <v>50.149999999999991</v>
      </c>
    </row>
    <row r="115" spans="3:8" x14ac:dyDescent="0.3">
      <c r="C115" s="378" t="s">
        <v>4711</v>
      </c>
      <c r="D115" s="422">
        <v>1000000</v>
      </c>
      <c r="E115" s="422">
        <v>702895</v>
      </c>
      <c r="F115" s="423">
        <v>70.289500000000004</v>
      </c>
      <c r="G115" s="422">
        <v>297105</v>
      </c>
      <c r="H115" s="423">
        <v>29.7105</v>
      </c>
    </row>
    <row r="116" spans="3:8" x14ac:dyDescent="0.3">
      <c r="C116" s="378" t="s">
        <v>4716</v>
      </c>
      <c r="D116" s="422">
        <v>10000000</v>
      </c>
      <c r="E116" s="422">
        <v>4849000</v>
      </c>
      <c r="F116" s="423">
        <v>48.49</v>
      </c>
      <c r="G116" s="422">
        <v>5151000</v>
      </c>
      <c r="H116" s="423">
        <v>51.51</v>
      </c>
    </row>
    <row r="117" spans="3:8" ht="17.100000000000001" customHeight="1" x14ac:dyDescent="0.3">
      <c r="C117" s="378" t="s">
        <v>4702</v>
      </c>
      <c r="D117" s="422">
        <v>5164000</v>
      </c>
      <c r="E117" s="422">
        <v>5163500</v>
      </c>
      <c r="F117" s="423">
        <v>99.990317583268791</v>
      </c>
      <c r="G117" s="422">
        <v>500</v>
      </c>
      <c r="H117" s="423">
        <v>9.6824167312161129E-3</v>
      </c>
    </row>
    <row r="118" spans="3:8" x14ac:dyDescent="0.3">
      <c r="C118" s="374" t="s">
        <v>4772</v>
      </c>
      <c r="D118" s="430">
        <v>78000000</v>
      </c>
      <c r="E118" s="430">
        <v>20151000</v>
      </c>
      <c r="F118" s="431">
        <v>25.834615384615383</v>
      </c>
      <c r="G118" s="430">
        <v>57849000</v>
      </c>
      <c r="H118" s="431">
        <v>74.16538461538461</v>
      </c>
    </row>
    <row r="119" spans="3:8" ht="17.100000000000001" customHeight="1" x14ac:dyDescent="0.3">
      <c r="C119" s="378" t="s">
        <v>4698</v>
      </c>
      <c r="D119" s="422">
        <v>12000000</v>
      </c>
      <c r="E119" s="422">
        <v>5939000</v>
      </c>
      <c r="F119" s="423">
        <v>49.491666666666667</v>
      </c>
      <c r="G119" s="422">
        <v>6061000</v>
      </c>
      <c r="H119" s="423">
        <v>50.508333333333333</v>
      </c>
    </row>
    <row r="120" spans="3:8" ht="17.100000000000001" customHeight="1" x14ac:dyDescent="0.3">
      <c r="C120" s="378" t="s">
        <v>4711</v>
      </c>
      <c r="D120" s="422">
        <v>1000000</v>
      </c>
      <c r="E120" s="422">
        <v>0</v>
      </c>
      <c r="F120" s="423">
        <v>0</v>
      </c>
      <c r="G120" s="422">
        <v>1000000</v>
      </c>
      <c r="H120" s="423">
        <v>100</v>
      </c>
    </row>
    <row r="121" spans="3:8" ht="17.100000000000001" customHeight="1" x14ac:dyDescent="0.3">
      <c r="C121" s="378" t="s">
        <v>4716</v>
      </c>
      <c r="D121" s="422">
        <v>20000000</v>
      </c>
      <c r="E121" s="422">
        <v>9783000</v>
      </c>
      <c r="F121" s="423">
        <v>48.914999999999999</v>
      </c>
      <c r="G121" s="422">
        <v>10217000</v>
      </c>
      <c r="H121" s="423">
        <v>51.085000000000001</v>
      </c>
    </row>
    <row r="122" spans="3:8" x14ac:dyDescent="0.3">
      <c r="C122" s="378" t="s">
        <v>4702</v>
      </c>
      <c r="D122" s="422">
        <v>45000000</v>
      </c>
      <c r="E122" s="422">
        <v>4429000</v>
      </c>
      <c r="F122" s="423">
        <v>9.8422222222222224</v>
      </c>
      <c r="G122" s="422">
        <v>40571000</v>
      </c>
      <c r="H122" s="423">
        <v>90.157777777777781</v>
      </c>
    </row>
    <row r="123" spans="3:8" x14ac:dyDescent="0.3">
      <c r="C123" s="374" t="s">
        <v>4773</v>
      </c>
      <c r="D123" s="430">
        <v>80408000</v>
      </c>
      <c r="E123" s="430">
        <v>68122050</v>
      </c>
      <c r="F123" s="431">
        <v>84.720488011143175</v>
      </c>
      <c r="G123" s="430">
        <v>12285950</v>
      </c>
      <c r="H123" s="431">
        <v>15.27951198885683</v>
      </c>
    </row>
    <row r="124" spans="3:8" x14ac:dyDescent="0.3">
      <c r="C124" s="378" t="s">
        <v>4698</v>
      </c>
      <c r="D124" s="422">
        <v>21000000</v>
      </c>
      <c r="E124" s="422">
        <v>16388500</v>
      </c>
      <c r="F124" s="423">
        <v>78.040476190476198</v>
      </c>
      <c r="G124" s="422">
        <v>4611500</v>
      </c>
      <c r="H124" s="423">
        <v>21.959523809523809</v>
      </c>
    </row>
    <row r="125" spans="3:8" ht="17.100000000000001" customHeight="1" x14ac:dyDescent="0.3">
      <c r="C125" s="378" t="s">
        <v>4716</v>
      </c>
      <c r="D125" s="422">
        <v>17500000</v>
      </c>
      <c r="E125" s="422">
        <v>9825750</v>
      </c>
      <c r="F125" s="423">
        <v>56.14714285714286</v>
      </c>
      <c r="G125" s="422">
        <v>7674250</v>
      </c>
      <c r="H125" s="423">
        <v>43.852857142857147</v>
      </c>
    </row>
    <row r="126" spans="3:8" ht="17.100000000000001" customHeight="1" x14ac:dyDescent="0.3">
      <c r="C126" s="378" t="s">
        <v>4702</v>
      </c>
      <c r="D126" s="422">
        <v>41908000</v>
      </c>
      <c r="E126" s="422">
        <v>41907800</v>
      </c>
      <c r="F126" s="423">
        <v>99.999522764150043</v>
      </c>
      <c r="G126" s="422">
        <v>200</v>
      </c>
      <c r="H126" s="423">
        <v>4.7723584995704876E-4</v>
      </c>
    </row>
    <row r="127" spans="3:8" ht="17.100000000000001" customHeight="1" x14ac:dyDescent="0.3">
      <c r="C127" s="373" t="s">
        <v>576</v>
      </c>
      <c r="D127" s="424">
        <v>3618462000</v>
      </c>
      <c r="E127" s="424">
        <v>1844517380</v>
      </c>
      <c r="F127" s="425">
        <v>50.97517619364249</v>
      </c>
      <c r="G127" s="424">
        <v>1773944620</v>
      </c>
      <c r="H127" s="425">
        <v>49.02482380635751</v>
      </c>
    </row>
    <row r="128" spans="3:8" x14ac:dyDescent="0.3">
      <c r="C128" s="226" t="s">
        <v>546</v>
      </c>
      <c r="D128" s="426">
        <v>197920000</v>
      </c>
      <c r="E128" s="426">
        <v>136548520</v>
      </c>
      <c r="F128" s="427">
        <v>68.991774454324982</v>
      </c>
      <c r="G128" s="426">
        <v>61371480</v>
      </c>
      <c r="H128" s="427">
        <v>31.008225545675021</v>
      </c>
    </row>
    <row r="129" spans="3:8" x14ac:dyDescent="0.3">
      <c r="C129" s="372" t="s">
        <v>4778</v>
      </c>
      <c r="D129" s="422">
        <v>197920000</v>
      </c>
      <c r="E129" s="422">
        <v>136548520</v>
      </c>
      <c r="F129" s="423">
        <v>68.991774454324982</v>
      </c>
      <c r="G129" s="422">
        <v>61371480</v>
      </c>
      <c r="H129" s="423">
        <v>31.008225545675021</v>
      </c>
    </row>
    <row r="130" spans="3:8" x14ac:dyDescent="0.3">
      <c r="C130" s="390" t="s">
        <v>4779</v>
      </c>
      <c r="D130" s="428">
        <v>197920000</v>
      </c>
      <c r="E130" s="428">
        <v>136548520</v>
      </c>
      <c r="F130" s="429">
        <v>68.991774454324982</v>
      </c>
      <c r="G130" s="428">
        <v>61371480</v>
      </c>
      <c r="H130" s="429">
        <v>31.008225545675021</v>
      </c>
    </row>
    <row r="131" spans="3:8" x14ac:dyDescent="0.3">
      <c r="C131" s="374" t="s">
        <v>4780</v>
      </c>
      <c r="D131" s="430">
        <v>27102000</v>
      </c>
      <c r="E131" s="430">
        <v>22532552</v>
      </c>
      <c r="F131" s="431">
        <v>83.139812559958671</v>
      </c>
      <c r="G131" s="430">
        <v>4569448</v>
      </c>
      <c r="H131" s="431">
        <v>16.860187440041326</v>
      </c>
    </row>
    <row r="132" spans="3:8" ht="17.100000000000001" customHeight="1" x14ac:dyDescent="0.3">
      <c r="C132" s="378" t="s">
        <v>4698</v>
      </c>
      <c r="D132" s="422">
        <v>18400000</v>
      </c>
      <c r="E132" s="422">
        <v>13831000</v>
      </c>
      <c r="F132" s="423">
        <v>75.168478260869563</v>
      </c>
      <c r="G132" s="422">
        <v>4569000</v>
      </c>
      <c r="H132" s="423">
        <v>24.831521739130437</v>
      </c>
    </row>
    <row r="133" spans="3:8" ht="17.100000000000001" customHeight="1" x14ac:dyDescent="0.3">
      <c r="C133" s="378" t="s">
        <v>4702</v>
      </c>
      <c r="D133" s="422">
        <v>8702000</v>
      </c>
      <c r="E133" s="422">
        <v>8701552</v>
      </c>
      <c r="F133" s="423">
        <v>99.994851758216498</v>
      </c>
      <c r="G133" s="422">
        <v>448</v>
      </c>
      <c r="H133" s="423">
        <v>5.1482417834980464E-3</v>
      </c>
    </row>
    <row r="134" spans="3:8" x14ac:dyDescent="0.3">
      <c r="C134" s="374" t="s">
        <v>4781</v>
      </c>
      <c r="D134" s="430">
        <v>12850000</v>
      </c>
      <c r="E134" s="430">
        <v>7794000</v>
      </c>
      <c r="F134" s="431">
        <v>60.653696498054479</v>
      </c>
      <c r="G134" s="430">
        <v>5056000</v>
      </c>
      <c r="H134" s="431">
        <v>39.346303501945521</v>
      </c>
    </row>
    <row r="135" spans="3:8" x14ac:dyDescent="0.3">
      <c r="C135" s="378" t="s">
        <v>4698</v>
      </c>
      <c r="D135" s="422">
        <v>7500000</v>
      </c>
      <c r="E135" s="422">
        <v>4944000</v>
      </c>
      <c r="F135" s="423">
        <v>65.92</v>
      </c>
      <c r="G135" s="422">
        <v>2556000</v>
      </c>
      <c r="H135" s="423">
        <v>34.08</v>
      </c>
    </row>
    <row r="136" spans="3:8" ht="17.100000000000001" customHeight="1" x14ac:dyDescent="0.3">
      <c r="C136" s="378" t="s">
        <v>4702</v>
      </c>
      <c r="D136" s="422">
        <v>5350000</v>
      </c>
      <c r="E136" s="422">
        <v>2850000</v>
      </c>
      <c r="F136" s="423">
        <v>53.271028037383175</v>
      </c>
      <c r="G136" s="422">
        <v>2500000</v>
      </c>
      <c r="H136" s="423">
        <v>46.728971962616825</v>
      </c>
    </row>
    <row r="137" spans="3:8" x14ac:dyDescent="0.3">
      <c r="C137" s="374" t="s">
        <v>4782</v>
      </c>
      <c r="D137" s="430">
        <v>7500000</v>
      </c>
      <c r="E137" s="430">
        <v>4968500</v>
      </c>
      <c r="F137" s="431">
        <v>66.24666666666667</v>
      </c>
      <c r="G137" s="430">
        <v>2531500</v>
      </c>
      <c r="H137" s="431">
        <v>33.753333333333337</v>
      </c>
    </row>
    <row r="138" spans="3:8" ht="17.100000000000001" customHeight="1" x14ac:dyDescent="0.3">
      <c r="C138" s="378" t="s">
        <v>4698</v>
      </c>
      <c r="D138" s="422">
        <v>7500000</v>
      </c>
      <c r="E138" s="422">
        <v>4968500</v>
      </c>
      <c r="F138" s="423">
        <v>66.24666666666667</v>
      </c>
      <c r="G138" s="422">
        <v>2531500</v>
      </c>
      <c r="H138" s="423">
        <v>33.753333333333337</v>
      </c>
    </row>
    <row r="139" spans="3:8" x14ac:dyDescent="0.3">
      <c r="C139" s="374" t="s">
        <v>4783</v>
      </c>
      <c r="D139" s="430">
        <v>34635000</v>
      </c>
      <c r="E139" s="430">
        <v>31619468</v>
      </c>
      <c r="F139" s="431">
        <v>91.293396852894475</v>
      </c>
      <c r="G139" s="430">
        <v>3015532</v>
      </c>
      <c r="H139" s="431">
        <v>8.706603147105529</v>
      </c>
    </row>
    <row r="140" spans="3:8" ht="17.100000000000001" customHeight="1" x14ac:dyDescent="0.3">
      <c r="C140" s="378" t="s">
        <v>4698</v>
      </c>
      <c r="D140" s="422">
        <v>14000000</v>
      </c>
      <c r="E140" s="422">
        <v>10985000</v>
      </c>
      <c r="F140" s="423">
        <v>78.464285714285722</v>
      </c>
      <c r="G140" s="422">
        <v>3015000</v>
      </c>
      <c r="H140" s="423">
        <v>21.535714285714285</v>
      </c>
    </row>
    <row r="141" spans="3:8" x14ac:dyDescent="0.3">
      <c r="C141" s="378" t="s">
        <v>4702</v>
      </c>
      <c r="D141" s="422">
        <v>20635000</v>
      </c>
      <c r="E141" s="422">
        <v>20634468</v>
      </c>
      <c r="F141" s="423">
        <v>99.997421856069778</v>
      </c>
      <c r="G141" s="422">
        <v>532</v>
      </c>
      <c r="H141" s="423">
        <v>2.578143930215653E-3</v>
      </c>
    </row>
    <row r="142" spans="3:8" x14ac:dyDescent="0.3">
      <c r="C142" s="374" t="s">
        <v>4784</v>
      </c>
      <c r="D142" s="430">
        <v>7500000</v>
      </c>
      <c r="E142" s="430">
        <v>4944000</v>
      </c>
      <c r="F142" s="431">
        <v>65.92</v>
      </c>
      <c r="G142" s="430">
        <v>2556000</v>
      </c>
      <c r="H142" s="431">
        <v>34.08</v>
      </c>
    </row>
    <row r="143" spans="3:8" x14ac:dyDescent="0.3">
      <c r="C143" s="378" t="s">
        <v>4698</v>
      </c>
      <c r="D143" s="422">
        <v>7500000</v>
      </c>
      <c r="E143" s="422">
        <v>4944000</v>
      </c>
      <c r="F143" s="423">
        <v>65.92</v>
      </c>
      <c r="G143" s="422">
        <v>2556000</v>
      </c>
      <c r="H143" s="423">
        <v>34.08</v>
      </c>
    </row>
    <row r="144" spans="3:8" x14ac:dyDescent="0.3">
      <c r="C144" s="374" t="s">
        <v>4785</v>
      </c>
      <c r="D144" s="430">
        <v>108333000</v>
      </c>
      <c r="E144" s="430">
        <v>64690000</v>
      </c>
      <c r="F144" s="431">
        <v>59.714029889322738</v>
      </c>
      <c r="G144" s="430">
        <v>43643000</v>
      </c>
      <c r="H144" s="431">
        <v>40.285970110677269</v>
      </c>
    </row>
    <row r="145" spans="3:8" ht="17.100000000000001" customHeight="1" x14ac:dyDescent="0.3">
      <c r="C145" s="378" t="s">
        <v>4698</v>
      </c>
      <c r="D145" s="422">
        <v>4800000</v>
      </c>
      <c r="E145" s="422">
        <v>0</v>
      </c>
      <c r="F145" s="423">
        <v>0</v>
      </c>
      <c r="G145" s="422">
        <v>4800000</v>
      </c>
      <c r="H145" s="423">
        <v>100</v>
      </c>
    </row>
    <row r="146" spans="3:8" ht="17.100000000000001" customHeight="1" x14ac:dyDescent="0.3">
      <c r="C146" s="378" t="s">
        <v>4716</v>
      </c>
      <c r="D146" s="422">
        <v>27500000</v>
      </c>
      <c r="E146" s="422">
        <v>9960000</v>
      </c>
      <c r="F146" s="423">
        <v>36.218181818181819</v>
      </c>
      <c r="G146" s="422">
        <v>17540000</v>
      </c>
      <c r="H146" s="423">
        <v>63.781818181818181</v>
      </c>
    </row>
    <row r="147" spans="3:8" x14ac:dyDescent="0.3">
      <c r="C147" s="378" t="s">
        <v>4702</v>
      </c>
      <c r="D147" s="422">
        <v>76033000</v>
      </c>
      <c r="E147" s="422">
        <v>54730000</v>
      </c>
      <c r="F147" s="423">
        <v>71.981902594925884</v>
      </c>
      <c r="G147" s="422">
        <v>21303000</v>
      </c>
      <c r="H147" s="423">
        <v>28.018097405074112</v>
      </c>
    </row>
    <row r="148" spans="3:8" x14ac:dyDescent="0.3">
      <c r="C148" s="226" t="s">
        <v>560</v>
      </c>
      <c r="D148" s="426">
        <v>3420542000</v>
      </c>
      <c r="E148" s="426">
        <v>1707968860</v>
      </c>
      <c r="F148" s="427">
        <v>49.932696631118695</v>
      </c>
      <c r="G148" s="426">
        <v>1712573140</v>
      </c>
      <c r="H148" s="427">
        <v>50.067303368881312</v>
      </c>
    </row>
    <row r="149" spans="3:8" ht="28.8" x14ac:dyDescent="0.3">
      <c r="C149" s="372" t="s">
        <v>4734</v>
      </c>
      <c r="D149" s="422">
        <v>114200000</v>
      </c>
      <c r="E149" s="422">
        <v>114200000</v>
      </c>
      <c r="F149" s="423">
        <v>100</v>
      </c>
      <c r="G149" s="422">
        <v>0</v>
      </c>
      <c r="H149" s="423">
        <v>0</v>
      </c>
    </row>
    <row r="150" spans="3:8" x14ac:dyDescent="0.3">
      <c r="C150" s="390" t="s">
        <v>4736</v>
      </c>
      <c r="D150" s="428">
        <v>114200000</v>
      </c>
      <c r="E150" s="428">
        <v>114200000</v>
      </c>
      <c r="F150" s="429">
        <v>100</v>
      </c>
      <c r="G150" s="428">
        <v>0</v>
      </c>
      <c r="H150" s="429">
        <v>0</v>
      </c>
    </row>
    <row r="151" spans="3:8" x14ac:dyDescent="0.3">
      <c r="C151" s="374" t="s">
        <v>4735</v>
      </c>
      <c r="D151" s="430">
        <v>114200000</v>
      </c>
      <c r="E151" s="430">
        <v>114200000</v>
      </c>
      <c r="F151" s="431">
        <v>100</v>
      </c>
      <c r="G151" s="430">
        <v>0</v>
      </c>
      <c r="H151" s="431">
        <v>0</v>
      </c>
    </row>
    <row r="152" spans="3:8" ht="17.100000000000001" customHeight="1" x14ac:dyDescent="0.3">
      <c r="C152" s="378" t="s">
        <v>4705</v>
      </c>
      <c r="D152" s="422">
        <v>114200000</v>
      </c>
      <c r="E152" s="422">
        <v>114200000</v>
      </c>
      <c r="F152" s="423">
        <v>100</v>
      </c>
      <c r="G152" s="422">
        <v>0</v>
      </c>
      <c r="H152" s="423">
        <v>0</v>
      </c>
    </row>
    <row r="153" spans="3:8" x14ac:dyDescent="0.3">
      <c r="C153" s="372" t="s">
        <v>4743</v>
      </c>
      <c r="D153" s="422">
        <v>670684000</v>
      </c>
      <c r="E153" s="422">
        <v>390447219</v>
      </c>
      <c r="F153" s="423">
        <v>58.216271597354343</v>
      </c>
      <c r="G153" s="422">
        <v>280236781</v>
      </c>
      <c r="H153" s="423">
        <v>41.783728402645657</v>
      </c>
    </row>
    <row r="154" spans="3:8" x14ac:dyDescent="0.3">
      <c r="C154" s="390" t="s">
        <v>4742</v>
      </c>
      <c r="D154" s="428">
        <v>670684000</v>
      </c>
      <c r="E154" s="428">
        <v>390447219</v>
      </c>
      <c r="F154" s="429">
        <v>58.216271597354343</v>
      </c>
      <c r="G154" s="428">
        <v>280236781</v>
      </c>
      <c r="H154" s="429">
        <v>41.783728402645657</v>
      </c>
    </row>
    <row r="155" spans="3:8" x14ac:dyDescent="0.3">
      <c r="C155" s="374" t="s">
        <v>4723</v>
      </c>
      <c r="D155" s="430">
        <v>18739000</v>
      </c>
      <c r="E155" s="430">
        <v>16087300</v>
      </c>
      <c r="F155" s="431">
        <v>85.849298254976247</v>
      </c>
      <c r="G155" s="430">
        <v>2651700</v>
      </c>
      <c r="H155" s="431">
        <v>14.150701745023747</v>
      </c>
    </row>
    <row r="156" spans="3:8" ht="17.100000000000001" customHeight="1" x14ac:dyDescent="0.3">
      <c r="C156" s="378" t="s">
        <v>4698</v>
      </c>
      <c r="D156" s="422">
        <v>5000000</v>
      </c>
      <c r="E156" s="422">
        <v>3998800</v>
      </c>
      <c r="F156" s="423">
        <v>79.975999999999999</v>
      </c>
      <c r="G156" s="422">
        <v>1001200</v>
      </c>
      <c r="H156" s="423">
        <v>20.024000000000001</v>
      </c>
    </row>
    <row r="157" spans="3:8" x14ac:dyDescent="0.3">
      <c r="C157" s="378" t="s">
        <v>4702</v>
      </c>
      <c r="D157" s="422">
        <v>12989000</v>
      </c>
      <c r="E157" s="422">
        <v>11338500</v>
      </c>
      <c r="F157" s="423">
        <v>87.293094156594037</v>
      </c>
      <c r="G157" s="422">
        <v>1650500</v>
      </c>
      <c r="H157" s="423">
        <v>12.706905843405957</v>
      </c>
    </row>
    <row r="158" spans="3:8" ht="17.100000000000001" customHeight="1" x14ac:dyDescent="0.3">
      <c r="C158" s="378" t="s">
        <v>508</v>
      </c>
      <c r="D158" s="422">
        <v>750000</v>
      </c>
      <c r="E158" s="422">
        <v>750000</v>
      </c>
      <c r="F158" s="423">
        <v>100</v>
      </c>
      <c r="G158" s="422">
        <v>0</v>
      </c>
      <c r="H158" s="423">
        <v>0</v>
      </c>
    </row>
    <row r="159" spans="3:8" x14ac:dyDescent="0.3">
      <c r="C159" s="374" t="s">
        <v>4724</v>
      </c>
      <c r="D159" s="430">
        <v>385665000</v>
      </c>
      <c r="E159" s="430">
        <v>167581461</v>
      </c>
      <c r="F159" s="431">
        <v>43.452597720819881</v>
      </c>
      <c r="G159" s="430">
        <v>218083539</v>
      </c>
      <c r="H159" s="431">
        <v>56.547402279180112</v>
      </c>
    </row>
    <row r="160" spans="3:8" x14ac:dyDescent="0.3">
      <c r="C160" s="378" t="s">
        <v>4698</v>
      </c>
      <c r="D160" s="422">
        <v>10000000</v>
      </c>
      <c r="E160" s="422">
        <v>4970000</v>
      </c>
      <c r="F160" s="423">
        <v>49.7</v>
      </c>
      <c r="G160" s="422">
        <v>5030000</v>
      </c>
      <c r="H160" s="423">
        <v>50.3</v>
      </c>
    </row>
    <row r="161" spans="3:8" ht="17.100000000000001" customHeight="1" x14ac:dyDescent="0.3">
      <c r="C161" s="378" t="s">
        <v>4703</v>
      </c>
      <c r="D161" s="422">
        <v>2031000</v>
      </c>
      <c r="E161" s="422">
        <v>2031000</v>
      </c>
      <c r="F161" s="423">
        <v>100</v>
      </c>
      <c r="G161" s="422">
        <v>0</v>
      </c>
      <c r="H161" s="423">
        <v>0</v>
      </c>
    </row>
    <row r="162" spans="3:8" ht="17.100000000000001" customHeight="1" x14ac:dyDescent="0.3">
      <c r="C162" s="378" t="s">
        <v>4702</v>
      </c>
      <c r="D162" s="422">
        <v>373634000</v>
      </c>
      <c r="E162" s="422">
        <v>160580461</v>
      </c>
      <c r="F162" s="423">
        <v>42.978010834131794</v>
      </c>
      <c r="G162" s="422">
        <v>213053539</v>
      </c>
      <c r="H162" s="423">
        <v>57.021989165868206</v>
      </c>
    </row>
    <row r="163" spans="3:8" x14ac:dyDescent="0.3">
      <c r="C163" s="374" t="s">
        <v>4744</v>
      </c>
      <c r="D163" s="430">
        <v>56750000</v>
      </c>
      <c r="E163" s="430">
        <v>42281740</v>
      </c>
      <c r="F163" s="431">
        <v>74.505268722466951</v>
      </c>
      <c r="G163" s="430">
        <v>14468260</v>
      </c>
      <c r="H163" s="431">
        <v>25.494731277533038</v>
      </c>
    </row>
    <row r="164" spans="3:8" x14ac:dyDescent="0.3">
      <c r="C164" s="378" t="s">
        <v>4698</v>
      </c>
      <c r="D164" s="422">
        <v>33500000</v>
      </c>
      <c r="E164" s="422">
        <v>33371740</v>
      </c>
      <c r="F164" s="423">
        <v>99.617134328358219</v>
      </c>
      <c r="G164" s="422">
        <v>128260</v>
      </c>
      <c r="H164" s="423">
        <v>0.38286567164179103</v>
      </c>
    </row>
    <row r="165" spans="3:8" x14ac:dyDescent="0.3">
      <c r="C165" s="378" t="s">
        <v>4704</v>
      </c>
      <c r="D165" s="422">
        <v>3000000</v>
      </c>
      <c r="E165" s="422">
        <v>0</v>
      </c>
      <c r="F165" s="423">
        <v>0</v>
      </c>
      <c r="G165" s="422">
        <v>3000000</v>
      </c>
      <c r="H165" s="423">
        <v>100</v>
      </c>
    </row>
    <row r="166" spans="3:8" x14ac:dyDescent="0.3">
      <c r="C166" s="378" t="s">
        <v>4702</v>
      </c>
      <c r="D166" s="422">
        <v>18000000</v>
      </c>
      <c r="E166" s="422">
        <v>8310000</v>
      </c>
      <c r="F166" s="423">
        <v>46.166666666666664</v>
      </c>
      <c r="G166" s="422">
        <v>9690000</v>
      </c>
      <c r="H166" s="423">
        <v>53.833333333333336</v>
      </c>
    </row>
    <row r="167" spans="3:8" x14ac:dyDescent="0.3">
      <c r="C167" s="378" t="s">
        <v>508</v>
      </c>
      <c r="D167" s="422">
        <v>2250000</v>
      </c>
      <c r="E167" s="422">
        <v>600000</v>
      </c>
      <c r="F167" s="423">
        <v>26.666666666666668</v>
      </c>
      <c r="G167" s="422">
        <v>1650000</v>
      </c>
      <c r="H167" s="423">
        <v>73.333333333333329</v>
      </c>
    </row>
    <row r="168" spans="3:8" x14ac:dyDescent="0.3">
      <c r="C168" s="374" t="s">
        <v>4725</v>
      </c>
      <c r="D168" s="430">
        <v>61193000</v>
      </c>
      <c r="E168" s="430">
        <v>33140738</v>
      </c>
      <c r="F168" s="431">
        <v>54.15772719101858</v>
      </c>
      <c r="G168" s="430">
        <v>28052262</v>
      </c>
      <c r="H168" s="431">
        <v>45.84227280898142</v>
      </c>
    </row>
    <row r="169" spans="3:8" x14ac:dyDescent="0.3">
      <c r="C169" s="378" t="s">
        <v>4698</v>
      </c>
      <c r="D169" s="422">
        <v>13500000</v>
      </c>
      <c r="E169" s="422">
        <v>5459000</v>
      </c>
      <c r="F169" s="423">
        <v>40.437037037037037</v>
      </c>
      <c r="G169" s="422">
        <v>8041000</v>
      </c>
      <c r="H169" s="423">
        <v>59.562962962962963</v>
      </c>
    </row>
    <row r="170" spans="3:8" x14ac:dyDescent="0.3">
      <c r="C170" s="378" t="s">
        <v>4702</v>
      </c>
      <c r="D170" s="422">
        <v>47693000</v>
      </c>
      <c r="E170" s="422">
        <v>27681738</v>
      </c>
      <c r="F170" s="423">
        <v>58.041511332900008</v>
      </c>
      <c r="G170" s="422">
        <v>20011262</v>
      </c>
      <c r="H170" s="423">
        <v>41.958488667099992</v>
      </c>
    </row>
    <row r="171" spans="3:8" x14ac:dyDescent="0.3">
      <c r="C171" s="374" t="s">
        <v>4745</v>
      </c>
      <c r="D171" s="430">
        <v>148337000</v>
      </c>
      <c r="E171" s="430">
        <v>131355980</v>
      </c>
      <c r="F171" s="431">
        <v>88.55240432258978</v>
      </c>
      <c r="G171" s="430">
        <v>16981020</v>
      </c>
      <c r="H171" s="431">
        <v>11.447595677410222</v>
      </c>
    </row>
    <row r="172" spans="3:8" ht="17.100000000000001" customHeight="1" x14ac:dyDescent="0.3">
      <c r="C172" s="378" t="s">
        <v>4698</v>
      </c>
      <c r="D172" s="422">
        <v>38100000</v>
      </c>
      <c r="E172" s="422">
        <v>38095000</v>
      </c>
      <c r="F172" s="423">
        <v>99.98687664041995</v>
      </c>
      <c r="G172" s="422">
        <v>5000</v>
      </c>
      <c r="H172" s="423">
        <v>1.3123359580052493E-2</v>
      </c>
    </row>
    <row r="173" spans="3:8" ht="17.100000000000001" customHeight="1" x14ac:dyDescent="0.3">
      <c r="C173" s="378" t="s">
        <v>4746</v>
      </c>
      <c r="D173" s="422">
        <v>82534000</v>
      </c>
      <c r="E173" s="422">
        <v>67164280</v>
      </c>
      <c r="F173" s="423">
        <v>81.377711003949884</v>
      </c>
      <c r="G173" s="422">
        <v>15369720</v>
      </c>
      <c r="H173" s="423">
        <v>18.622288996050113</v>
      </c>
    </row>
    <row r="174" spans="3:8" ht="17.100000000000001" customHeight="1" x14ac:dyDescent="0.3">
      <c r="C174" s="378" t="s">
        <v>4791</v>
      </c>
      <c r="D174" s="422">
        <v>1606000</v>
      </c>
      <c r="E174" s="422">
        <v>0</v>
      </c>
      <c r="F174" s="423">
        <v>0</v>
      </c>
      <c r="G174" s="422">
        <v>1606000</v>
      </c>
      <c r="H174" s="423">
        <v>100</v>
      </c>
    </row>
    <row r="175" spans="3:8" x14ac:dyDescent="0.3">
      <c r="C175" s="378" t="s">
        <v>4703</v>
      </c>
      <c r="D175" s="422">
        <v>4246000</v>
      </c>
      <c r="E175" s="422">
        <v>4246000</v>
      </c>
      <c r="F175" s="423">
        <v>100</v>
      </c>
      <c r="G175" s="422">
        <v>0</v>
      </c>
      <c r="H175" s="423">
        <v>0</v>
      </c>
    </row>
    <row r="176" spans="3:8" ht="17.100000000000001" customHeight="1" x14ac:dyDescent="0.3">
      <c r="C176" s="378" t="s">
        <v>4702</v>
      </c>
      <c r="D176" s="422">
        <v>21851000</v>
      </c>
      <c r="E176" s="422">
        <v>21850700</v>
      </c>
      <c r="F176" s="423">
        <v>99.998627065122875</v>
      </c>
      <c r="G176" s="422">
        <v>300</v>
      </c>
      <c r="H176" s="423">
        <v>1.3729348771223285E-3</v>
      </c>
    </row>
    <row r="177" spans="3:8" x14ac:dyDescent="0.3">
      <c r="C177" s="372" t="s">
        <v>4751</v>
      </c>
      <c r="D177" s="422">
        <v>2095658000</v>
      </c>
      <c r="E177" s="422">
        <v>663321641</v>
      </c>
      <c r="F177" s="423">
        <v>31.652189479390241</v>
      </c>
      <c r="G177" s="422">
        <v>1432336359</v>
      </c>
      <c r="H177" s="423">
        <v>68.347810520609755</v>
      </c>
    </row>
    <row r="178" spans="3:8" x14ac:dyDescent="0.3">
      <c r="C178" s="391" t="s">
        <v>4654</v>
      </c>
      <c r="D178" s="428">
        <v>2095658000</v>
      </c>
      <c r="E178" s="428">
        <v>663321641</v>
      </c>
      <c r="F178" s="429">
        <v>31.652189479390241</v>
      </c>
      <c r="G178" s="428">
        <v>1432336359</v>
      </c>
      <c r="H178" s="429">
        <v>68.347810520609755</v>
      </c>
    </row>
    <row r="179" spans="3:8" x14ac:dyDescent="0.3">
      <c r="C179" s="381" t="s">
        <v>4752</v>
      </c>
      <c r="D179" s="432">
        <v>1254380000</v>
      </c>
      <c r="E179" s="432">
        <v>487766151</v>
      </c>
      <c r="F179" s="433">
        <v>38.885038903681505</v>
      </c>
      <c r="G179" s="432">
        <v>766613849</v>
      </c>
      <c r="H179" s="433">
        <v>61.114961096318495</v>
      </c>
    </row>
    <row r="180" spans="3:8" ht="17.100000000000001" customHeight="1" x14ac:dyDescent="0.3">
      <c r="C180" s="378" t="s">
        <v>4753</v>
      </c>
      <c r="D180" s="422">
        <v>1076220000</v>
      </c>
      <c r="E180" s="422">
        <v>423058151</v>
      </c>
      <c r="F180" s="423">
        <v>39.309634740108898</v>
      </c>
      <c r="G180" s="422">
        <v>653161849</v>
      </c>
      <c r="H180" s="423">
        <v>60.690365259891102</v>
      </c>
    </row>
    <row r="181" spans="3:8" ht="17.100000000000001" customHeight="1" x14ac:dyDescent="0.3">
      <c r="C181" s="378" t="s">
        <v>4716</v>
      </c>
      <c r="D181" s="422">
        <v>178160000</v>
      </c>
      <c r="E181" s="422">
        <v>64708000</v>
      </c>
      <c r="F181" s="423">
        <v>36.320161652447233</v>
      </c>
      <c r="G181" s="422">
        <v>113452000</v>
      </c>
      <c r="H181" s="423">
        <v>63.679838347552767</v>
      </c>
    </row>
    <row r="182" spans="3:8" ht="17.100000000000001" customHeight="1" x14ac:dyDescent="0.3">
      <c r="C182" s="381" t="s">
        <v>4754</v>
      </c>
      <c r="D182" s="432">
        <v>148852000</v>
      </c>
      <c r="E182" s="432">
        <v>22086050</v>
      </c>
      <c r="F182" s="433">
        <v>14.837590358208153</v>
      </c>
      <c r="G182" s="432">
        <v>126765950</v>
      </c>
      <c r="H182" s="433">
        <v>85.162409641791854</v>
      </c>
    </row>
    <row r="183" spans="3:8" ht="17.100000000000001" customHeight="1" x14ac:dyDescent="0.3">
      <c r="C183" s="378" t="s">
        <v>4755</v>
      </c>
      <c r="D183" s="422">
        <v>30000000</v>
      </c>
      <c r="E183" s="422">
        <v>2286050</v>
      </c>
      <c r="F183" s="423">
        <v>7.620166666666667</v>
      </c>
      <c r="G183" s="422">
        <v>27713950</v>
      </c>
      <c r="H183" s="423">
        <v>92.379833333333337</v>
      </c>
    </row>
    <row r="184" spans="3:8" x14ac:dyDescent="0.3">
      <c r="C184" s="378" t="s">
        <v>4704</v>
      </c>
      <c r="D184" s="422">
        <v>118852000</v>
      </c>
      <c r="E184" s="422">
        <v>19800000</v>
      </c>
      <c r="F184" s="423">
        <v>16.659374684481541</v>
      </c>
      <c r="G184" s="422">
        <v>99052000</v>
      </c>
      <c r="H184" s="423">
        <v>83.340625315518452</v>
      </c>
    </row>
    <row r="185" spans="3:8" ht="17.100000000000001" customHeight="1" x14ac:dyDescent="0.3">
      <c r="C185" s="381" t="s">
        <v>4756</v>
      </c>
      <c r="D185" s="432">
        <v>533050000</v>
      </c>
      <c r="E185" s="432">
        <v>94875440</v>
      </c>
      <c r="F185" s="433">
        <v>17.798600506519087</v>
      </c>
      <c r="G185" s="432">
        <v>438174560</v>
      </c>
      <c r="H185" s="433">
        <v>82.201399493480906</v>
      </c>
    </row>
    <row r="186" spans="3:8" ht="17.100000000000001" customHeight="1" x14ac:dyDescent="0.3">
      <c r="C186" s="378" t="s">
        <v>4757</v>
      </c>
      <c r="D186" s="422">
        <v>497050000</v>
      </c>
      <c r="E186" s="422">
        <v>85875440</v>
      </c>
      <c r="F186" s="423">
        <v>17.277022432350869</v>
      </c>
      <c r="G186" s="422">
        <v>411174560</v>
      </c>
      <c r="H186" s="423">
        <v>82.722977567649124</v>
      </c>
    </row>
    <row r="187" spans="3:8" ht="17.100000000000001" customHeight="1" x14ac:dyDescent="0.3">
      <c r="C187" s="378" t="s">
        <v>4758</v>
      </c>
      <c r="D187" s="422">
        <v>36000000</v>
      </c>
      <c r="E187" s="422">
        <v>9000000</v>
      </c>
      <c r="F187" s="423">
        <v>25</v>
      </c>
      <c r="G187" s="422">
        <v>27000000</v>
      </c>
      <c r="H187" s="423">
        <v>75</v>
      </c>
    </row>
    <row r="188" spans="3:8" x14ac:dyDescent="0.3">
      <c r="C188" s="381" t="s">
        <v>4759</v>
      </c>
      <c r="D188" s="432">
        <v>159376000</v>
      </c>
      <c r="E188" s="432">
        <v>58594000</v>
      </c>
      <c r="F188" s="433">
        <v>36.764632065053711</v>
      </c>
      <c r="G188" s="432">
        <v>100782000</v>
      </c>
      <c r="H188" s="433">
        <v>63.235367934946296</v>
      </c>
    </row>
    <row r="189" spans="3:8" ht="17.100000000000001" customHeight="1" x14ac:dyDescent="0.3">
      <c r="C189" s="378" t="s">
        <v>4753</v>
      </c>
      <c r="D189" s="422">
        <v>101040000</v>
      </c>
      <c r="E189" s="422">
        <v>44410000</v>
      </c>
      <c r="F189" s="423">
        <v>43.952889944576405</v>
      </c>
      <c r="G189" s="422">
        <v>56630000</v>
      </c>
      <c r="H189" s="423">
        <v>56.047110055423602</v>
      </c>
    </row>
    <row r="190" spans="3:8" ht="17.100000000000001" customHeight="1" x14ac:dyDescent="0.3">
      <c r="C190" s="378" t="s">
        <v>4760</v>
      </c>
      <c r="D190" s="422">
        <v>58336000</v>
      </c>
      <c r="E190" s="422">
        <v>14184000</v>
      </c>
      <c r="F190" s="423">
        <v>24.314317059791552</v>
      </c>
      <c r="G190" s="422">
        <v>44152000</v>
      </c>
      <c r="H190" s="423">
        <v>75.685682940208437</v>
      </c>
    </row>
    <row r="191" spans="3:8" x14ac:dyDescent="0.3">
      <c r="C191" s="372" t="s">
        <v>4764</v>
      </c>
      <c r="D191" s="422">
        <v>540000000</v>
      </c>
      <c r="E191" s="422">
        <v>540000000</v>
      </c>
      <c r="F191" s="423">
        <v>100</v>
      </c>
      <c r="G191" s="422">
        <v>0</v>
      </c>
      <c r="H191" s="423">
        <v>0</v>
      </c>
    </row>
    <row r="192" spans="3:8" x14ac:dyDescent="0.3">
      <c r="C192" s="390" t="s">
        <v>4765</v>
      </c>
      <c r="D192" s="428">
        <v>540000000</v>
      </c>
      <c r="E192" s="428">
        <v>540000000</v>
      </c>
      <c r="F192" s="429">
        <v>100</v>
      </c>
      <c r="G192" s="428">
        <v>0</v>
      </c>
      <c r="H192" s="429">
        <v>0</v>
      </c>
    </row>
    <row r="193" spans="3:8" x14ac:dyDescent="0.3">
      <c r="C193" s="374" t="s">
        <v>4766</v>
      </c>
      <c r="D193" s="430">
        <v>540000000</v>
      </c>
      <c r="E193" s="430">
        <v>540000000</v>
      </c>
      <c r="F193" s="431">
        <v>100</v>
      </c>
      <c r="G193" s="430">
        <v>0</v>
      </c>
      <c r="H193" s="431">
        <v>0</v>
      </c>
    </row>
    <row r="194" spans="3:8" ht="17.100000000000001" customHeight="1" x14ac:dyDescent="0.3">
      <c r="C194" s="378" t="s">
        <v>4705</v>
      </c>
      <c r="D194" s="422">
        <v>540000000</v>
      </c>
      <c r="E194" s="422">
        <v>540000000</v>
      </c>
      <c r="F194" s="423">
        <v>100</v>
      </c>
      <c r="G194" s="422">
        <v>0</v>
      </c>
      <c r="H194" s="423">
        <v>0</v>
      </c>
    </row>
    <row r="195" spans="3:8" x14ac:dyDescent="0.3">
      <c r="C195" s="372" t="s">
        <v>4728</v>
      </c>
      <c r="D195" s="422">
        <v>6082500000</v>
      </c>
      <c r="E195" s="422">
        <v>3476713912</v>
      </c>
      <c r="F195" s="423">
        <v>57.159291607069463</v>
      </c>
      <c r="G195" s="422">
        <v>2605786088</v>
      </c>
      <c r="H195" s="423">
        <v>42.840708392930537</v>
      </c>
    </row>
    <row r="196" spans="3:8" x14ac:dyDescent="0.3">
      <c r="C196" s="373" t="s">
        <v>542</v>
      </c>
      <c r="D196" s="424">
        <v>6082500000</v>
      </c>
      <c r="E196" s="424">
        <v>3476713912</v>
      </c>
      <c r="F196" s="425">
        <v>57.159291607069463</v>
      </c>
      <c r="G196" s="424">
        <v>2605786088</v>
      </c>
      <c r="H196" s="425">
        <v>42.840708392930537</v>
      </c>
    </row>
    <row r="197" spans="3:8" x14ac:dyDescent="0.3">
      <c r="C197" s="226" t="s">
        <v>543</v>
      </c>
      <c r="D197" s="426">
        <v>6082500000</v>
      </c>
      <c r="E197" s="426">
        <v>3476713912</v>
      </c>
      <c r="F197" s="427">
        <v>57.159291607069463</v>
      </c>
      <c r="G197" s="426">
        <v>2605786088</v>
      </c>
      <c r="H197" s="427">
        <v>42.840708392930537</v>
      </c>
    </row>
    <row r="198" spans="3:8" x14ac:dyDescent="0.3">
      <c r="C198" s="372" t="s">
        <v>4788</v>
      </c>
      <c r="D198" s="422">
        <v>6082500000</v>
      </c>
      <c r="E198" s="422">
        <v>3476713912</v>
      </c>
      <c r="F198" s="423">
        <v>57.159291607069463</v>
      </c>
      <c r="G198" s="422">
        <v>2605786088</v>
      </c>
      <c r="H198" s="423">
        <v>42.840708392930537</v>
      </c>
    </row>
    <row r="199" spans="3:8" x14ac:dyDescent="0.3">
      <c r="C199" s="390" t="s">
        <v>4789</v>
      </c>
      <c r="D199" s="428">
        <v>5973300000</v>
      </c>
      <c r="E199" s="428">
        <v>3468907912</v>
      </c>
      <c r="F199" s="429">
        <v>58.073559205129484</v>
      </c>
      <c r="G199" s="428">
        <v>2504392088</v>
      </c>
      <c r="H199" s="429">
        <v>41.926440794870508</v>
      </c>
    </row>
    <row r="200" spans="3:8" x14ac:dyDescent="0.3">
      <c r="C200" s="374" t="s">
        <v>4790</v>
      </c>
      <c r="D200" s="430">
        <v>1713564000</v>
      </c>
      <c r="E200" s="430">
        <v>25390000</v>
      </c>
      <c r="F200" s="431">
        <v>1.4817071320359203</v>
      </c>
      <c r="G200" s="430">
        <v>1688174000</v>
      </c>
      <c r="H200" s="431">
        <v>98.518292867964078</v>
      </c>
    </row>
    <row r="201" spans="3:8" ht="17.100000000000001" customHeight="1" x14ac:dyDescent="0.3">
      <c r="C201" s="378" t="s">
        <v>4698</v>
      </c>
      <c r="D201" s="422">
        <v>99100000</v>
      </c>
      <c r="E201" s="422">
        <v>0</v>
      </c>
      <c r="F201" s="423">
        <v>0</v>
      </c>
      <c r="G201" s="422">
        <v>99100000</v>
      </c>
      <c r="H201" s="423">
        <v>100</v>
      </c>
    </row>
    <row r="202" spans="3:8" ht="17.100000000000001" customHeight="1" x14ac:dyDescent="0.3">
      <c r="C202" s="378" t="s">
        <v>4711</v>
      </c>
      <c r="D202" s="422">
        <v>1333864000</v>
      </c>
      <c r="E202" s="422">
        <v>0</v>
      </c>
      <c r="F202" s="423">
        <v>0</v>
      </c>
      <c r="G202" s="422">
        <v>1333864000</v>
      </c>
      <c r="H202" s="423">
        <v>100</v>
      </c>
    </row>
    <row r="203" spans="3:8" x14ac:dyDescent="0.3">
      <c r="C203" s="378" t="s">
        <v>4716</v>
      </c>
      <c r="D203" s="422">
        <v>25000000</v>
      </c>
      <c r="E203" s="422">
        <v>4855000</v>
      </c>
      <c r="F203" s="423">
        <v>19.420000000000002</v>
      </c>
      <c r="G203" s="422">
        <v>20145000</v>
      </c>
      <c r="H203" s="423">
        <v>80.58</v>
      </c>
    </row>
    <row r="204" spans="3:8" ht="17.100000000000001" customHeight="1" x14ac:dyDescent="0.3">
      <c r="C204" s="378" t="s">
        <v>4701</v>
      </c>
      <c r="D204" s="422">
        <v>15000000</v>
      </c>
      <c r="E204" s="422">
        <v>0</v>
      </c>
      <c r="F204" s="423">
        <v>0</v>
      </c>
      <c r="G204" s="422">
        <v>15000000</v>
      </c>
      <c r="H204" s="423">
        <v>100</v>
      </c>
    </row>
    <row r="205" spans="3:8" ht="17.100000000000001" customHeight="1" x14ac:dyDescent="0.3">
      <c r="C205" s="378" t="s">
        <v>4791</v>
      </c>
      <c r="D205" s="422">
        <v>102600000</v>
      </c>
      <c r="E205" s="422">
        <v>0</v>
      </c>
      <c r="F205" s="423">
        <v>0</v>
      </c>
      <c r="G205" s="422">
        <v>102600000</v>
      </c>
      <c r="H205" s="423">
        <v>100</v>
      </c>
    </row>
    <row r="206" spans="3:8" x14ac:dyDescent="0.3">
      <c r="C206" s="378" t="s">
        <v>4702</v>
      </c>
      <c r="D206" s="422">
        <v>138000000</v>
      </c>
      <c r="E206" s="422">
        <v>20535000</v>
      </c>
      <c r="F206" s="423">
        <v>14.880434782608695</v>
      </c>
      <c r="G206" s="422">
        <v>117465000</v>
      </c>
      <c r="H206" s="423">
        <v>85.119565217391298</v>
      </c>
    </row>
    <row r="207" spans="3:8" x14ac:dyDescent="0.3">
      <c r="C207" s="374" t="s">
        <v>4792</v>
      </c>
      <c r="D207" s="430">
        <v>4085695000</v>
      </c>
      <c r="E207" s="430">
        <v>3443517912</v>
      </c>
      <c r="F207" s="431">
        <v>84.282304773116934</v>
      </c>
      <c r="G207" s="430">
        <v>642177088</v>
      </c>
      <c r="H207" s="431">
        <v>15.717695226883063</v>
      </c>
    </row>
    <row r="208" spans="3:8" ht="17.100000000000001" customHeight="1" x14ac:dyDescent="0.3">
      <c r="C208" s="378" t="s">
        <v>4698</v>
      </c>
      <c r="D208" s="422">
        <v>25000000</v>
      </c>
      <c r="E208" s="422">
        <v>2917500</v>
      </c>
      <c r="F208" s="423">
        <v>11.67</v>
      </c>
      <c r="G208" s="422">
        <v>22082500</v>
      </c>
      <c r="H208" s="423">
        <v>88.33</v>
      </c>
    </row>
    <row r="209" spans="3:8" x14ac:dyDescent="0.3">
      <c r="C209" s="378" t="s">
        <v>4711</v>
      </c>
      <c r="D209" s="422">
        <v>3808695000</v>
      </c>
      <c r="E209" s="422">
        <v>3393066206</v>
      </c>
      <c r="F209" s="423">
        <v>89.087369978430928</v>
      </c>
      <c r="G209" s="422">
        <v>415628794</v>
      </c>
      <c r="H209" s="423">
        <v>10.912630021569068</v>
      </c>
    </row>
    <row r="210" spans="3:8" ht="17.100000000000001" customHeight="1" x14ac:dyDescent="0.3">
      <c r="C210" s="378" t="s">
        <v>4716</v>
      </c>
      <c r="D210" s="422">
        <v>30000000</v>
      </c>
      <c r="E210" s="422">
        <v>4811000</v>
      </c>
      <c r="F210" s="423">
        <v>16.036666666666665</v>
      </c>
      <c r="G210" s="422">
        <v>25189000</v>
      </c>
      <c r="H210" s="423">
        <v>83.963333333333338</v>
      </c>
    </row>
    <row r="211" spans="3:8" ht="17.100000000000001" customHeight="1" x14ac:dyDescent="0.3">
      <c r="C211" s="378" t="s">
        <v>4701</v>
      </c>
      <c r="D211" s="422">
        <v>6000000</v>
      </c>
      <c r="E211" s="422">
        <v>0</v>
      </c>
      <c r="F211" s="423">
        <v>0</v>
      </c>
      <c r="G211" s="422">
        <v>6000000</v>
      </c>
      <c r="H211" s="423">
        <v>100</v>
      </c>
    </row>
    <row r="212" spans="3:8" ht="17.100000000000001" customHeight="1" x14ac:dyDescent="0.3">
      <c r="C212" s="378" t="s">
        <v>4702</v>
      </c>
      <c r="D212" s="422">
        <v>216000000</v>
      </c>
      <c r="E212" s="422">
        <v>42723206</v>
      </c>
      <c r="F212" s="423">
        <v>19.779262037037036</v>
      </c>
      <c r="G212" s="422">
        <v>173276794</v>
      </c>
      <c r="H212" s="423">
        <v>80.220737962962957</v>
      </c>
    </row>
    <row r="213" spans="3:8" x14ac:dyDescent="0.3">
      <c r="C213" s="374" t="s">
        <v>4793</v>
      </c>
      <c r="D213" s="430">
        <v>174041000</v>
      </c>
      <c r="E213" s="430">
        <v>0</v>
      </c>
      <c r="F213" s="431">
        <v>0</v>
      </c>
      <c r="G213" s="430">
        <v>174041000</v>
      </c>
      <c r="H213" s="431">
        <v>100</v>
      </c>
    </row>
    <row r="214" spans="3:8" x14ac:dyDescent="0.3">
      <c r="C214" s="378" t="s">
        <v>4698</v>
      </c>
      <c r="D214" s="422">
        <v>12000000</v>
      </c>
      <c r="E214" s="422">
        <v>0</v>
      </c>
      <c r="F214" s="423">
        <v>0</v>
      </c>
      <c r="G214" s="422">
        <v>12000000</v>
      </c>
      <c r="H214" s="423">
        <v>100</v>
      </c>
    </row>
    <row r="215" spans="3:8" x14ac:dyDescent="0.3">
      <c r="C215" s="378" t="s">
        <v>4711</v>
      </c>
      <c r="D215" s="422">
        <v>20000000</v>
      </c>
      <c r="E215" s="422">
        <v>0</v>
      </c>
      <c r="F215" s="423">
        <v>0</v>
      </c>
      <c r="G215" s="422">
        <v>20000000</v>
      </c>
      <c r="H215" s="423">
        <v>100</v>
      </c>
    </row>
    <row r="216" spans="3:8" ht="17.100000000000001" customHeight="1" x14ac:dyDescent="0.3">
      <c r="C216" s="378" t="s">
        <v>4795</v>
      </c>
      <c r="D216" s="422">
        <v>142041000</v>
      </c>
      <c r="E216" s="422">
        <v>0</v>
      </c>
      <c r="F216" s="423">
        <v>0</v>
      </c>
      <c r="G216" s="422">
        <v>142041000</v>
      </c>
      <c r="H216" s="423">
        <v>100</v>
      </c>
    </row>
    <row r="217" spans="3:8" x14ac:dyDescent="0.3">
      <c r="C217" s="390" t="s">
        <v>4809</v>
      </c>
      <c r="D217" s="428">
        <v>109200000</v>
      </c>
      <c r="E217" s="428">
        <v>7806000</v>
      </c>
      <c r="F217" s="429">
        <v>7.1483516483516487</v>
      </c>
      <c r="G217" s="428">
        <v>101394000</v>
      </c>
      <c r="H217" s="429">
        <v>92.85164835164835</v>
      </c>
    </row>
    <row r="218" spans="3:8" x14ac:dyDescent="0.3">
      <c r="C218" s="374" t="s">
        <v>4810</v>
      </c>
      <c r="D218" s="430">
        <v>109200000</v>
      </c>
      <c r="E218" s="430">
        <v>7806000</v>
      </c>
      <c r="F218" s="431">
        <v>7.1483516483516487</v>
      </c>
      <c r="G218" s="430">
        <v>101394000</v>
      </c>
      <c r="H218" s="431">
        <v>92.85164835164835</v>
      </c>
    </row>
    <row r="219" spans="3:8" x14ac:dyDescent="0.3">
      <c r="C219" s="378" t="s">
        <v>4698</v>
      </c>
      <c r="D219" s="422">
        <v>25000000</v>
      </c>
      <c r="E219" s="422">
        <v>2961000</v>
      </c>
      <c r="F219" s="423">
        <v>11.844000000000001</v>
      </c>
      <c r="G219" s="422">
        <v>22039000</v>
      </c>
      <c r="H219" s="423">
        <v>88.156000000000006</v>
      </c>
    </row>
    <row r="220" spans="3:8" x14ac:dyDescent="0.3">
      <c r="C220" s="378" t="s">
        <v>4716</v>
      </c>
      <c r="D220" s="422">
        <v>30000000</v>
      </c>
      <c r="E220" s="422">
        <v>4845000</v>
      </c>
      <c r="F220" s="423">
        <v>16.150000000000002</v>
      </c>
      <c r="G220" s="422">
        <v>25155000</v>
      </c>
      <c r="H220" s="423">
        <v>83.850000000000009</v>
      </c>
    </row>
    <row r="221" spans="3:8" x14ac:dyDescent="0.3">
      <c r="C221" s="378" t="s">
        <v>4702</v>
      </c>
      <c r="D221" s="422">
        <v>54200000</v>
      </c>
      <c r="E221" s="422">
        <v>0</v>
      </c>
      <c r="F221" s="423">
        <v>0</v>
      </c>
      <c r="G221" s="422">
        <v>54200000</v>
      </c>
      <c r="H221" s="423">
        <v>100</v>
      </c>
    </row>
    <row r="222" spans="3:8" x14ac:dyDescent="0.3">
      <c r="C222" s="372" t="s">
        <v>4817</v>
      </c>
      <c r="D222" s="422">
        <v>11375804000</v>
      </c>
      <c r="E222" s="422">
        <v>6067322932</v>
      </c>
      <c r="F222" s="423">
        <v>53.33533288724032</v>
      </c>
      <c r="G222" s="422">
        <v>5308481068</v>
      </c>
      <c r="H222" s="423">
        <v>46.66466711275968</v>
      </c>
    </row>
    <row r="223" spans="3:8" ht="17.100000000000001" customHeight="1" x14ac:dyDescent="0.3">
      <c r="C223"/>
    </row>
    <row r="224" spans="3:8" ht="17.100000000000001" customHeight="1" x14ac:dyDescent="0.3">
      <c r="C224"/>
    </row>
    <row r="225" spans="3:3" ht="17.100000000000001" customHeight="1" x14ac:dyDescent="0.3">
      <c r="C225"/>
    </row>
    <row r="226" spans="3:3" ht="17.100000000000001" customHeight="1" x14ac:dyDescent="0.3">
      <c r="C226"/>
    </row>
    <row r="227" spans="3:3" ht="17.100000000000001" customHeight="1" x14ac:dyDescent="0.3">
      <c r="C227"/>
    </row>
    <row r="228" spans="3:3" ht="17.100000000000001" customHeight="1" x14ac:dyDescent="0.3">
      <c r="C228"/>
    </row>
    <row r="229" spans="3:3" x14ac:dyDescent="0.3">
      <c r="C229"/>
    </row>
    <row r="230" spans="3:3" ht="17.100000000000001" customHeight="1" x14ac:dyDescent="0.3">
      <c r="C230"/>
    </row>
    <row r="231" spans="3:3" ht="17.100000000000001" customHeight="1" x14ac:dyDescent="0.3">
      <c r="C231"/>
    </row>
    <row r="232" spans="3:3" ht="17.100000000000001" customHeight="1" x14ac:dyDescent="0.3">
      <c r="C232"/>
    </row>
    <row r="233" spans="3:3" ht="17.100000000000001" customHeight="1" x14ac:dyDescent="0.3">
      <c r="C233"/>
    </row>
    <row r="234" spans="3:3" ht="17.100000000000001" customHeight="1" x14ac:dyDescent="0.3">
      <c r="C234"/>
    </row>
    <row r="235" spans="3:3" x14ac:dyDescent="0.3">
      <c r="C235"/>
    </row>
    <row r="236" spans="3:3" ht="17.100000000000001" customHeight="1" x14ac:dyDescent="0.3">
      <c r="C236"/>
    </row>
    <row r="237" spans="3:3" ht="17.100000000000001" customHeight="1" x14ac:dyDescent="0.3">
      <c r="C237"/>
    </row>
    <row r="238" spans="3:3" ht="17.100000000000001" customHeight="1" x14ac:dyDescent="0.3">
      <c r="C238"/>
    </row>
    <row r="239" spans="3:3" x14ac:dyDescent="0.3">
      <c r="C239"/>
    </row>
    <row r="240" spans="3:3" ht="17.100000000000001" customHeight="1" x14ac:dyDescent="0.3">
      <c r="C240"/>
    </row>
    <row r="241" spans="3:10" x14ac:dyDescent="0.3">
      <c r="C241"/>
    </row>
    <row r="242" spans="3:10" x14ac:dyDescent="0.3">
      <c r="C242"/>
    </row>
    <row r="243" spans="3:10" ht="17.100000000000001" customHeight="1" x14ac:dyDescent="0.3">
      <c r="C243"/>
    </row>
    <row r="244" spans="3:10" ht="17.100000000000001" customHeight="1" x14ac:dyDescent="0.3">
      <c r="C244"/>
    </row>
    <row r="245" spans="3:10" ht="17.100000000000001" customHeight="1" x14ac:dyDescent="0.3">
      <c r="C245"/>
    </row>
    <row r="246" spans="3:10" x14ac:dyDescent="0.3">
      <c r="C246"/>
      <c r="J246" s="276">
        <f>SUM('SP2D ON'!F129:F138)</f>
        <v>761479826</v>
      </c>
    </row>
    <row r="247" spans="3:10" x14ac:dyDescent="0.3">
      <c r="C247"/>
      <c r="J247" s="276">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358" t="s">
        <v>4842</v>
      </c>
      <c r="C5" s="359" t="s">
        <v>4826</v>
      </c>
      <c r="D5" s="359" t="s">
        <v>4827</v>
      </c>
      <c r="E5" s="359" t="s">
        <v>4828</v>
      </c>
      <c r="F5" s="359" t="s">
        <v>4836</v>
      </c>
      <c r="G5" s="359" t="s">
        <v>5160</v>
      </c>
      <c r="H5" s="359" t="s">
        <v>5196</v>
      </c>
      <c r="I5" s="359" t="s">
        <v>5233</v>
      </c>
      <c r="J5" s="359" t="s">
        <v>5372</v>
      </c>
    </row>
    <row r="6" spans="2:10" x14ac:dyDescent="0.3">
      <c r="B6" s="358" t="s">
        <v>4840</v>
      </c>
      <c r="C6" s="360" t="s">
        <v>5165</v>
      </c>
      <c r="D6" s="360" t="s">
        <v>5166</v>
      </c>
      <c r="E6" s="360" t="s">
        <v>5164</v>
      </c>
      <c r="F6" s="360" t="s">
        <v>5163</v>
      </c>
      <c r="G6" s="361" t="s">
        <v>5162</v>
      </c>
      <c r="H6" s="361" t="s">
        <v>5232</v>
      </c>
      <c r="I6" s="361" t="s">
        <v>5232</v>
      </c>
      <c r="J6" s="361" t="s">
        <v>5373</v>
      </c>
    </row>
    <row r="7" spans="2:10" hidden="1" x14ac:dyDescent="0.3">
      <c r="B7" s="314" t="s">
        <v>4834</v>
      </c>
      <c r="C7" s="220" t="s">
        <v>4831</v>
      </c>
      <c r="D7" s="220" t="s">
        <v>4832</v>
      </c>
      <c r="E7" s="220" t="s">
        <v>4833</v>
      </c>
      <c r="F7" s="220" t="s">
        <v>4837</v>
      </c>
      <c r="G7" s="220" t="s">
        <v>5161</v>
      </c>
      <c r="H7" s="220" t="s">
        <v>5230</v>
      </c>
      <c r="I7" s="220" t="s">
        <v>5231</v>
      </c>
      <c r="J7" s="220" t="s">
        <v>5371</v>
      </c>
    </row>
    <row r="8" spans="2:10" x14ac:dyDescent="0.3">
      <c r="B8" s="379" t="s">
        <v>576</v>
      </c>
      <c r="C8" s="377">
        <v>99961115</v>
      </c>
      <c r="D8" s="377">
        <v>249311050</v>
      </c>
      <c r="E8" s="377">
        <v>39291922</v>
      </c>
      <c r="F8" s="377">
        <v>95254996</v>
      </c>
      <c r="G8" s="377">
        <v>90588412</v>
      </c>
      <c r="H8" s="377">
        <v>75905247</v>
      </c>
      <c r="I8" s="377">
        <v>103091640</v>
      </c>
      <c r="J8" s="377">
        <v>2030000</v>
      </c>
    </row>
    <row r="9" spans="2:10" x14ac:dyDescent="0.3">
      <c r="B9" s="328" t="s">
        <v>546</v>
      </c>
      <c r="C9" s="225">
        <v>0</v>
      </c>
      <c r="D9" s="225">
        <v>50674500</v>
      </c>
      <c r="E9" s="225">
        <v>18269500</v>
      </c>
      <c r="F9" s="225">
        <v>19929200</v>
      </c>
      <c r="G9" s="225">
        <v>10000000</v>
      </c>
      <c r="H9" s="225">
        <v>9882500</v>
      </c>
      <c r="I9" s="225">
        <v>25762820</v>
      </c>
      <c r="J9" s="225">
        <v>2030000</v>
      </c>
    </row>
    <row r="10" spans="2:10" x14ac:dyDescent="0.3">
      <c r="B10" s="328" t="s">
        <v>560</v>
      </c>
      <c r="C10" s="225">
        <v>99961115</v>
      </c>
      <c r="D10" s="225">
        <v>198636550</v>
      </c>
      <c r="E10" s="225">
        <v>21022422</v>
      </c>
      <c r="F10" s="225">
        <v>75325796</v>
      </c>
      <c r="G10" s="225">
        <v>80588412</v>
      </c>
      <c r="H10" s="225">
        <v>66022747</v>
      </c>
      <c r="I10" s="225">
        <v>77328820</v>
      </c>
      <c r="J10" s="225">
        <v>0</v>
      </c>
    </row>
    <row r="11" spans="2:10" x14ac:dyDescent="0.3">
      <c r="B11" s="379" t="s">
        <v>542</v>
      </c>
      <c r="C11" s="377">
        <v>0</v>
      </c>
      <c r="D11" s="377">
        <v>46363943</v>
      </c>
      <c r="E11" s="377">
        <v>13965000</v>
      </c>
      <c r="F11" s="377">
        <v>0</v>
      </c>
      <c r="G11" s="377">
        <v>0</v>
      </c>
      <c r="H11" s="377">
        <v>300383</v>
      </c>
      <c r="I11" s="377">
        <v>99280968</v>
      </c>
      <c r="J11" s="377">
        <v>5529500</v>
      </c>
    </row>
    <row r="12" spans="2:10" x14ac:dyDescent="0.3">
      <c r="B12" s="328" t="s">
        <v>591</v>
      </c>
      <c r="C12" s="225">
        <v>0</v>
      </c>
      <c r="D12" s="225">
        <v>5496528</v>
      </c>
      <c r="E12" s="225">
        <v>4230000</v>
      </c>
      <c r="F12" s="225">
        <v>0</v>
      </c>
      <c r="G12" s="225">
        <v>0</v>
      </c>
      <c r="H12" s="225">
        <v>300383</v>
      </c>
      <c r="I12" s="225">
        <v>36489355</v>
      </c>
      <c r="J12" s="225">
        <v>2640000</v>
      </c>
    </row>
    <row r="13" spans="2:10" x14ac:dyDescent="0.3">
      <c r="B13" s="328" t="s">
        <v>543</v>
      </c>
      <c r="C13" s="225">
        <v>0</v>
      </c>
      <c r="D13" s="225">
        <v>40867415</v>
      </c>
      <c r="E13" s="225">
        <v>9735000</v>
      </c>
      <c r="F13" s="225">
        <v>0</v>
      </c>
      <c r="G13" s="225">
        <v>0</v>
      </c>
      <c r="H13" s="225">
        <v>0</v>
      </c>
      <c r="I13" s="225">
        <v>62791613</v>
      </c>
      <c r="J13" s="225">
        <v>2889500</v>
      </c>
    </row>
    <row r="14" spans="2:10" x14ac:dyDescent="0.3">
      <c r="B14" s="379" t="s">
        <v>531</v>
      </c>
      <c r="C14" s="377">
        <v>0</v>
      </c>
      <c r="D14" s="377">
        <v>53677994</v>
      </c>
      <c r="E14" s="377">
        <v>21269213</v>
      </c>
      <c r="F14" s="377">
        <v>0</v>
      </c>
      <c r="G14" s="377">
        <v>0</v>
      </c>
      <c r="H14" s="377">
        <v>16306833</v>
      </c>
      <c r="I14" s="377">
        <v>45801723</v>
      </c>
      <c r="J14" s="377">
        <v>0</v>
      </c>
    </row>
    <row r="15" spans="2:10" x14ac:dyDescent="0.3">
      <c r="B15" s="328" t="s">
        <v>532</v>
      </c>
      <c r="C15" s="225">
        <v>0</v>
      </c>
      <c r="D15" s="225">
        <v>31461994</v>
      </c>
      <c r="E15" s="225">
        <v>9369213</v>
      </c>
      <c r="F15" s="225">
        <v>0</v>
      </c>
      <c r="G15" s="225">
        <v>0</v>
      </c>
      <c r="H15" s="225">
        <v>11498833</v>
      </c>
      <c r="I15" s="225">
        <v>15810223</v>
      </c>
      <c r="J15" s="225">
        <v>0</v>
      </c>
    </row>
    <row r="16" spans="2:10" x14ac:dyDescent="0.3">
      <c r="B16" s="328" t="s">
        <v>534</v>
      </c>
      <c r="C16" s="225">
        <v>0</v>
      </c>
      <c r="D16" s="225">
        <v>22216000</v>
      </c>
      <c r="E16" s="225">
        <v>11900000</v>
      </c>
      <c r="F16" s="225">
        <v>0</v>
      </c>
      <c r="G16" s="225">
        <v>0</v>
      </c>
      <c r="H16" s="225">
        <v>4808000</v>
      </c>
      <c r="I16" s="225">
        <v>29991500</v>
      </c>
      <c r="J16" s="225">
        <v>0</v>
      </c>
    </row>
    <row r="17" spans="2:10" x14ac:dyDescent="0.3">
      <c r="B17" s="379" t="s">
        <v>535</v>
      </c>
      <c r="C17" s="377">
        <v>0</v>
      </c>
      <c r="D17" s="377">
        <v>61147200</v>
      </c>
      <c r="E17" s="377">
        <v>23650240</v>
      </c>
      <c r="F17" s="377">
        <v>0</v>
      </c>
      <c r="G17" s="377">
        <v>4851204</v>
      </c>
      <c r="H17" s="377">
        <v>1326114</v>
      </c>
      <c r="I17" s="377">
        <v>63914400</v>
      </c>
      <c r="J17" s="377">
        <v>0</v>
      </c>
    </row>
    <row r="18" spans="2:10" x14ac:dyDescent="0.3">
      <c r="B18" s="328" t="s">
        <v>536</v>
      </c>
      <c r="C18" s="225">
        <v>0</v>
      </c>
      <c r="D18" s="225">
        <v>35690450</v>
      </c>
      <c r="E18" s="225">
        <v>7572800</v>
      </c>
      <c r="F18" s="225">
        <v>0</v>
      </c>
      <c r="G18" s="225">
        <v>0</v>
      </c>
      <c r="H18" s="225">
        <v>1074100</v>
      </c>
      <c r="I18" s="225">
        <v>63914400</v>
      </c>
      <c r="J18" s="225">
        <v>0</v>
      </c>
    </row>
    <row r="19" spans="2:10" x14ac:dyDescent="0.3">
      <c r="B19" s="328" t="s">
        <v>538</v>
      </c>
      <c r="C19" s="225">
        <v>0</v>
      </c>
      <c r="D19" s="225">
        <v>25456750</v>
      </c>
      <c r="E19" s="225">
        <v>16077440</v>
      </c>
      <c r="F19" s="225">
        <v>0</v>
      </c>
      <c r="G19" s="225">
        <v>4851204</v>
      </c>
      <c r="H19" s="225">
        <v>252014</v>
      </c>
      <c r="I19" s="225">
        <v>0</v>
      </c>
      <c r="J19" s="225">
        <v>0</v>
      </c>
    </row>
    <row r="20" spans="2:10" x14ac:dyDescent="0.3">
      <c r="B20" s="315" t="s">
        <v>4817</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Y157"/>
  <sheetViews>
    <sheetView showGridLines="0" topLeftCell="M1" zoomScale="85" zoomScaleNormal="85" workbookViewId="0">
      <pane ySplit="3" topLeftCell="A133" activePane="bottomLeft" state="frozen"/>
      <selection activeCell="N1" sqref="N1"/>
      <selection pane="bottomLeft" activeCell="Q144" sqref="Q144"/>
    </sheetView>
  </sheetViews>
  <sheetFormatPr defaultRowHeight="14.4" x14ac:dyDescent="0.3"/>
  <cols>
    <col min="1" max="1" width="9.33203125" customWidth="1"/>
    <col min="2" max="2" width="8.77734375" customWidth="1"/>
    <col min="3" max="3" width="12.77734375" customWidth="1"/>
    <col min="4" max="4" width="44.109375" bestFit="1" customWidth="1"/>
    <col min="5" max="5" width="8.44140625" customWidth="1"/>
    <col min="6" max="6" width="105.109375" bestFit="1" customWidth="1"/>
    <col min="7" max="7" width="11.33203125" style="275" customWidth="1"/>
    <col min="8" max="8" width="59.88671875" style="275" bestFit="1" customWidth="1"/>
    <col min="9" max="9" width="12.109375" style="275" customWidth="1"/>
    <col min="10" max="10" width="115.44140625" style="275" bestFit="1" customWidth="1"/>
    <col min="11" max="11" width="12.44140625" style="275" customWidth="1"/>
    <col min="12" max="12" width="86.88671875" style="275" bestFit="1" customWidth="1"/>
    <col min="13" max="13" width="13.21875" style="275" customWidth="1"/>
    <col min="14" max="14" width="79" style="275" bestFit="1" customWidth="1"/>
    <col min="15" max="15" width="9.5546875" customWidth="1"/>
    <col min="16" max="16" width="49.88671875" style="275" customWidth="1"/>
    <col min="17" max="17" width="15.33203125" style="274" customWidth="1"/>
    <col min="18" max="18" width="15.6640625" style="274" customWidth="1"/>
    <col min="19" max="20" width="12.6640625" bestFit="1" customWidth="1"/>
    <col min="21" max="21" width="13.88671875" customWidth="1"/>
    <col min="22" max="23" width="14.33203125" customWidth="1"/>
    <col min="24" max="24" width="14.33203125" bestFit="1" customWidth="1"/>
    <col min="25" max="26" width="11.5546875" customWidth="1"/>
    <col min="27" max="30" width="10.6640625" customWidth="1"/>
    <col min="31" max="31" width="20" style="275" customWidth="1"/>
    <col min="32" max="32" width="29.88671875" style="275" customWidth="1"/>
    <col min="33" max="33" width="35.109375" style="275" customWidth="1"/>
    <col min="34" max="34" width="13.109375" style="275" customWidth="1"/>
    <col min="35" max="35" width="77.88671875" style="275" customWidth="1"/>
    <col min="36" max="36" width="14.33203125" style="415" customWidth="1"/>
    <col min="37" max="37" width="9.88671875" style="275" customWidth="1"/>
    <col min="38" max="38" width="15.33203125" style="415" customWidth="1"/>
    <col min="39" max="39" width="9.77734375" style="275" customWidth="1"/>
    <col min="40" max="40" width="29.44140625" style="275" customWidth="1"/>
    <col min="41" max="41" width="14" style="275" customWidth="1"/>
    <col min="42" max="42" width="22.109375" style="275" customWidth="1"/>
    <col min="43" max="43" width="32.109375" style="275" customWidth="1"/>
    <col min="44" max="44" width="13.6640625" style="275" customWidth="1"/>
    <col min="45" max="45" width="12.5546875" style="275" customWidth="1"/>
    <col min="46" max="46" width="11.5546875" style="275" customWidth="1"/>
    <col min="47" max="47" width="13.5546875" style="275" customWidth="1"/>
    <col min="48" max="49" width="11.5546875" bestFit="1" customWidth="1"/>
    <col min="50" max="50" width="12.5546875" bestFit="1" customWidth="1"/>
    <col min="51" max="51" width="11.33203125" customWidth="1"/>
    <col min="52" max="52" width="22.33203125" bestFit="1" customWidth="1"/>
  </cols>
  <sheetData>
    <row r="1" spans="1:51" x14ac:dyDescent="0.3">
      <c r="W1" t="s">
        <v>4644</v>
      </c>
    </row>
    <row r="2" spans="1:51" x14ac:dyDescent="0.3">
      <c r="AB2" t="s">
        <v>4644</v>
      </c>
    </row>
    <row r="3" spans="1:51" s="275" customFormat="1" x14ac:dyDescent="0.3">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415" t="s">
        <v>4650</v>
      </c>
      <c r="R3" s="415" t="s">
        <v>6234</v>
      </c>
      <c r="S3" s="275" t="s">
        <v>4673</v>
      </c>
      <c r="T3" s="275" t="s">
        <v>4674</v>
      </c>
      <c r="U3" s="275" t="s">
        <v>4675</v>
      </c>
      <c r="V3" s="275" t="s">
        <v>4676</v>
      </c>
      <c r="W3" s="275" t="s">
        <v>4677</v>
      </c>
      <c r="X3" s="275" t="s">
        <v>4678</v>
      </c>
      <c r="Y3" s="275" t="s">
        <v>4679</v>
      </c>
      <c r="Z3" s="275" t="s">
        <v>4680</v>
      </c>
      <c r="AA3" s="275" t="s">
        <v>4681</v>
      </c>
      <c r="AB3" s="275" t="s">
        <v>4682</v>
      </c>
      <c r="AC3" s="275" t="s">
        <v>4683</v>
      </c>
      <c r="AD3" s="275" t="s">
        <v>4684</v>
      </c>
      <c r="AE3" s="275" t="s">
        <v>4685</v>
      </c>
      <c r="AF3" s="275" t="s">
        <v>4686</v>
      </c>
      <c r="AG3" s="275" t="s">
        <v>500</v>
      </c>
      <c r="AH3" s="275" t="s">
        <v>4687</v>
      </c>
      <c r="AI3" s="275" t="s">
        <v>4688</v>
      </c>
      <c r="AJ3" s="415" t="s">
        <v>4651</v>
      </c>
      <c r="AK3" s="275" t="s">
        <v>4818</v>
      </c>
      <c r="AL3" s="415" t="s">
        <v>4652</v>
      </c>
      <c r="AM3" s="275" t="s">
        <v>6248</v>
      </c>
      <c r="AN3" s="275" t="s">
        <v>4689</v>
      </c>
      <c r="AO3" s="275" t="s">
        <v>4690</v>
      </c>
      <c r="AP3" s="275" t="s">
        <v>4691</v>
      </c>
      <c r="AQ3" s="275" t="s">
        <v>4692</v>
      </c>
      <c r="AR3" s="275" t="s">
        <v>4826</v>
      </c>
      <c r="AS3" s="275" t="s">
        <v>4827</v>
      </c>
      <c r="AT3" s="275" t="s">
        <v>4828</v>
      </c>
      <c r="AU3" s="275" t="s">
        <v>4836</v>
      </c>
      <c r="AV3" s="275" t="s">
        <v>5160</v>
      </c>
      <c r="AW3" s="275" t="s">
        <v>5196</v>
      </c>
      <c r="AX3" s="275" t="s">
        <v>5197</v>
      </c>
      <c r="AY3" s="275" t="s">
        <v>5352</v>
      </c>
    </row>
    <row r="4" spans="1:51" s="278" customFormat="1" x14ac:dyDescent="0.3">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221" cm="1">
        <f t="array" ref="Q4">SUM(_xlfn._xlws.FILTER(DIPA2[PaguRevisi],DIPA2[Akun]=SP2D[[#This Row],[Kode Akun]],0))</f>
        <v>19875000</v>
      </c>
      <c r="R4" s="221">
        <v>19875000</v>
      </c>
      <c r="S4" s="292">
        <f>SUM('PER BULAN'!J21:L21)</f>
        <v>0</v>
      </c>
      <c r="T4" s="292">
        <f>SUM('PER BULAN'!M21:P21)</f>
        <v>0</v>
      </c>
      <c r="U4" s="292">
        <f>SUM('PER BULAN'!P21:R21)</f>
        <v>2490000</v>
      </c>
      <c r="V4" s="292">
        <f>SUM('PER BULAN'!S21:U21)</f>
        <v>0</v>
      </c>
      <c r="W4" s="292">
        <f>SUM('PER BULAN'!V21:X21)</f>
        <v>3091000</v>
      </c>
      <c r="X4" s="292">
        <f>SUM('PER BULAN'!Y21:AA21)</f>
        <v>0</v>
      </c>
      <c r="Y4" s="292">
        <f>SUM('PER BULAN'!AB21:AD21)</f>
        <v>0</v>
      </c>
      <c r="Z4" s="292">
        <f>SUM('PER BULAN'!AE21:AG21)</f>
        <v>0</v>
      </c>
      <c r="AA4" s="292">
        <f>SUM('PER BULAN'!AH21:AJ21)</f>
        <v>0</v>
      </c>
      <c r="AB4" s="292">
        <f>SUM('PER BULAN'!AK21:AM21)</f>
        <v>0</v>
      </c>
      <c r="AC4" s="292">
        <f>SUM('PER BULAN'!AN21:AP21)</f>
        <v>0</v>
      </c>
      <c r="AD4" s="292">
        <f>SUM('PER BULAN'!AQ21:AS21)</f>
        <v>0</v>
      </c>
      <c r="AE4" s="277" t="s">
        <v>530</v>
      </c>
      <c r="AF4" s="277" t="s">
        <v>531</v>
      </c>
      <c r="AG4" s="277" t="s">
        <v>532</v>
      </c>
      <c r="AH4" s="277" t="s">
        <v>4699</v>
      </c>
      <c r="AI4" s="277" t="s">
        <v>4700</v>
      </c>
      <c r="AJ4" s="494">
        <f>SUM(S4:AD4)</f>
        <v>5581000</v>
      </c>
      <c r="AK4" s="291">
        <f>IFERROR(AJ4/Q4*100,0)</f>
        <v>28.080503144654088</v>
      </c>
      <c r="AL4" s="494">
        <f>Q4-AJ4</f>
        <v>14294000</v>
      </c>
      <c r="AM4" s="291">
        <f>IFERROR(AL4/Q4*100,0)</f>
        <v>71.919496855345912</v>
      </c>
      <c r="AN4" s="277" t="str">
        <f>_xlfn.TEXTJOIN(".",TRUE,C4,E4,G4,I4,K4,M4,O4)</f>
        <v>DL.2376.AFA.001.051.A.521211</v>
      </c>
      <c r="AO4" s="277" t="str">
        <f>IF(ISNUMBER(SEARCH("COVID",SP2D[[#This Row],[Akun]])),"COVID","Non COVID")</f>
        <v>Non COVID</v>
      </c>
      <c r="AP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 s="292">
        <f>SUM('PER BULAN'!BA21)</f>
        <v>0</v>
      </c>
      <c r="AS4" s="292">
        <f>SUM('PER BULAN'!BB21)</f>
        <v>990000</v>
      </c>
      <c r="AT4" s="292">
        <f>SUM('PER BULAN'!BC21)</f>
        <v>1500000</v>
      </c>
      <c r="AU4" s="292">
        <f>SUM('PER BULAN'!BD21)</f>
        <v>0</v>
      </c>
      <c r="AV4" s="292">
        <f>SUM('PER BULAN'!BE21)</f>
        <v>0</v>
      </c>
      <c r="AW4" s="292">
        <f>SUM('PER BULAN'!BF21)</f>
        <v>1606000</v>
      </c>
      <c r="AX4" s="292">
        <f>SUM('PER BULAN'!BG21)</f>
        <v>1485000</v>
      </c>
      <c r="AY4" s="292">
        <f>SUM('PER BULAN'!BH21)</f>
        <v>0</v>
      </c>
    </row>
    <row r="5" spans="1:51" s="278" customFormat="1" x14ac:dyDescent="0.3">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221" cm="1">
        <f t="array" ref="Q5">SUM(_xlfn._xlws.FILTER(DIPA2[PaguRevisi],DIPA2[Akun]=SP2D[[#This Row],[Kode Akun]],0))</f>
        <v>20000000</v>
      </c>
      <c r="R5" s="416">
        <f>'PER BULAN'!G22</f>
        <v>20000000</v>
      </c>
      <c r="S5" s="292">
        <f>SUM('PER BULAN'!J22:L22)</f>
        <v>0</v>
      </c>
      <c r="T5" s="292">
        <f>SUM('PER BULAN'!M22:O22)</f>
        <v>0</v>
      </c>
      <c r="U5" s="292">
        <f>SUM('PER BULAN'!P22:R22)</f>
        <v>900000</v>
      </c>
      <c r="V5" s="292">
        <f>SUM('PER BULAN'!S22:U22)</f>
        <v>0</v>
      </c>
      <c r="W5" s="292">
        <f>SUM('PER BULAN'!V22:X22)</f>
        <v>0</v>
      </c>
      <c r="X5" s="292">
        <f>SUM('PER BULAN'!Y22:AA22)</f>
        <v>1200000</v>
      </c>
      <c r="Y5" s="292">
        <f>SUM('PER BULAN'!AB22:AD22)</f>
        <v>0</v>
      </c>
      <c r="Z5" s="292">
        <f>SUM('PER BULAN'!AE22:AG22)</f>
        <v>0</v>
      </c>
      <c r="AA5" s="292">
        <f>SUM('PER BULAN'!AH22:AJ22)</f>
        <v>0</v>
      </c>
      <c r="AB5" s="292">
        <f>SUM('PER BULAN'!AK22:AM22)</f>
        <v>0</v>
      </c>
      <c r="AC5" s="292">
        <f>SUM('PER BULAN'!AN22:AP22)</f>
        <v>0</v>
      </c>
      <c r="AD5" s="292">
        <f>SUM('PER BULAN'!AQ22:AS22)</f>
        <v>0</v>
      </c>
      <c r="AE5" s="277" t="s">
        <v>530</v>
      </c>
      <c r="AF5" s="277" t="s">
        <v>531</v>
      </c>
      <c r="AG5" s="277" t="s">
        <v>532</v>
      </c>
      <c r="AH5" s="277" t="s">
        <v>4699</v>
      </c>
      <c r="AI5" s="277" t="s">
        <v>4700</v>
      </c>
      <c r="AJ5" s="494">
        <f t="shared" ref="AJ5:AJ68" si="0">SUM(S5:AD5)</f>
        <v>2100000</v>
      </c>
      <c r="AK5" s="291">
        <f t="shared" ref="AK5:AK68" si="1">IFERROR(AJ5/Q5*100,0)</f>
        <v>10.5</v>
      </c>
      <c r="AL5" s="494">
        <f t="shared" ref="AL5:AL68" si="2">Q5-AJ5</f>
        <v>17900000</v>
      </c>
      <c r="AM5" s="291">
        <f t="shared" ref="AM5:AM68" si="3">IFERROR(AL5/Q5*100,0)</f>
        <v>89.5</v>
      </c>
      <c r="AN5" s="277" t="str">
        <f t="shared" ref="AN5:AN68" si="4">_xlfn.TEXTJOIN(".",TRUE,C5,E5,G5,I5,K5,M5,O5)</f>
        <v>DL.2376.AFA.001.051.A.522151</v>
      </c>
      <c r="AO5" s="277" t="str">
        <f>IF(ISNUMBER(SEARCH("COVID",SP2D[[#This Row],[Akun]])),"COVID","Non COVID")</f>
        <v>Non COVID</v>
      </c>
      <c r="AP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 s="292">
        <f>SUM('PER BULAN'!BA22)</f>
        <v>0</v>
      </c>
      <c r="AS5" s="292">
        <f>SUM('PER BULAN'!BB22)</f>
        <v>900000</v>
      </c>
      <c r="AT5" s="292">
        <f>SUM('PER BULAN'!BC22)</f>
        <v>0</v>
      </c>
      <c r="AU5" s="292">
        <f>SUM('PER BULAN'!BD22)</f>
        <v>0</v>
      </c>
      <c r="AV5" s="292">
        <f>SUM('PER BULAN'!BE22)</f>
        <v>0</v>
      </c>
      <c r="AW5" s="292">
        <f>SUM('PER BULAN'!BF22)</f>
        <v>0</v>
      </c>
      <c r="AX5" s="292">
        <f>SUM('PER BULAN'!BG22)</f>
        <v>0</v>
      </c>
      <c r="AY5" s="292">
        <f>SUM('PER BULAN'!BH22)</f>
        <v>0</v>
      </c>
    </row>
    <row r="6" spans="1:51" s="278" customFormat="1" x14ac:dyDescent="0.3">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221" cm="1">
        <f t="array" ref="Q6">SUM(_xlfn._xlws.FILTER(DIPA2[PaguRevisi],DIPA2[Akun]=SP2D[[#This Row],[Kode Akun]],0))</f>
        <v>43260000</v>
      </c>
      <c r="R6" s="416">
        <f>'PER BULAN'!G23</f>
        <v>43260000</v>
      </c>
      <c r="S6" s="292">
        <f>SUM('PER BULAN'!J23:L23)</f>
        <v>0</v>
      </c>
      <c r="T6" s="292">
        <f>SUM('PER BULAN'!M23:O23)</f>
        <v>0</v>
      </c>
      <c r="U6" s="292">
        <f>SUM('PER BULAN'!P23:R23)</f>
        <v>10950000</v>
      </c>
      <c r="V6" s="292">
        <f>SUM('PER BULAN'!S23:U23)</f>
        <v>11716000</v>
      </c>
      <c r="W6" s="292">
        <f>SUM('PER BULAN'!V23:X23)</f>
        <v>1800000</v>
      </c>
      <c r="X6" s="292">
        <f>SUM('PER BULAN'!Y23:AA23)</f>
        <v>1810000</v>
      </c>
      <c r="Y6" s="292">
        <f>SUM('PER BULAN'!AB23:AD23)</f>
        <v>0</v>
      </c>
      <c r="Z6" s="292">
        <f>SUM('PER BULAN'!AE23:AG23)</f>
        <v>0</v>
      </c>
      <c r="AA6" s="292">
        <f>SUM('PER BULAN'!AH23:AJ23)</f>
        <v>0</v>
      </c>
      <c r="AB6" s="292">
        <f>SUM('PER BULAN'!AK23:AM23)</f>
        <v>0</v>
      </c>
      <c r="AC6" s="292">
        <f>SUM('PER BULAN'!AN23:AP23)</f>
        <v>0</v>
      </c>
      <c r="AD6" s="292">
        <f>SUM('PER BULAN'!AQ23:AS23)</f>
        <v>0</v>
      </c>
      <c r="AE6" s="277" t="s">
        <v>530</v>
      </c>
      <c r="AF6" s="277" t="s">
        <v>531</v>
      </c>
      <c r="AG6" s="277" t="s">
        <v>532</v>
      </c>
      <c r="AH6" s="277" t="s">
        <v>4699</v>
      </c>
      <c r="AI6" s="277" t="s">
        <v>4700</v>
      </c>
      <c r="AJ6" s="494">
        <f t="shared" si="0"/>
        <v>26276000</v>
      </c>
      <c r="AK6" s="291">
        <f t="shared" si="1"/>
        <v>60.739713361072589</v>
      </c>
      <c r="AL6" s="494">
        <f t="shared" si="2"/>
        <v>16984000</v>
      </c>
      <c r="AM6" s="291">
        <f t="shared" si="3"/>
        <v>39.260286638927418</v>
      </c>
      <c r="AN6" s="277" t="str">
        <f t="shared" si="4"/>
        <v>DL.2376.AFA.001.051.A.524111</v>
      </c>
      <c r="AO6" s="277" t="str">
        <f>IF(ISNUMBER(SEARCH("COVID",SP2D[[#This Row],[Akun]])),"COVID","Non COVID")</f>
        <v>Non COVID</v>
      </c>
      <c r="AP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 s="292">
        <f>SUM('PER BULAN'!BA23)</f>
        <v>0</v>
      </c>
      <c r="AS6" s="292">
        <f>SUM('PER BULAN'!BB23)</f>
        <v>10950000</v>
      </c>
      <c r="AT6" s="292">
        <f>SUM('PER BULAN'!BC23)</f>
        <v>0</v>
      </c>
      <c r="AU6" s="292">
        <f>SUM('PER BULAN'!BD23)</f>
        <v>0</v>
      </c>
      <c r="AV6" s="292">
        <f>SUM('PER BULAN'!BE23)</f>
        <v>0</v>
      </c>
      <c r="AW6" s="292">
        <f>SUM('PER BULAN'!BF23)</f>
        <v>1800000</v>
      </c>
      <c r="AX6" s="292">
        <f>SUM('PER BULAN'!BG23)</f>
        <v>0</v>
      </c>
      <c r="AY6" s="292">
        <f>SUM('PER BULAN'!BH23)</f>
        <v>0</v>
      </c>
    </row>
    <row r="7" spans="1:51" s="278" customFormat="1" x14ac:dyDescent="0.3">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221" cm="1">
        <f t="array" ref="Q7">SUM(_xlfn._xlws.FILTER(DIPA2[PaguRevisi],DIPA2[Akun]=SP2D[[#This Row],[Kode Akun]],0))</f>
        <v>19500000</v>
      </c>
      <c r="R7" s="416">
        <f>'PER BULAN'!G25</f>
        <v>19500000</v>
      </c>
      <c r="S7" s="292">
        <f>SUM('PER BULAN'!J25:L25)</f>
        <v>0</v>
      </c>
      <c r="T7" s="292">
        <f>SUM('PER BULAN'!M25:O25)</f>
        <v>0</v>
      </c>
      <c r="U7" s="292">
        <f>SUM('PER BULAN'!P25:R25)</f>
        <v>2561000</v>
      </c>
      <c r="V7" s="292">
        <f>SUM('PER BULAN'!S25:U25)</f>
        <v>0</v>
      </c>
      <c r="W7" s="292">
        <f>SUM('PER BULAN'!V25:X25)</f>
        <v>1480000</v>
      </c>
      <c r="X7" s="292">
        <f>SUM('PER BULAN'!Y25:AA25)</f>
        <v>0</v>
      </c>
      <c r="Y7" s="292">
        <f>SUM('PER BULAN'!AB25:AD25)</f>
        <v>0</v>
      </c>
      <c r="Z7" s="292">
        <f>SUM('PER BULAN'!AE25:AG25)</f>
        <v>0</v>
      </c>
      <c r="AA7" s="292">
        <f>SUM('PER BULAN'!AH25:AJ25)</f>
        <v>0</v>
      </c>
      <c r="AB7" s="292">
        <f>SUM('PER BULAN'!AK25:AM25)</f>
        <v>0</v>
      </c>
      <c r="AC7" s="292">
        <f>SUM('PER BULAN'!AN25:AP25)</f>
        <v>0</v>
      </c>
      <c r="AD7" s="292">
        <f>SUM('PER BULAN'!AQ25:AS25)</f>
        <v>0</v>
      </c>
      <c r="AE7" s="277" t="s">
        <v>530</v>
      </c>
      <c r="AF7" s="277" t="s">
        <v>531</v>
      </c>
      <c r="AG7" s="277" t="s">
        <v>532</v>
      </c>
      <c r="AH7" s="277" t="s">
        <v>4699</v>
      </c>
      <c r="AI7" s="277" t="s">
        <v>4700</v>
      </c>
      <c r="AJ7" s="494">
        <f t="shared" si="0"/>
        <v>4041000</v>
      </c>
      <c r="AK7" s="291">
        <f t="shared" si="1"/>
        <v>20.723076923076921</v>
      </c>
      <c r="AL7" s="494">
        <f t="shared" si="2"/>
        <v>15459000</v>
      </c>
      <c r="AM7" s="291">
        <f t="shared" si="3"/>
        <v>79.276923076923083</v>
      </c>
      <c r="AN7" s="277" t="str">
        <f t="shared" si="4"/>
        <v>DL.2376.AFA.001.051.B.521211</v>
      </c>
      <c r="AO7" s="277" t="str">
        <f>IF(ISNUMBER(SEARCH("COVID",SP2D[[#This Row],[Akun]])),"COVID","Non COVID")</f>
        <v>Non COVID</v>
      </c>
      <c r="AP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 s="292">
        <f>SUM('PER BULAN'!BA25)</f>
        <v>0</v>
      </c>
      <c r="AS7" s="292">
        <f>SUM('PER BULAN'!BB25)</f>
        <v>1525000</v>
      </c>
      <c r="AT7" s="292">
        <f>SUM('PER BULAN'!BC25)</f>
        <v>1036000</v>
      </c>
      <c r="AU7" s="292">
        <f>SUM('PER BULAN'!BD25)</f>
        <v>0</v>
      </c>
      <c r="AV7" s="292">
        <f>SUM('PER BULAN'!BE25)</f>
        <v>0</v>
      </c>
      <c r="AW7" s="292">
        <f>SUM('PER BULAN'!BF25)</f>
        <v>0</v>
      </c>
      <c r="AX7" s="292">
        <f>SUM('PER BULAN'!BG25)</f>
        <v>1480000</v>
      </c>
      <c r="AY7" s="292">
        <f>SUM('PER BULAN'!BH25)</f>
        <v>0</v>
      </c>
    </row>
    <row r="8" spans="1:51" s="278" customFormat="1" x14ac:dyDescent="0.3">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221" cm="1">
        <f t="array" ref="Q8">SUM(_xlfn._xlws.FILTER(DIPA2[PaguRevisi],DIPA2[Akun]=SP2D[[#This Row],[Kode Akun]],0))</f>
        <v>4000000</v>
      </c>
      <c r="R8" s="416">
        <f>'PER BULAN'!G26</f>
        <v>4000000</v>
      </c>
      <c r="S8" s="292">
        <f>SUM('PER BULAN'!J26:L26)</f>
        <v>0</v>
      </c>
      <c r="T8" s="292">
        <f>SUM('PER BULAN'!M26:O26)</f>
        <v>0</v>
      </c>
      <c r="U8" s="292">
        <f>SUM('PER BULAN'!P26:R26)</f>
        <v>900000</v>
      </c>
      <c r="V8" s="292">
        <f>SUM('PER BULAN'!S26:U26)</f>
        <v>0</v>
      </c>
      <c r="W8" s="292">
        <f>SUM('PER BULAN'!V26:X26)</f>
        <v>0</v>
      </c>
      <c r="X8" s="292">
        <f>SUM('PER BULAN'!Y26:AA26)</f>
        <v>0</v>
      </c>
      <c r="Y8" s="292">
        <f>SUM('PER BULAN'!AB26:AD26)</f>
        <v>0</v>
      </c>
      <c r="Z8" s="292">
        <f>SUM('PER BULAN'!AE26:AG26)</f>
        <v>0</v>
      </c>
      <c r="AA8" s="292">
        <f>SUM('PER BULAN'!AH26:AJ26)</f>
        <v>0</v>
      </c>
      <c r="AB8" s="292">
        <f>SUM('PER BULAN'!AK26:AM26)</f>
        <v>0</v>
      </c>
      <c r="AC8" s="292">
        <f>SUM('PER BULAN'!AN26:AP26)</f>
        <v>0</v>
      </c>
      <c r="AD8" s="292">
        <f>SUM('PER BULAN'!AQ26:AS26)</f>
        <v>0</v>
      </c>
      <c r="AE8" s="277" t="s">
        <v>530</v>
      </c>
      <c r="AF8" s="277" t="s">
        <v>531</v>
      </c>
      <c r="AG8" s="277" t="s">
        <v>532</v>
      </c>
      <c r="AH8" s="277" t="s">
        <v>4699</v>
      </c>
      <c r="AI8" s="277" t="s">
        <v>4700</v>
      </c>
      <c r="AJ8" s="494">
        <f t="shared" si="0"/>
        <v>900000</v>
      </c>
      <c r="AK8" s="291">
        <f t="shared" si="1"/>
        <v>22.5</v>
      </c>
      <c r="AL8" s="494">
        <f t="shared" si="2"/>
        <v>3100000</v>
      </c>
      <c r="AM8" s="291">
        <f t="shared" si="3"/>
        <v>77.5</v>
      </c>
      <c r="AN8" s="277" t="str">
        <f t="shared" si="4"/>
        <v>DL.2376.AFA.001.051.B.522151</v>
      </c>
      <c r="AO8" s="277" t="str">
        <f>IF(ISNUMBER(SEARCH("COVID",SP2D[[#This Row],[Akun]])),"COVID","Non COVID")</f>
        <v>Non COVID</v>
      </c>
      <c r="AP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8" s="292">
        <f>SUM('PER BULAN'!BA26)</f>
        <v>0</v>
      </c>
      <c r="AS8" s="292">
        <f>SUM('PER BULAN'!BB26)</f>
        <v>900000</v>
      </c>
      <c r="AT8" s="292">
        <f>SUM('PER BULAN'!BC26)</f>
        <v>0</v>
      </c>
      <c r="AU8" s="292">
        <f>SUM('PER BULAN'!BD26)</f>
        <v>0</v>
      </c>
      <c r="AV8" s="292">
        <f>SUM('PER BULAN'!BE26)</f>
        <v>0</v>
      </c>
      <c r="AW8" s="292">
        <f>SUM('PER BULAN'!BF26)</f>
        <v>0</v>
      </c>
      <c r="AX8" s="292">
        <f>SUM('PER BULAN'!BG26)</f>
        <v>0</v>
      </c>
      <c r="AY8" s="292">
        <f>SUM('PER BULAN'!BH26)</f>
        <v>0</v>
      </c>
    </row>
    <row r="9" spans="1:51" s="278" customFormat="1" x14ac:dyDescent="0.3">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221" cm="1">
        <f t="array" ref="Q9">SUM(_xlfn._xlws.FILTER(DIPA2[PaguRevisi],DIPA2[Akun]=SP2D[[#This Row],[Kode Akun]],0))</f>
        <v>17465000</v>
      </c>
      <c r="R9" s="416">
        <f>'PER BULAN'!G27</f>
        <v>17465000</v>
      </c>
      <c r="S9" s="292">
        <f>SUM('PER BULAN'!J27:L27)</f>
        <v>0</v>
      </c>
      <c r="T9" s="292">
        <f>SUM('PER BULAN'!M27:O27)</f>
        <v>0</v>
      </c>
      <c r="U9" s="292">
        <f>SUM('PER BULAN'!P27:R27)</f>
        <v>16620000</v>
      </c>
      <c r="V9" s="292">
        <f>SUM('PER BULAN'!S27:U27)</f>
        <v>0</v>
      </c>
      <c r="W9" s="292">
        <f>SUM('PER BULAN'!V27:X27)</f>
        <v>0</v>
      </c>
      <c r="X9" s="292">
        <f>SUM('PER BULAN'!Y27:AA27)</f>
        <v>0</v>
      </c>
      <c r="Y9" s="292">
        <f>SUM('PER BULAN'!AB27:AD27)</f>
        <v>0</v>
      </c>
      <c r="Z9" s="292">
        <f>SUM('PER BULAN'!AE27:AG27)</f>
        <v>0</v>
      </c>
      <c r="AA9" s="292">
        <f>SUM('PER BULAN'!AH27:AJ27)</f>
        <v>0</v>
      </c>
      <c r="AB9" s="292">
        <f>SUM('PER BULAN'!AK27:AM27)</f>
        <v>0</v>
      </c>
      <c r="AC9" s="292">
        <f>SUM('PER BULAN'!AN27:AP27)</f>
        <v>0</v>
      </c>
      <c r="AD9" s="292">
        <f>SUM('PER BULAN'!AQ27:AS27)</f>
        <v>0</v>
      </c>
      <c r="AE9" s="277" t="s">
        <v>530</v>
      </c>
      <c r="AF9" s="277" t="s">
        <v>531</v>
      </c>
      <c r="AG9" s="277" t="s">
        <v>532</v>
      </c>
      <c r="AH9" s="277" t="s">
        <v>4699</v>
      </c>
      <c r="AI9" s="277" t="s">
        <v>4700</v>
      </c>
      <c r="AJ9" s="494">
        <f t="shared" si="0"/>
        <v>16620000</v>
      </c>
      <c r="AK9" s="291">
        <f t="shared" si="1"/>
        <v>95.161752075579727</v>
      </c>
      <c r="AL9" s="494">
        <f t="shared" si="2"/>
        <v>845000</v>
      </c>
      <c r="AM9" s="291">
        <f t="shared" si="3"/>
        <v>4.8382479244202692</v>
      </c>
      <c r="AN9" s="277" t="str">
        <f t="shared" si="4"/>
        <v>DL.2376.AFA.001.051.B.524111</v>
      </c>
      <c r="AO9" s="277" t="str">
        <f>IF(ISNUMBER(SEARCH("COVID",SP2D[[#This Row],[Akun]])),"COVID","Non COVID")</f>
        <v>Non COVID</v>
      </c>
      <c r="AP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 s="292">
        <f>SUM('PER BULAN'!BA27)</f>
        <v>0</v>
      </c>
      <c r="AS9" s="292">
        <f>SUM('PER BULAN'!BB27)</f>
        <v>12960000</v>
      </c>
      <c r="AT9" s="292">
        <f>SUM('PER BULAN'!BC27)</f>
        <v>3660000</v>
      </c>
      <c r="AU9" s="292">
        <f>SUM('PER BULAN'!BD27)</f>
        <v>0</v>
      </c>
      <c r="AV9" s="292">
        <f>SUM('PER BULAN'!BE27)</f>
        <v>0</v>
      </c>
      <c r="AW9" s="292">
        <f>SUM('PER BULAN'!BF27)</f>
        <v>0</v>
      </c>
      <c r="AX9" s="292">
        <f>SUM('PER BULAN'!BG27)</f>
        <v>0</v>
      </c>
      <c r="AY9" s="292">
        <f>SUM('PER BULAN'!BH27)</f>
        <v>0</v>
      </c>
    </row>
    <row r="10" spans="1:51" s="278" customFormat="1" x14ac:dyDescent="0.3">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4730</v>
      </c>
      <c r="O10" s="277" t="s">
        <v>503</v>
      </c>
      <c r="P10" s="277" t="s">
        <v>4698</v>
      </c>
      <c r="Q10" s="221" cm="1">
        <f t="array" ref="Q10">SUM(_xlfn._xlws.FILTER(DIPA2[PaguRevisi],DIPA2[Akun]=SP2D[[#This Row],[Kode Akun]],0))</f>
        <v>21250000</v>
      </c>
      <c r="R10" s="416">
        <v>21250000</v>
      </c>
      <c r="S10" s="292">
        <f>SUM('PER BULAN'!J30:L30)</f>
        <v>0</v>
      </c>
      <c r="T10" s="292">
        <f>SUM('PER BULAN'!M30:O30)</f>
        <v>0</v>
      </c>
      <c r="U10" s="292">
        <f>SUM('PER BULAN'!P30:R30)</f>
        <v>2460000</v>
      </c>
      <c r="V10" s="292">
        <f>SUM('PER BULAN'!S30:U30)</f>
        <v>0</v>
      </c>
      <c r="W10" s="292">
        <f>SUM('PER BULAN'!V30:X30)</f>
        <v>660000</v>
      </c>
      <c r="X10" s="292">
        <f>SUM('PER BULAN'!Y30:AA30)</f>
        <v>0</v>
      </c>
      <c r="Y10" s="292">
        <f>SUM('PER BULAN'!AB30:AD30)</f>
        <v>0</v>
      </c>
      <c r="Z10" s="292">
        <f>SUM('PER BULAN'!AE30:AG30)</f>
        <v>0</v>
      </c>
      <c r="AA10" s="292">
        <f>SUM('PER BULAN'!AH30:AJ30)</f>
        <v>0</v>
      </c>
      <c r="AB10" s="292">
        <f>SUM('PER BULAN'!AK30:AM30)</f>
        <v>0</v>
      </c>
      <c r="AC10" s="292">
        <f>SUM('PER BULAN'!AN30:AP30)</f>
        <v>0</v>
      </c>
      <c r="AD10" s="292">
        <f>SUM('PER BULAN'!AQ30:AS30)</f>
        <v>0</v>
      </c>
      <c r="AE10" s="277" t="s">
        <v>530</v>
      </c>
      <c r="AF10" s="277" t="s">
        <v>531</v>
      </c>
      <c r="AG10" s="277" t="s">
        <v>534</v>
      </c>
      <c r="AH10" s="277" t="s">
        <v>4699</v>
      </c>
      <c r="AI10" s="277" t="s">
        <v>4700</v>
      </c>
      <c r="AJ10" s="494">
        <f t="shared" si="0"/>
        <v>3120000</v>
      </c>
      <c r="AK10" s="291">
        <f t="shared" si="1"/>
        <v>14.682352941176472</v>
      </c>
      <c r="AL10" s="494">
        <f t="shared" si="2"/>
        <v>18130000</v>
      </c>
      <c r="AM10" s="291">
        <f t="shared" si="3"/>
        <v>85.317647058823525</v>
      </c>
      <c r="AN10" s="277" t="str">
        <f t="shared" si="4"/>
        <v>DL.2376.AFA.001.052.A.521211</v>
      </c>
      <c r="AO10" s="277" t="str">
        <f>IF(ISNUMBER(SEARCH("COVID",SP2D[[#This Row],[Akun]])),"COVID","Non COVID")</f>
        <v>Non COVID</v>
      </c>
      <c r="AP1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 s="292">
        <f>SUM('PER BULAN'!BA30)</f>
        <v>0</v>
      </c>
      <c r="AS10" s="292">
        <f>SUM('PER BULAN'!BB30)</f>
        <v>2460000</v>
      </c>
      <c r="AT10" s="292">
        <f>SUM('PER BULAN'!BC30)</f>
        <v>0</v>
      </c>
      <c r="AU10" s="292">
        <f>SUM('PER BULAN'!BD30)</f>
        <v>0</v>
      </c>
      <c r="AV10" s="292">
        <f>SUM('PER BULAN'!BE30)</f>
        <v>0</v>
      </c>
      <c r="AW10" s="292">
        <f>SUM('PER BULAN'!BF30)</f>
        <v>660000</v>
      </c>
      <c r="AX10" s="292">
        <f>SUM('PER BULAN'!BG30)</f>
        <v>0</v>
      </c>
      <c r="AY10" s="292">
        <f>SUM('PER BULAN'!BH30)</f>
        <v>0</v>
      </c>
    </row>
    <row r="11" spans="1:51" s="278" customFormat="1" x14ac:dyDescent="0.3">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4730</v>
      </c>
      <c r="O11" s="277" t="s">
        <v>513</v>
      </c>
      <c r="P11" s="277" t="s">
        <v>4702</v>
      </c>
      <c r="Q11" s="221" cm="1">
        <f t="array" ref="Q11">SUM(_xlfn._xlws.FILTER(DIPA2[PaguRevisi],DIPA2[Akun]=SP2D[[#This Row],[Kode Akun]],0))</f>
        <v>33250000</v>
      </c>
      <c r="R11" s="416">
        <v>33250000</v>
      </c>
      <c r="S11" s="292">
        <f>SUM('PER BULAN'!J31:L31)</f>
        <v>0</v>
      </c>
      <c r="T11" s="292">
        <f>SUM('PER BULAN'!M31:O31)</f>
        <v>0</v>
      </c>
      <c r="U11" s="292">
        <f>SUM('PER BULAN'!P31:R31)</f>
        <v>3780000</v>
      </c>
      <c r="V11" s="292">
        <f>SUM('PER BULAN'!S31:U31)</f>
        <v>2840000</v>
      </c>
      <c r="W11" s="292">
        <f>SUM('PER BULAN'!V31:X31)</f>
        <v>14114500</v>
      </c>
      <c r="X11" s="292">
        <f>SUM('PER BULAN'!Y31:AA31)</f>
        <v>360000</v>
      </c>
      <c r="Y11" s="292">
        <f>SUM('PER BULAN'!AB31:AD31)</f>
        <v>0</v>
      </c>
      <c r="Z11" s="292">
        <f>SUM('PER BULAN'!AE31:AG31)</f>
        <v>0</v>
      </c>
      <c r="AA11" s="292">
        <f>SUM('PER BULAN'!AH31:AJ31)</f>
        <v>0</v>
      </c>
      <c r="AB11" s="292">
        <f>SUM('PER BULAN'!AK31:AM31)</f>
        <v>0</v>
      </c>
      <c r="AC11" s="292">
        <f>SUM('PER BULAN'!AN31:AP31)</f>
        <v>0</v>
      </c>
      <c r="AD11" s="292">
        <f>SUM('PER BULAN'!AQ31:AS31)</f>
        <v>0</v>
      </c>
      <c r="AE11" s="277" t="s">
        <v>530</v>
      </c>
      <c r="AF11" s="277" t="s">
        <v>531</v>
      </c>
      <c r="AG11" s="277" t="s">
        <v>534</v>
      </c>
      <c r="AH11" s="277" t="s">
        <v>4699</v>
      </c>
      <c r="AI11" s="277" t="s">
        <v>4700</v>
      </c>
      <c r="AJ11" s="494">
        <f t="shared" si="0"/>
        <v>21094500</v>
      </c>
      <c r="AK11" s="291">
        <f t="shared" si="1"/>
        <v>63.442105263157899</v>
      </c>
      <c r="AL11" s="494">
        <f t="shared" si="2"/>
        <v>12155500</v>
      </c>
      <c r="AM11" s="291">
        <f t="shared" si="3"/>
        <v>36.557894736842108</v>
      </c>
      <c r="AN11" s="277" t="str">
        <f t="shared" si="4"/>
        <v>DL.2376.AFA.001.052.A.524111</v>
      </c>
      <c r="AO11" s="277" t="str">
        <f>IF(ISNUMBER(SEARCH("COVID",SP2D[[#This Row],[Akun]])),"COVID","Non COVID")</f>
        <v>Non COVID</v>
      </c>
      <c r="AP1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 s="292">
        <f>SUM('PER BULAN'!BA31)</f>
        <v>0</v>
      </c>
      <c r="AS11" s="292">
        <f>SUM('PER BULAN'!BB31)</f>
        <v>1080000</v>
      </c>
      <c r="AT11" s="292">
        <f>SUM('PER BULAN'!BC31)</f>
        <v>2700000</v>
      </c>
      <c r="AU11" s="292">
        <f>SUM('PER BULAN'!BD31)</f>
        <v>0</v>
      </c>
      <c r="AV11" s="292">
        <f>SUM('PER BULAN'!BE31)</f>
        <v>0</v>
      </c>
      <c r="AW11" s="292">
        <f>SUM('PER BULAN'!BF31)</f>
        <v>3620000</v>
      </c>
      <c r="AX11" s="292">
        <f>SUM('PER BULAN'!BG31)</f>
        <v>9244500</v>
      </c>
      <c r="AY11" s="292">
        <f>SUM('PER BULAN'!BH31)</f>
        <v>0</v>
      </c>
    </row>
    <row r="12" spans="1:51" s="278" customFormat="1" x14ac:dyDescent="0.3">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221" cm="1">
        <f t="array" ref="Q12">SUM(_xlfn._xlws.FILTER(DIPA2[PaguRevisi],DIPA2[Akun]=SP2D[[#This Row],[Kode Akun]],0))</f>
        <v>64900000</v>
      </c>
      <c r="R12" s="416">
        <v>64900000</v>
      </c>
      <c r="S12" s="292">
        <f>SUM('PER BULAN'!J34:L34)</f>
        <v>0</v>
      </c>
      <c r="T12" s="292">
        <f>SUM('PER BULAN'!M34:O34)</f>
        <v>0</v>
      </c>
      <c r="U12" s="292">
        <f>SUM('PER BULAN'!P34:R34)</f>
        <v>4332500</v>
      </c>
      <c r="V12" s="292">
        <f>SUM('PER BULAN'!S34:U34)</f>
        <v>0</v>
      </c>
      <c r="W12" s="292">
        <f>SUM('PER BULAN'!V34:X34)</f>
        <v>1862500</v>
      </c>
      <c r="X12" s="292">
        <f>SUM('PER BULAN'!Y34:AA34)</f>
        <v>0</v>
      </c>
      <c r="Y12" s="292">
        <f>SUM('PER BULAN'!AB34:AD34)</f>
        <v>0</v>
      </c>
      <c r="Z12" s="292">
        <f>SUM('PER BULAN'!AE34:AG34)</f>
        <v>0</v>
      </c>
      <c r="AA12" s="292">
        <f>SUM('PER BULAN'!AH34:AJ34)</f>
        <v>0</v>
      </c>
      <c r="AB12" s="292">
        <f>SUM('PER BULAN'!AK34:AM34)</f>
        <v>0</v>
      </c>
      <c r="AC12" s="292">
        <f>SUM('PER BULAN'!AN34:AP34)</f>
        <v>0</v>
      </c>
      <c r="AD12" s="292">
        <f>SUM('PER BULAN'!AQ34:AS34)</f>
        <v>0</v>
      </c>
      <c r="AE12" s="277" t="s">
        <v>530</v>
      </c>
      <c r="AF12" s="277" t="s">
        <v>535</v>
      </c>
      <c r="AG12" s="277" t="s">
        <v>536</v>
      </c>
      <c r="AH12" s="277" t="s">
        <v>4699</v>
      </c>
      <c r="AI12" s="277" t="s">
        <v>4700</v>
      </c>
      <c r="AJ12" s="494">
        <f t="shared" si="0"/>
        <v>6195000</v>
      </c>
      <c r="AK12" s="291">
        <f t="shared" si="1"/>
        <v>9.5454545454545467</v>
      </c>
      <c r="AL12" s="494">
        <f t="shared" si="2"/>
        <v>58705000</v>
      </c>
      <c r="AM12" s="291">
        <f t="shared" si="3"/>
        <v>90.454545454545453</v>
      </c>
      <c r="AN12" s="277" t="str">
        <f t="shared" si="4"/>
        <v>DL.2376.AFA.001.053.A.521211</v>
      </c>
      <c r="AO12" s="277" t="str">
        <f>IF(ISNUMBER(SEARCH("COVID",SP2D[[#This Row],[Akun]])),"COVID","Non COVID")</f>
        <v>Non COVID</v>
      </c>
      <c r="AP1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 s="292">
        <f>SUM('PER BULAN'!BA34)</f>
        <v>0</v>
      </c>
      <c r="AS12" s="292">
        <f>SUM('PER BULAN'!BB34)</f>
        <v>2871000</v>
      </c>
      <c r="AT12" s="292">
        <f>SUM('PER BULAN'!BC34)</f>
        <v>1461500</v>
      </c>
      <c r="AU12" s="292">
        <f>SUM('PER BULAN'!BD34)</f>
        <v>0</v>
      </c>
      <c r="AV12" s="292">
        <f>SUM('PER BULAN'!BE34)</f>
        <v>0</v>
      </c>
      <c r="AW12" s="292">
        <f>SUM('PER BULAN'!BF34)</f>
        <v>440000</v>
      </c>
      <c r="AX12" s="292">
        <f>SUM('PER BULAN'!BG34)</f>
        <v>1422500</v>
      </c>
      <c r="AY12" s="292">
        <f>SUM('PER BULAN'!BH34)</f>
        <v>0</v>
      </c>
    </row>
    <row r="13" spans="1:51" s="278" customFormat="1" x14ac:dyDescent="0.3">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221" cm="1">
        <f t="array" ref="Q13">SUM(_xlfn._xlws.FILTER(DIPA2[PaguRevisi],DIPA2[Akun]=SP2D[[#This Row],[Kode Akun]],0))</f>
        <v>6000000</v>
      </c>
      <c r="R13" s="416">
        <v>6000000</v>
      </c>
      <c r="S13" s="292">
        <f>SUM('PER BULAN'!J35:L35)</f>
        <v>0</v>
      </c>
      <c r="T13" s="292">
        <f>SUM('PER BULAN'!M35:O35)</f>
        <v>0</v>
      </c>
      <c r="U13" s="292">
        <f>SUM('PER BULAN'!P35:R35)</f>
        <v>631750</v>
      </c>
      <c r="V13" s="292">
        <f>SUM('PER BULAN'!S35:U35)</f>
        <v>0</v>
      </c>
      <c r="W13" s="292">
        <f>SUM('PER BULAN'!V35:X35)</f>
        <v>331250</v>
      </c>
      <c r="X13" s="292">
        <f>SUM('PER BULAN'!Y35:AA35)</f>
        <v>0</v>
      </c>
      <c r="Y13" s="292">
        <f>SUM('PER BULAN'!AB35:AD35)</f>
        <v>0</v>
      </c>
      <c r="Z13" s="292">
        <f>SUM('PER BULAN'!AE35:AG35)</f>
        <v>0</v>
      </c>
      <c r="AA13" s="292">
        <f>SUM('PER BULAN'!AH35:AJ35)</f>
        <v>0</v>
      </c>
      <c r="AB13" s="292">
        <f>SUM('PER BULAN'!AK35:AM35)</f>
        <v>0</v>
      </c>
      <c r="AC13" s="292">
        <f>SUM('PER BULAN'!AN35:AP35)</f>
        <v>0</v>
      </c>
      <c r="AD13" s="292">
        <f>SUM('PER BULAN'!AQ35:AS35)</f>
        <v>0</v>
      </c>
      <c r="AE13" s="277" t="s">
        <v>530</v>
      </c>
      <c r="AF13" s="277" t="s">
        <v>535</v>
      </c>
      <c r="AG13" s="277" t="s">
        <v>536</v>
      </c>
      <c r="AH13" s="277" t="s">
        <v>4699</v>
      </c>
      <c r="AI13" s="277" t="s">
        <v>4700</v>
      </c>
      <c r="AJ13" s="494">
        <f t="shared" si="0"/>
        <v>963000</v>
      </c>
      <c r="AK13" s="291">
        <f t="shared" si="1"/>
        <v>16.05</v>
      </c>
      <c r="AL13" s="494">
        <f t="shared" si="2"/>
        <v>5037000</v>
      </c>
      <c r="AM13" s="291">
        <f t="shared" si="3"/>
        <v>83.95</v>
      </c>
      <c r="AN13" s="277" t="str">
        <f t="shared" si="4"/>
        <v>DL.2376.AFA.001.053.A.521219</v>
      </c>
      <c r="AO13" s="277" t="str">
        <f>IF(ISNUMBER(SEARCH("COVID",SP2D[[#This Row],[Akun]])),"COVID","Non COVID")</f>
        <v>Non COVID</v>
      </c>
      <c r="AP1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 s="292">
        <f>SUM('PER BULAN'!BA35)</f>
        <v>0</v>
      </c>
      <c r="AS13" s="292">
        <f>SUM('PER BULAN'!BB35)</f>
        <v>300450</v>
      </c>
      <c r="AT13" s="292">
        <f>SUM('PER BULAN'!BC35)</f>
        <v>331300</v>
      </c>
      <c r="AU13" s="292">
        <f>SUM('PER BULAN'!BD35)</f>
        <v>0</v>
      </c>
      <c r="AV13" s="292">
        <f>SUM('PER BULAN'!BE35)</f>
        <v>0</v>
      </c>
      <c r="AW13" s="292">
        <f>SUM('PER BULAN'!BF35)</f>
        <v>331250</v>
      </c>
      <c r="AX13" s="292">
        <f>SUM('PER BULAN'!BG35)</f>
        <v>0</v>
      </c>
      <c r="AY13" s="292">
        <f>SUM('PER BULAN'!BH35)</f>
        <v>0</v>
      </c>
    </row>
    <row r="14" spans="1:51" s="278" customFormat="1" x14ac:dyDescent="0.3">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221" cm="1">
        <f t="array" ref="Q14">SUM(_xlfn._xlws.FILTER(DIPA2[PaguRevisi],DIPA2[Akun]=SP2D[[#This Row],[Kode Akun]],0))</f>
        <v>30000000</v>
      </c>
      <c r="R14" s="416">
        <v>30000000</v>
      </c>
      <c r="S14" s="292">
        <f>SUM('PER BULAN'!J36:L36)</f>
        <v>0</v>
      </c>
      <c r="T14" s="292">
        <f>SUM('PER BULAN'!M36:O36)</f>
        <v>0</v>
      </c>
      <c r="U14" s="292">
        <f>SUM('PER BULAN'!P36:R36)</f>
        <v>7146000</v>
      </c>
      <c r="V14" s="292">
        <f>SUM('PER BULAN'!S36:U36)</f>
        <v>0</v>
      </c>
      <c r="W14" s="292">
        <f>SUM('PER BULAN'!V36:X36)</f>
        <v>2391000</v>
      </c>
      <c r="X14" s="292">
        <f>SUM('PER BULAN'!Y36:AA36)</f>
        <v>0</v>
      </c>
      <c r="Y14" s="292">
        <f>SUM('PER BULAN'!AB36:AD36)</f>
        <v>0</v>
      </c>
      <c r="Z14" s="292">
        <f>SUM('PER BULAN'!AE36:AG36)</f>
        <v>0</v>
      </c>
      <c r="AA14" s="292">
        <f>SUM('PER BULAN'!AH36:AJ36)</f>
        <v>0</v>
      </c>
      <c r="AB14" s="292">
        <f>SUM('PER BULAN'!AK36:AM36)</f>
        <v>0</v>
      </c>
      <c r="AC14" s="292">
        <f>SUM('PER BULAN'!AN36:AP36)</f>
        <v>0</v>
      </c>
      <c r="AD14" s="292">
        <f>SUM('PER BULAN'!AQ36:AS36)</f>
        <v>0</v>
      </c>
      <c r="AE14" s="277" t="s">
        <v>530</v>
      </c>
      <c r="AF14" s="277" t="s">
        <v>535</v>
      </c>
      <c r="AG14" s="277" t="s">
        <v>536</v>
      </c>
      <c r="AH14" s="277" t="s">
        <v>4699</v>
      </c>
      <c r="AI14" s="277" t="s">
        <v>4700</v>
      </c>
      <c r="AJ14" s="494">
        <f t="shared" si="0"/>
        <v>9537000</v>
      </c>
      <c r="AK14" s="291">
        <f t="shared" si="1"/>
        <v>31.790000000000003</v>
      </c>
      <c r="AL14" s="494">
        <f t="shared" si="2"/>
        <v>20463000</v>
      </c>
      <c r="AM14" s="291">
        <f t="shared" si="3"/>
        <v>68.210000000000008</v>
      </c>
      <c r="AN14" s="277" t="str">
        <f t="shared" si="4"/>
        <v>DL.2376.AFA.001.053.A.521811</v>
      </c>
      <c r="AO14" s="277" t="str">
        <f>IF(ISNUMBER(SEARCH("COVID",SP2D[[#This Row],[Akun]])),"COVID","Non COVID")</f>
        <v>Non COVID</v>
      </c>
      <c r="AP1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1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4" s="292">
        <f>SUM('PER BULAN'!BA36)</f>
        <v>0</v>
      </c>
      <c r="AS14" s="292">
        <f>SUM('PER BULAN'!BB36)</f>
        <v>4846000</v>
      </c>
      <c r="AT14" s="292">
        <f>SUM('PER BULAN'!BC36)</f>
        <v>2300000</v>
      </c>
      <c r="AU14" s="292">
        <f>SUM('PER BULAN'!BD36)</f>
        <v>0</v>
      </c>
      <c r="AV14" s="292">
        <f>SUM('PER BULAN'!BE36)</f>
        <v>0</v>
      </c>
      <c r="AW14" s="292">
        <f>SUM('PER BULAN'!BF36)</f>
        <v>0</v>
      </c>
      <c r="AX14" s="292">
        <f>SUM('PER BULAN'!BG36)</f>
        <v>2391000</v>
      </c>
      <c r="AY14" s="292">
        <f>SUM('PER BULAN'!BH36)</f>
        <v>0</v>
      </c>
    </row>
    <row r="15" spans="1:51" s="278" customFormat="1" x14ac:dyDescent="0.3">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221" cm="1">
        <f t="array" ref="Q15">SUM(_xlfn._xlws.FILTER(DIPA2[PaguRevisi],DIPA2[Akun]=SP2D[[#This Row],[Kode Akun]],0))</f>
        <v>25200000</v>
      </c>
      <c r="R15" s="416">
        <v>25200000</v>
      </c>
      <c r="S15" s="292">
        <f>SUM('PER BULAN'!J37:L37)</f>
        <v>0</v>
      </c>
      <c r="T15" s="292">
        <f>SUM('PER BULAN'!M37:O37)</f>
        <v>0</v>
      </c>
      <c r="U15" s="292">
        <f>SUM('PER BULAN'!P37:R37)</f>
        <v>1800000</v>
      </c>
      <c r="V15" s="292">
        <f>SUM('PER BULAN'!S37:U37)</f>
        <v>0</v>
      </c>
      <c r="W15" s="292">
        <f>SUM('PER BULAN'!V37:X37)</f>
        <v>0</v>
      </c>
      <c r="X15" s="292">
        <f>SUM('PER BULAN'!Y37:AA37)</f>
        <v>7200000</v>
      </c>
      <c r="Y15" s="292">
        <f>SUM('PER BULAN'!AB37:AD37)</f>
        <v>0</v>
      </c>
      <c r="Z15" s="292">
        <f>SUM('PER BULAN'!AE37:AG37)</f>
        <v>0</v>
      </c>
      <c r="AA15" s="292">
        <f>SUM('PER BULAN'!AH37:AJ37)</f>
        <v>0</v>
      </c>
      <c r="AB15" s="292">
        <f>SUM('PER BULAN'!AK37:AM37)</f>
        <v>0</v>
      </c>
      <c r="AC15" s="292">
        <f>SUM('PER BULAN'!AN37:AP37)</f>
        <v>0</v>
      </c>
      <c r="AD15" s="292">
        <f>SUM('PER BULAN'!AQ37:AS37)</f>
        <v>0</v>
      </c>
      <c r="AE15" s="277" t="s">
        <v>530</v>
      </c>
      <c r="AF15" s="277" t="s">
        <v>535</v>
      </c>
      <c r="AG15" s="277" t="s">
        <v>536</v>
      </c>
      <c r="AH15" s="277" t="s">
        <v>4699</v>
      </c>
      <c r="AI15" s="277" t="s">
        <v>4700</v>
      </c>
      <c r="AJ15" s="494">
        <f t="shared" si="0"/>
        <v>9000000</v>
      </c>
      <c r="AK15" s="291">
        <f t="shared" si="1"/>
        <v>35.714285714285715</v>
      </c>
      <c r="AL15" s="494">
        <f t="shared" si="2"/>
        <v>16200000</v>
      </c>
      <c r="AM15" s="291">
        <f t="shared" si="3"/>
        <v>64.285714285714292</v>
      </c>
      <c r="AN15" s="277" t="str">
        <f t="shared" si="4"/>
        <v>DL.2376.AFA.001.053.A.522151</v>
      </c>
      <c r="AO15" s="277" t="str">
        <f>IF(ISNUMBER(SEARCH("COVID",SP2D[[#This Row],[Akun]])),"COVID","Non COVID")</f>
        <v>Non COVID</v>
      </c>
      <c r="AP1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5" s="292">
        <f>SUM('PER BULAN'!BA37)</f>
        <v>0</v>
      </c>
      <c r="AS15" s="292">
        <f>SUM('PER BULAN'!BB37)</f>
        <v>1800000</v>
      </c>
      <c r="AT15" s="292">
        <f>SUM('PER BULAN'!BC37)</f>
        <v>0</v>
      </c>
      <c r="AU15" s="292">
        <f>SUM('PER BULAN'!BD37)</f>
        <v>0</v>
      </c>
      <c r="AV15" s="292">
        <f>SUM('PER BULAN'!BE37)</f>
        <v>0</v>
      </c>
      <c r="AW15" s="292">
        <f>SUM('PER BULAN'!BF37)</f>
        <v>0</v>
      </c>
      <c r="AX15" s="292">
        <f>SUM('PER BULAN'!BG37)</f>
        <v>0</v>
      </c>
      <c r="AY15" s="292">
        <f>SUM('PER BULAN'!BH37)</f>
        <v>0</v>
      </c>
    </row>
    <row r="16" spans="1:51" s="278" customFormat="1" x14ac:dyDescent="0.3">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221" cm="1">
        <f t="array" ref="Q16">SUM(_xlfn._xlws.FILTER(DIPA2[PaguRevisi],DIPA2[Akun]=SP2D[[#This Row],[Kode Akun]],0))</f>
        <v>6000000</v>
      </c>
      <c r="R16" s="416">
        <v>6000000</v>
      </c>
      <c r="S16" s="292">
        <f>SUM('PER BULAN'!J38:L38)</f>
        <v>0</v>
      </c>
      <c r="T16" s="292">
        <f>SUM('PER BULAN'!M38:O38)</f>
        <v>0</v>
      </c>
      <c r="U16" s="292">
        <f>SUM('PER BULAN'!P38:R38)</f>
        <v>0</v>
      </c>
      <c r="V16" s="292">
        <f>SUM('PER BULAN'!S38:U38)</f>
        <v>0</v>
      </c>
      <c r="W16" s="292">
        <f>SUM('PER BULAN'!V38:X38)</f>
        <v>0</v>
      </c>
      <c r="X16" s="292">
        <f>SUM('PER BULAN'!Y38:AA38)</f>
        <v>0</v>
      </c>
      <c r="Y16" s="292">
        <f>SUM('PER BULAN'!AB38:AD38)</f>
        <v>0</v>
      </c>
      <c r="Z16" s="292">
        <f>SUM('PER BULAN'!AE38:AG38)</f>
        <v>0</v>
      </c>
      <c r="AA16" s="292">
        <f>SUM('PER BULAN'!AH38:AJ38)</f>
        <v>0</v>
      </c>
      <c r="AB16" s="292">
        <f>SUM('PER BULAN'!AK38:AM38)</f>
        <v>0</v>
      </c>
      <c r="AC16" s="292">
        <f>SUM('PER BULAN'!AN38:AP38)</f>
        <v>0</v>
      </c>
      <c r="AD16" s="292">
        <f>SUM('PER BULAN'!AQ38:AS38)</f>
        <v>0</v>
      </c>
      <c r="AE16" s="277" t="s">
        <v>530</v>
      </c>
      <c r="AF16" s="277" t="s">
        <v>535</v>
      </c>
      <c r="AG16" s="277" t="s">
        <v>536</v>
      </c>
      <c r="AH16" s="277" t="s">
        <v>4699</v>
      </c>
      <c r="AI16" s="277" t="s">
        <v>4700</v>
      </c>
      <c r="AJ16" s="494">
        <f t="shared" si="0"/>
        <v>0</v>
      </c>
      <c r="AK16" s="291">
        <f t="shared" si="1"/>
        <v>0</v>
      </c>
      <c r="AL16" s="494">
        <f t="shared" si="2"/>
        <v>6000000</v>
      </c>
      <c r="AM16" s="291">
        <f t="shared" si="3"/>
        <v>100</v>
      </c>
      <c r="AN16" s="277" t="str">
        <f t="shared" si="4"/>
        <v>DL.2376.AFA.001.053.A.522192</v>
      </c>
      <c r="AO16" s="277" t="str">
        <f>IF(ISNUMBER(SEARCH("COVID",SP2D[[#This Row],[Akun]])),"COVID","Non COVID")</f>
        <v>COVID</v>
      </c>
      <c r="AP1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6" s="292">
        <f>SUM('PER BULAN'!BA38)</f>
        <v>0</v>
      </c>
      <c r="AS16" s="292">
        <f>SUM('PER BULAN'!BB38)</f>
        <v>0</v>
      </c>
      <c r="AT16" s="292">
        <f>SUM('PER BULAN'!BC38)</f>
        <v>0</v>
      </c>
      <c r="AU16" s="292">
        <f>SUM('PER BULAN'!BD38)</f>
        <v>0</v>
      </c>
      <c r="AV16" s="292">
        <f>SUM('PER BULAN'!BE38)</f>
        <v>0</v>
      </c>
      <c r="AW16" s="292">
        <f>SUM('PER BULAN'!BF38)</f>
        <v>0</v>
      </c>
      <c r="AX16" s="292">
        <f>SUM('PER BULAN'!BG38)</f>
        <v>0</v>
      </c>
      <c r="AY16" s="292">
        <f>SUM('PER BULAN'!BH38)</f>
        <v>0</v>
      </c>
    </row>
    <row r="17" spans="1:51" s="278" customFormat="1" x14ac:dyDescent="0.3">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221" cm="1">
        <f t="array" ref="Q17">SUM(_xlfn._xlws.FILTER(DIPA2[PaguRevisi],DIPA2[Akun]=SP2D[[#This Row],[Kode Akun]],0))</f>
        <v>253324000</v>
      </c>
      <c r="R17" s="416">
        <v>253324000</v>
      </c>
      <c r="S17" s="292">
        <f>SUM('PER BULAN'!J39:L39)</f>
        <v>0</v>
      </c>
      <c r="T17" s="292">
        <f>SUM('PER BULAN'!M39:O39)</f>
        <v>0</v>
      </c>
      <c r="U17" s="292">
        <f>SUM('PER BULAN'!P39:R39)</f>
        <v>10610000</v>
      </c>
      <c r="V17" s="292">
        <f>SUM('PER BULAN'!S39:U39)</f>
        <v>6180000</v>
      </c>
      <c r="W17" s="292">
        <f>SUM('PER BULAN'!V39:X39)</f>
        <v>930000</v>
      </c>
      <c r="X17" s="292">
        <f>SUM('PER BULAN'!Y39:AA39)</f>
        <v>15508650</v>
      </c>
      <c r="Y17" s="292">
        <f>SUM('PER BULAN'!AB39:AD39)</f>
        <v>0</v>
      </c>
      <c r="Z17" s="292">
        <f>SUM('PER BULAN'!AE39:AG39)</f>
        <v>0</v>
      </c>
      <c r="AA17" s="292">
        <f>SUM('PER BULAN'!AH39:AJ39)</f>
        <v>0</v>
      </c>
      <c r="AB17" s="292">
        <f>SUM('PER BULAN'!AK39:AM39)</f>
        <v>0</v>
      </c>
      <c r="AC17" s="292">
        <f>SUM('PER BULAN'!AN39:AP39)</f>
        <v>0</v>
      </c>
      <c r="AD17" s="292">
        <f>SUM('PER BULAN'!AQ39:AS39)</f>
        <v>0</v>
      </c>
      <c r="AE17" s="277" t="s">
        <v>530</v>
      </c>
      <c r="AF17" s="277" t="s">
        <v>535</v>
      </c>
      <c r="AG17" s="277" t="s">
        <v>536</v>
      </c>
      <c r="AH17" s="277" t="s">
        <v>4699</v>
      </c>
      <c r="AI17" s="277" t="s">
        <v>4700</v>
      </c>
      <c r="AJ17" s="494">
        <f t="shared" si="0"/>
        <v>33228650</v>
      </c>
      <c r="AK17" s="291">
        <f t="shared" si="1"/>
        <v>13.117055628365257</v>
      </c>
      <c r="AL17" s="494">
        <f t="shared" si="2"/>
        <v>220095350</v>
      </c>
      <c r="AM17" s="291">
        <f t="shared" si="3"/>
        <v>86.882944371634736</v>
      </c>
      <c r="AN17" s="277" t="str">
        <f t="shared" si="4"/>
        <v>DL.2376.AFA.001.053.A.524111</v>
      </c>
      <c r="AO17" s="277" t="str">
        <f>IF(ISNUMBER(SEARCH("COVID",SP2D[[#This Row],[Akun]])),"COVID","Non COVID")</f>
        <v>Non COVID</v>
      </c>
      <c r="AP1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7" s="292">
        <f>SUM('PER BULAN'!BA39)</f>
        <v>0</v>
      </c>
      <c r="AS17" s="292">
        <f>SUM('PER BULAN'!BB39)</f>
        <v>7130000</v>
      </c>
      <c r="AT17" s="292">
        <f>SUM('PER BULAN'!BC39)</f>
        <v>3480000</v>
      </c>
      <c r="AU17" s="292">
        <f>SUM('PER BULAN'!BD39)</f>
        <v>0</v>
      </c>
      <c r="AV17" s="292">
        <f>SUM('PER BULAN'!BE39)</f>
        <v>0</v>
      </c>
      <c r="AW17" s="292">
        <f>SUM('PER BULAN'!BF39)</f>
        <v>0</v>
      </c>
      <c r="AX17" s="292">
        <f>SUM('PER BULAN'!BG39)</f>
        <v>0</v>
      </c>
      <c r="AY17" s="292">
        <f>SUM('PER BULAN'!BH39)</f>
        <v>0</v>
      </c>
    </row>
    <row r="18" spans="1:51" s="278" customFormat="1" x14ac:dyDescent="0.3">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221" cm="1">
        <f t="array" ref="Q18">SUM(_xlfn._xlws.FILTER(DIPA2[PaguRevisi],DIPA2[Akun]=SP2D[[#This Row],[Kode Akun]],0))</f>
        <v>1500000</v>
      </c>
      <c r="R18" s="416">
        <v>1500000</v>
      </c>
      <c r="S18" s="292">
        <f>SUM('PER BULAN'!J40:L40)</f>
        <v>0</v>
      </c>
      <c r="T18" s="292">
        <f>SUM('PER BULAN'!M40:O40)</f>
        <v>0</v>
      </c>
      <c r="U18" s="292">
        <f>SUM('PER BULAN'!P40:R40)</f>
        <v>0</v>
      </c>
      <c r="V18" s="292">
        <f>SUM('PER BULAN'!S40:U40)</f>
        <v>0</v>
      </c>
      <c r="W18" s="292">
        <f>SUM('PER BULAN'!V40:X40)</f>
        <v>0</v>
      </c>
      <c r="X18" s="292">
        <f>SUM('PER BULAN'!Y40:AA40)</f>
        <v>0</v>
      </c>
      <c r="Y18" s="292">
        <f>SUM('PER BULAN'!AB40:AD40)</f>
        <v>0</v>
      </c>
      <c r="Z18" s="292">
        <f>SUM('PER BULAN'!AE40:AG40)</f>
        <v>0</v>
      </c>
      <c r="AA18" s="292">
        <f>SUM('PER BULAN'!AH40:AJ40)</f>
        <v>0</v>
      </c>
      <c r="AB18" s="292">
        <f>SUM('PER BULAN'!AK40:AM40)</f>
        <v>0</v>
      </c>
      <c r="AC18" s="292">
        <f>SUM('PER BULAN'!AN40:AP40)</f>
        <v>0</v>
      </c>
      <c r="AD18" s="292">
        <f>SUM('PER BULAN'!AQ40:AS40)</f>
        <v>0</v>
      </c>
      <c r="AE18" s="277" t="s">
        <v>530</v>
      </c>
      <c r="AF18" s="277" t="s">
        <v>535</v>
      </c>
      <c r="AG18" s="277" t="s">
        <v>536</v>
      </c>
      <c r="AH18" s="277" t="s">
        <v>4699</v>
      </c>
      <c r="AI18" s="277" t="s">
        <v>4700</v>
      </c>
      <c r="AJ18" s="494">
        <f t="shared" si="0"/>
        <v>0</v>
      </c>
      <c r="AK18" s="291">
        <f t="shared" si="1"/>
        <v>0</v>
      </c>
      <c r="AL18" s="494">
        <f t="shared" si="2"/>
        <v>1500000</v>
      </c>
      <c r="AM18" s="291">
        <f t="shared" si="3"/>
        <v>100</v>
      </c>
      <c r="AN18" s="277" t="str">
        <f t="shared" si="4"/>
        <v>DL.2376.AFA.001.053.A.524113</v>
      </c>
      <c r="AO18" s="277" t="str">
        <f>IF(ISNUMBER(SEARCH("COVID",SP2D[[#This Row],[Akun]])),"COVID","Non COVID")</f>
        <v>Non COVID</v>
      </c>
      <c r="AP1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Q1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8" s="292">
        <f>SUM('PER BULAN'!BA40)</f>
        <v>0</v>
      </c>
      <c r="AS18" s="292">
        <f>SUM('PER BULAN'!BB40)</f>
        <v>0</v>
      </c>
      <c r="AT18" s="292">
        <f>SUM('PER BULAN'!BC40)</f>
        <v>0</v>
      </c>
      <c r="AU18" s="292">
        <f>SUM('PER BULAN'!BD40)</f>
        <v>0</v>
      </c>
      <c r="AV18" s="292">
        <f>SUM('PER BULAN'!BE40)</f>
        <v>0</v>
      </c>
      <c r="AW18" s="292">
        <f>SUM('PER BULAN'!BF40)</f>
        <v>0</v>
      </c>
      <c r="AX18" s="292">
        <f>SUM('PER BULAN'!BG40)</f>
        <v>0</v>
      </c>
      <c r="AY18" s="292">
        <f>SUM('PER BULAN'!BH40)</f>
        <v>0</v>
      </c>
    </row>
    <row r="19" spans="1:51" s="278" customFormat="1" x14ac:dyDescent="0.3">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221" cm="1">
        <f t="array" ref="Q19">SUM(_xlfn._xlws.FILTER(DIPA2[PaguRevisi],DIPA2[Akun]=SP2D[[#This Row],[Kode Akun]],0))</f>
        <v>71456000</v>
      </c>
      <c r="R19" s="416">
        <v>71456000</v>
      </c>
      <c r="S19" s="292">
        <f>SUM('PER BULAN'!J42:L42)</f>
        <v>0</v>
      </c>
      <c r="T19" s="292">
        <f>SUM('PER BULAN'!M42:O42)</f>
        <v>0</v>
      </c>
      <c r="U19" s="292">
        <f>SUM('PER BULAN'!P42:R42)</f>
        <v>0</v>
      </c>
      <c r="V19" s="292">
        <f>SUM('PER BULAN'!S42:U42)</f>
        <v>0</v>
      </c>
      <c r="W19" s="292">
        <f>SUM('PER BULAN'!V42:X42)</f>
        <v>10438550</v>
      </c>
      <c r="X19" s="292">
        <f>SUM('PER BULAN'!Y42:AA42)</f>
        <v>0</v>
      </c>
      <c r="Y19" s="292">
        <f>SUM('PER BULAN'!AB42:AD42)</f>
        <v>0</v>
      </c>
      <c r="Z19" s="292">
        <f>SUM('PER BULAN'!AE42:AG42)</f>
        <v>0</v>
      </c>
      <c r="AA19" s="292">
        <f>SUM('PER BULAN'!AH42:AJ42)</f>
        <v>0</v>
      </c>
      <c r="AB19" s="292">
        <f>SUM('PER BULAN'!AK42:AM42)</f>
        <v>0</v>
      </c>
      <c r="AC19" s="292">
        <f>SUM('PER BULAN'!AN42:AP42)</f>
        <v>0</v>
      </c>
      <c r="AD19" s="292">
        <f>SUM('PER BULAN'!AQ42:AS42)</f>
        <v>0</v>
      </c>
      <c r="AE19" s="277" t="s">
        <v>530</v>
      </c>
      <c r="AF19" s="277" t="s">
        <v>535</v>
      </c>
      <c r="AG19" s="277" t="s">
        <v>536</v>
      </c>
      <c r="AH19" s="277" t="s">
        <v>4699</v>
      </c>
      <c r="AI19" s="277" t="s">
        <v>4700</v>
      </c>
      <c r="AJ19" s="494">
        <f t="shared" si="0"/>
        <v>10438550</v>
      </c>
      <c r="AK19" s="291">
        <f t="shared" si="1"/>
        <v>14.60836038961039</v>
      </c>
      <c r="AL19" s="494">
        <f t="shared" si="2"/>
        <v>61017450</v>
      </c>
      <c r="AM19" s="291">
        <f t="shared" si="3"/>
        <v>85.391639610389618</v>
      </c>
      <c r="AN19" s="277" t="str">
        <f t="shared" si="4"/>
        <v>DL.2376.AFA.001.053.B.521211</v>
      </c>
      <c r="AO19" s="277" t="str">
        <f>IF(ISNUMBER(SEARCH("COVID",SP2D[[#This Row],[Akun]])),"COVID","Non COVID")</f>
        <v>Non COVID</v>
      </c>
      <c r="AP1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9" s="292">
        <f>SUM('PER BULAN'!BA42)</f>
        <v>0</v>
      </c>
      <c r="AS19" s="292">
        <f>SUM('PER BULAN'!BB42)</f>
        <v>0</v>
      </c>
      <c r="AT19" s="292">
        <f>SUM('PER BULAN'!BC42)</f>
        <v>0</v>
      </c>
      <c r="AU19" s="292">
        <f>SUM('PER BULAN'!BD42)</f>
        <v>0</v>
      </c>
      <c r="AV19" s="292">
        <f>SUM('PER BULAN'!BE42)</f>
        <v>0</v>
      </c>
      <c r="AW19" s="292">
        <f>SUM('PER BULAN'!BF42)</f>
        <v>0</v>
      </c>
      <c r="AX19" s="292">
        <f>SUM('PER BULAN'!BG42)</f>
        <v>10438550</v>
      </c>
      <c r="AY19" s="292">
        <f>SUM('PER BULAN'!BH42)</f>
        <v>0</v>
      </c>
    </row>
    <row r="20" spans="1:51" s="278" customFormat="1" x14ac:dyDescent="0.3">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221" cm="1">
        <f t="array" ref="Q20">SUM(_xlfn._xlws.FILTER(DIPA2[PaguRevisi],DIPA2[Akun]=SP2D[[#This Row],[Kode Akun]],0))</f>
        <v>5000000</v>
      </c>
      <c r="R20" s="416">
        <v>5000000</v>
      </c>
      <c r="S20" s="292">
        <f>SUM('PER BULAN'!J43:L43)</f>
        <v>0</v>
      </c>
      <c r="T20" s="292">
        <f>SUM('PER BULAN'!M43:O43)</f>
        <v>0</v>
      </c>
      <c r="U20" s="292">
        <f>SUM('PER BULAN'!P43:R43)</f>
        <v>0</v>
      </c>
      <c r="V20" s="292">
        <f>SUM('PER BULAN'!S43:U43)</f>
        <v>0</v>
      </c>
      <c r="W20" s="292">
        <f>SUM('PER BULAN'!V43:X43)</f>
        <v>4262850</v>
      </c>
      <c r="X20" s="292">
        <f>SUM('PER BULAN'!Y43:AA43)</f>
        <v>0</v>
      </c>
      <c r="Y20" s="292">
        <f>SUM('PER BULAN'!AB43:AD43)</f>
        <v>0</v>
      </c>
      <c r="Z20" s="292">
        <f>SUM('PER BULAN'!AE43:AG43)</f>
        <v>0</v>
      </c>
      <c r="AA20" s="292">
        <f>SUM('PER BULAN'!AH43:AJ43)</f>
        <v>0</v>
      </c>
      <c r="AB20" s="292">
        <f>SUM('PER BULAN'!AK43:AM43)</f>
        <v>0</v>
      </c>
      <c r="AC20" s="292">
        <f>SUM('PER BULAN'!AN43:AP43)</f>
        <v>0</v>
      </c>
      <c r="AD20" s="292">
        <f>SUM('PER BULAN'!AQ43:AS43)</f>
        <v>0</v>
      </c>
      <c r="AE20" s="277" t="s">
        <v>530</v>
      </c>
      <c r="AF20" s="277" t="s">
        <v>535</v>
      </c>
      <c r="AG20" s="277" t="s">
        <v>536</v>
      </c>
      <c r="AH20" s="277" t="s">
        <v>4699</v>
      </c>
      <c r="AI20" s="277" t="s">
        <v>4700</v>
      </c>
      <c r="AJ20" s="494">
        <f t="shared" si="0"/>
        <v>4262850</v>
      </c>
      <c r="AK20" s="291">
        <f t="shared" si="1"/>
        <v>85.257000000000005</v>
      </c>
      <c r="AL20" s="494">
        <f t="shared" si="2"/>
        <v>737150</v>
      </c>
      <c r="AM20" s="291">
        <f t="shared" si="3"/>
        <v>14.743</v>
      </c>
      <c r="AN20" s="277" t="str">
        <f t="shared" si="4"/>
        <v>DL.2376.AFA.001.053.B.521219</v>
      </c>
      <c r="AO20" s="277" t="str">
        <f>IF(ISNUMBER(SEARCH("COVID",SP2D[[#This Row],[Akun]])),"COVID","Non COVID")</f>
        <v>Non COVID</v>
      </c>
      <c r="AP2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2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0" s="292">
        <f>SUM('PER BULAN'!BA43)</f>
        <v>0</v>
      </c>
      <c r="AS20" s="292">
        <f>SUM('PER BULAN'!BB43)</f>
        <v>0</v>
      </c>
      <c r="AT20" s="292">
        <f>SUM('PER BULAN'!BC43)</f>
        <v>0</v>
      </c>
      <c r="AU20" s="292">
        <f>SUM('PER BULAN'!BD43)</f>
        <v>0</v>
      </c>
      <c r="AV20" s="292">
        <f>SUM('PER BULAN'!BE43)</f>
        <v>0</v>
      </c>
      <c r="AW20" s="292">
        <f>SUM('PER BULAN'!BF43)</f>
        <v>302850</v>
      </c>
      <c r="AX20" s="292">
        <f>SUM('PER BULAN'!BG43)</f>
        <v>3960000</v>
      </c>
      <c r="AY20" s="292">
        <f>SUM('PER BULAN'!BH43)</f>
        <v>0</v>
      </c>
    </row>
    <row r="21" spans="1:51" s="278" customFormat="1" x14ac:dyDescent="0.3">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221" cm="1">
        <f t="array" ref="Q21">SUM(_xlfn._xlws.FILTER(DIPA2[PaguRevisi],DIPA2[Akun]=SP2D[[#This Row],[Kode Akun]],0))</f>
        <v>15000000</v>
      </c>
      <c r="R21" s="416">
        <v>15000000</v>
      </c>
      <c r="S21" s="292">
        <f>SUM('PER BULAN'!J44:L44)</f>
        <v>0</v>
      </c>
      <c r="T21" s="292">
        <f>SUM('PER BULAN'!M44:O44)</f>
        <v>0</v>
      </c>
      <c r="U21" s="292">
        <f>SUM('PER BULAN'!P44:R44)</f>
        <v>0</v>
      </c>
      <c r="V21" s="292">
        <f>SUM('PER BULAN'!S44:U44)</f>
        <v>0</v>
      </c>
      <c r="W21" s="292">
        <f>SUM('PER BULAN'!V44:X44)</f>
        <v>2453500</v>
      </c>
      <c r="X21" s="292">
        <f>SUM('PER BULAN'!Y44:AA44)</f>
        <v>0</v>
      </c>
      <c r="Y21" s="292">
        <f>SUM('PER BULAN'!AB44:AD44)</f>
        <v>0</v>
      </c>
      <c r="Z21" s="292">
        <f>SUM('PER BULAN'!AE44:AG44)</f>
        <v>0</v>
      </c>
      <c r="AA21" s="292">
        <f>SUM('PER BULAN'!AH44:AJ44)</f>
        <v>0</v>
      </c>
      <c r="AB21" s="292">
        <f>SUM('PER BULAN'!AK44:AM44)</f>
        <v>0</v>
      </c>
      <c r="AC21" s="292">
        <f>SUM('PER BULAN'!AN44:AP44)</f>
        <v>0</v>
      </c>
      <c r="AD21" s="292">
        <f>SUM('PER BULAN'!AQ44:AS44)</f>
        <v>0</v>
      </c>
      <c r="AE21" s="277" t="s">
        <v>530</v>
      </c>
      <c r="AF21" s="277" t="s">
        <v>535</v>
      </c>
      <c r="AG21" s="277" t="s">
        <v>536</v>
      </c>
      <c r="AH21" s="277" t="s">
        <v>4699</v>
      </c>
      <c r="AI21" s="277" t="s">
        <v>4700</v>
      </c>
      <c r="AJ21" s="494">
        <f t="shared" si="0"/>
        <v>2453500</v>
      </c>
      <c r="AK21" s="291">
        <f t="shared" si="1"/>
        <v>16.356666666666666</v>
      </c>
      <c r="AL21" s="494">
        <f t="shared" si="2"/>
        <v>12546500</v>
      </c>
      <c r="AM21" s="291">
        <f t="shared" si="3"/>
        <v>83.643333333333331</v>
      </c>
      <c r="AN21" s="277" t="str">
        <f t="shared" si="4"/>
        <v>DL.2376.AFA.001.053.B.521811</v>
      </c>
      <c r="AO21" s="277" t="str">
        <f>IF(ISNUMBER(SEARCH("COVID",SP2D[[#This Row],[Akun]])),"COVID","Non COVID")</f>
        <v>Non COVID</v>
      </c>
      <c r="AP2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2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1" s="292">
        <f>SUM('PER BULAN'!BA44)</f>
        <v>0</v>
      </c>
      <c r="AS21" s="292">
        <f>SUM('PER BULAN'!BB44)</f>
        <v>0</v>
      </c>
      <c r="AT21" s="292">
        <f>SUM('PER BULAN'!BC44)</f>
        <v>0</v>
      </c>
      <c r="AU21" s="292">
        <f>SUM('PER BULAN'!BD44)</f>
        <v>0</v>
      </c>
      <c r="AV21" s="292">
        <f>SUM('PER BULAN'!BE44)</f>
        <v>0</v>
      </c>
      <c r="AW21" s="292">
        <f>SUM('PER BULAN'!BF44)</f>
        <v>0</v>
      </c>
      <c r="AX21" s="292">
        <f>SUM('PER BULAN'!BG44)</f>
        <v>2453500</v>
      </c>
      <c r="AY21" s="292">
        <f>SUM('PER BULAN'!BH44)</f>
        <v>0</v>
      </c>
    </row>
    <row r="22" spans="1:51" s="278" customFormat="1" x14ac:dyDescent="0.3">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221" cm="1">
        <f t="array" ref="Q22">SUM(_xlfn._xlws.FILTER(DIPA2[PaguRevisi],DIPA2[Akun]=SP2D[[#This Row],[Kode Akun]],0))</f>
        <v>16200000</v>
      </c>
      <c r="R22" s="416">
        <v>16200000</v>
      </c>
      <c r="S22" s="292">
        <f>SUM('PER BULAN'!J45:L45)</f>
        <v>0</v>
      </c>
      <c r="T22" s="292">
        <f>SUM('PER BULAN'!M45:O45)</f>
        <v>0</v>
      </c>
      <c r="U22" s="292">
        <f>SUM('PER BULAN'!P45:R45)</f>
        <v>0</v>
      </c>
      <c r="V22" s="292">
        <f>SUM('PER BULAN'!S45:U45)</f>
        <v>0</v>
      </c>
      <c r="W22" s="292">
        <f>SUM('PER BULAN'!V45:X45)</f>
        <v>6300000</v>
      </c>
      <c r="X22" s="292">
        <f>SUM('PER BULAN'!Y45:AA45)</f>
        <v>0</v>
      </c>
      <c r="Y22" s="292">
        <f>SUM('PER BULAN'!AB45:AD45)</f>
        <v>0</v>
      </c>
      <c r="Z22" s="292">
        <f>SUM('PER BULAN'!AE45:AG45)</f>
        <v>0</v>
      </c>
      <c r="AA22" s="292">
        <f>SUM('PER BULAN'!AH45:AJ45)</f>
        <v>0</v>
      </c>
      <c r="AB22" s="292">
        <f>SUM('PER BULAN'!AK45:AM45)</f>
        <v>0</v>
      </c>
      <c r="AC22" s="292">
        <f>SUM('PER BULAN'!AN45:AP45)</f>
        <v>0</v>
      </c>
      <c r="AD22" s="292">
        <f>SUM('PER BULAN'!AQ45:AS45)</f>
        <v>0</v>
      </c>
      <c r="AE22" s="277" t="s">
        <v>530</v>
      </c>
      <c r="AF22" s="277" t="s">
        <v>535</v>
      </c>
      <c r="AG22" s="277" t="s">
        <v>536</v>
      </c>
      <c r="AH22" s="277" t="s">
        <v>4699</v>
      </c>
      <c r="AI22" s="277" t="s">
        <v>4700</v>
      </c>
      <c r="AJ22" s="494">
        <f t="shared" si="0"/>
        <v>6300000</v>
      </c>
      <c r="AK22" s="291">
        <f t="shared" si="1"/>
        <v>38.888888888888893</v>
      </c>
      <c r="AL22" s="494">
        <f t="shared" si="2"/>
        <v>9900000</v>
      </c>
      <c r="AM22" s="291">
        <f t="shared" si="3"/>
        <v>61.111111111111114</v>
      </c>
      <c r="AN22" s="277" t="str">
        <f t="shared" si="4"/>
        <v>DL.2376.AFA.001.053.B.522151</v>
      </c>
      <c r="AO22" s="277" t="str">
        <f>IF(ISNUMBER(SEARCH("COVID",SP2D[[#This Row],[Akun]])),"COVID","Non COVID")</f>
        <v>Non COVID</v>
      </c>
      <c r="AP2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2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2" s="292">
        <f>SUM('PER BULAN'!BA45)</f>
        <v>0</v>
      </c>
      <c r="AS22" s="292">
        <f>SUM('PER BULAN'!BB45)</f>
        <v>0</v>
      </c>
      <c r="AT22" s="292">
        <f>SUM('PER BULAN'!BC45)</f>
        <v>0</v>
      </c>
      <c r="AU22" s="292">
        <f>SUM('PER BULAN'!BD45)</f>
        <v>0</v>
      </c>
      <c r="AV22" s="292">
        <f>SUM('PER BULAN'!BE45)</f>
        <v>0</v>
      </c>
      <c r="AW22" s="292">
        <f>SUM('PER BULAN'!BF45)</f>
        <v>0</v>
      </c>
      <c r="AX22" s="292">
        <f>SUM('PER BULAN'!BG45)</f>
        <v>6300000</v>
      </c>
      <c r="AY22" s="292">
        <f>SUM('PER BULAN'!BH45)</f>
        <v>0</v>
      </c>
    </row>
    <row r="23" spans="1:51" s="278" customFormat="1" x14ac:dyDescent="0.3">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221" cm="1">
        <f t="array" ref="Q23">SUM(_xlfn._xlws.FILTER(DIPA2[PaguRevisi],DIPA2[Akun]=SP2D[[#This Row],[Kode Akun]],0))</f>
        <v>2000000</v>
      </c>
      <c r="R23" s="416">
        <v>2000000</v>
      </c>
      <c r="S23" s="292">
        <f>SUM('PER BULAN'!J46:L46)</f>
        <v>0</v>
      </c>
      <c r="T23" s="292">
        <f>SUM('PER BULAN'!M46:O46)</f>
        <v>0</v>
      </c>
      <c r="U23" s="292">
        <f>SUM('PER BULAN'!P46:R46)</f>
        <v>365000</v>
      </c>
      <c r="V23" s="292">
        <f>SUM('PER BULAN'!S46:U46)</f>
        <v>0</v>
      </c>
      <c r="W23" s="292">
        <f>SUM('PER BULAN'!V46:X46)</f>
        <v>0</v>
      </c>
      <c r="X23" s="292">
        <f>SUM('PER BULAN'!Y46:AA46)</f>
        <v>0</v>
      </c>
      <c r="Y23" s="292">
        <f>SUM('PER BULAN'!AB46:AD46)</f>
        <v>0</v>
      </c>
      <c r="Z23" s="292">
        <f>SUM('PER BULAN'!AE46:AG46)</f>
        <v>0</v>
      </c>
      <c r="AA23" s="292">
        <f>SUM('PER BULAN'!AH46:AJ46)</f>
        <v>0</v>
      </c>
      <c r="AB23" s="292">
        <f>SUM('PER BULAN'!AK46:AM46)</f>
        <v>0</v>
      </c>
      <c r="AC23" s="292">
        <f>SUM('PER BULAN'!AN46:AP46)</f>
        <v>0</v>
      </c>
      <c r="AD23" s="292">
        <f>SUM('PER BULAN'!AQ46:AS46)</f>
        <v>0</v>
      </c>
      <c r="AE23" s="277" t="s">
        <v>530</v>
      </c>
      <c r="AF23" s="277" t="s">
        <v>535</v>
      </c>
      <c r="AG23" s="277" t="s">
        <v>536</v>
      </c>
      <c r="AH23" s="277" t="s">
        <v>4699</v>
      </c>
      <c r="AI23" s="277" t="s">
        <v>4700</v>
      </c>
      <c r="AJ23" s="494">
        <f t="shared" si="0"/>
        <v>365000</v>
      </c>
      <c r="AK23" s="291">
        <f t="shared" si="1"/>
        <v>18.25</v>
      </c>
      <c r="AL23" s="494">
        <f t="shared" si="2"/>
        <v>1635000</v>
      </c>
      <c r="AM23" s="291">
        <f t="shared" si="3"/>
        <v>81.75</v>
      </c>
      <c r="AN23" s="277" t="str">
        <f t="shared" si="4"/>
        <v>DL.2376.AFA.001.053.B.522192</v>
      </c>
      <c r="AO23" s="277" t="str">
        <f>IF(ISNUMBER(SEARCH("COVID",SP2D[[#This Row],[Akun]])),"COVID","Non COVID")</f>
        <v>COVID</v>
      </c>
      <c r="AP2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2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3" s="292">
        <f>SUM('PER BULAN'!BA46)</f>
        <v>0</v>
      </c>
      <c r="AS23" s="292">
        <f>SUM('PER BULAN'!BB46)</f>
        <v>365000</v>
      </c>
      <c r="AT23" s="292">
        <f>SUM('PER BULAN'!BC46)</f>
        <v>0</v>
      </c>
      <c r="AU23" s="292">
        <f>SUM('PER BULAN'!BD46)</f>
        <v>0</v>
      </c>
      <c r="AV23" s="292">
        <f>SUM('PER BULAN'!BE46)</f>
        <v>0</v>
      </c>
      <c r="AW23" s="292">
        <f>SUM('PER BULAN'!BF46)</f>
        <v>0</v>
      </c>
      <c r="AX23" s="292">
        <f>SUM('PER BULAN'!BG46)</f>
        <v>0</v>
      </c>
      <c r="AY23" s="292">
        <f>SUM('PER BULAN'!BH46)</f>
        <v>0</v>
      </c>
    </row>
    <row r="24" spans="1:51" s="278" customFormat="1" x14ac:dyDescent="0.3">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221" cm="1">
        <f t="array" ref="Q24">SUM(_xlfn._xlws.FILTER(DIPA2[PaguRevisi],DIPA2[Akun]=SP2D[[#This Row],[Kode Akun]],0))</f>
        <v>138160000</v>
      </c>
      <c r="R24" s="416">
        <v>138160000</v>
      </c>
      <c r="S24" s="292">
        <f>SUM('PER BULAN'!J47:L47)</f>
        <v>0</v>
      </c>
      <c r="T24" s="292">
        <f>SUM('PER BULAN'!M47:O47)</f>
        <v>0</v>
      </c>
      <c r="U24" s="292">
        <f>SUM('PER BULAN'!P47:R47)</f>
        <v>18378000</v>
      </c>
      <c r="V24" s="292">
        <f>SUM('PER BULAN'!S47:U47)</f>
        <v>0</v>
      </c>
      <c r="W24" s="292">
        <f>SUM('PER BULAN'!V47:X47)</f>
        <v>36948850</v>
      </c>
      <c r="X24" s="292">
        <f>SUM('PER BULAN'!Y47:AA47)</f>
        <v>76109840</v>
      </c>
      <c r="Y24" s="292">
        <f>SUM('PER BULAN'!AB47:AD47)</f>
        <v>0</v>
      </c>
      <c r="Z24" s="292">
        <f>SUM('PER BULAN'!AE47:AG47)</f>
        <v>0</v>
      </c>
      <c r="AA24" s="292">
        <f>SUM('PER BULAN'!AH47:AJ47)</f>
        <v>0</v>
      </c>
      <c r="AB24" s="292">
        <f>SUM('PER BULAN'!AK47:AM47)</f>
        <v>0</v>
      </c>
      <c r="AC24" s="292">
        <f>SUM('PER BULAN'!AN47:AP47)</f>
        <v>0</v>
      </c>
      <c r="AD24" s="292">
        <f>SUM('PER BULAN'!AQ47:AS47)</f>
        <v>0</v>
      </c>
      <c r="AE24" s="277" t="s">
        <v>530</v>
      </c>
      <c r="AF24" s="277" t="s">
        <v>535</v>
      </c>
      <c r="AG24" s="277" t="s">
        <v>536</v>
      </c>
      <c r="AH24" s="277" t="s">
        <v>4699</v>
      </c>
      <c r="AI24" s="277" t="s">
        <v>4700</v>
      </c>
      <c r="AJ24" s="494">
        <f t="shared" si="0"/>
        <v>131436690</v>
      </c>
      <c r="AK24" s="291">
        <f t="shared" si="1"/>
        <v>95.133678343949043</v>
      </c>
      <c r="AL24" s="494">
        <f t="shared" si="2"/>
        <v>6723310</v>
      </c>
      <c r="AM24" s="291">
        <f t="shared" si="3"/>
        <v>4.866321656050955</v>
      </c>
      <c r="AN24" s="277" t="str">
        <f t="shared" si="4"/>
        <v>DL.2376.AFA.001.053.B.524111</v>
      </c>
      <c r="AO24" s="277" t="str">
        <f>IF(ISNUMBER(SEARCH("COVID",SP2D[[#This Row],[Akun]])),"COVID","Non COVID")</f>
        <v>Non COVID</v>
      </c>
      <c r="AP2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2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4" s="292">
        <f>SUM('PER BULAN'!BA47)</f>
        <v>0</v>
      </c>
      <c r="AS24" s="292">
        <f>SUM('PER BULAN'!BB47)</f>
        <v>18378000</v>
      </c>
      <c r="AT24" s="292">
        <f>SUM('PER BULAN'!BC47)</f>
        <v>0</v>
      </c>
      <c r="AU24" s="292">
        <f>SUM('PER BULAN'!BD47)</f>
        <v>0</v>
      </c>
      <c r="AV24" s="292">
        <f>SUM('PER BULAN'!BE47)</f>
        <v>0</v>
      </c>
      <c r="AW24" s="292">
        <f>SUM('PER BULAN'!BF47)</f>
        <v>0</v>
      </c>
      <c r="AX24" s="292">
        <f>SUM('PER BULAN'!BG47)</f>
        <v>36948850</v>
      </c>
      <c r="AY24" s="292">
        <f>SUM('PER BULAN'!BH47)</f>
        <v>0</v>
      </c>
    </row>
    <row r="25" spans="1:51" s="278" customFormat="1" x14ac:dyDescent="0.3">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4731</v>
      </c>
      <c r="O25" s="277">
        <v>521211</v>
      </c>
      <c r="P25" s="277" t="s">
        <v>4698</v>
      </c>
      <c r="Q25" s="221" cm="1">
        <f t="array" ref="Q25">SUM(_xlfn._xlws.FILTER(DIPA2[PaguRevisi],DIPA2[Akun]=SP2D[[#This Row],[Kode Akun]],0))</f>
        <v>20830000</v>
      </c>
      <c r="R25" s="416">
        <v>20830000</v>
      </c>
      <c r="S25" s="292">
        <f>SUM('PER BULAN'!J49:L49)</f>
        <v>0</v>
      </c>
      <c r="T25" s="292">
        <f>SUM('PER BULAN'!M49:O49)</f>
        <v>0</v>
      </c>
      <c r="U25" s="292">
        <f>SUM('PER BULAN'!P49:R49)</f>
        <v>0</v>
      </c>
      <c r="V25" s="292">
        <f>SUM('PER BULAN'!S49:U49)</f>
        <v>0</v>
      </c>
      <c r="W25" s="292">
        <f>SUM('PER BULAN'!V49:X49)</f>
        <v>0</v>
      </c>
      <c r="X25" s="292">
        <f>SUM('PER BULAN'!Y49:AA49)</f>
        <v>0</v>
      </c>
      <c r="Y25" s="292">
        <f>SUM('PER BULAN'!AB49:AD49)</f>
        <v>0</v>
      </c>
      <c r="Z25" s="292">
        <f>SUM('PER BULAN'!AE49:AG49)</f>
        <v>0</v>
      </c>
      <c r="AA25" s="292">
        <f>SUM('PER BULAN'!AH49:AJ49)</f>
        <v>0</v>
      </c>
      <c r="AB25" s="292">
        <f>SUM('PER BULAN'!AK49:AM49)</f>
        <v>0</v>
      </c>
      <c r="AC25" s="292">
        <f>SUM('PER BULAN'!AN49:AP49)</f>
        <v>0</v>
      </c>
      <c r="AD25" s="292">
        <f>SUM('PER BULAN'!AQ49:AS49)</f>
        <v>0</v>
      </c>
      <c r="AE25" s="277" t="s">
        <v>530</v>
      </c>
      <c r="AF25" s="277" t="s">
        <v>535</v>
      </c>
      <c r="AG25" s="277" t="s">
        <v>536</v>
      </c>
      <c r="AH25" s="277" t="s">
        <v>4699</v>
      </c>
      <c r="AI25" s="277" t="s">
        <v>4700</v>
      </c>
      <c r="AJ25" s="494">
        <f t="shared" si="0"/>
        <v>0</v>
      </c>
      <c r="AK25" s="291">
        <f t="shared" si="1"/>
        <v>0</v>
      </c>
      <c r="AL25" s="494">
        <f t="shared" si="2"/>
        <v>20830000</v>
      </c>
      <c r="AM25" s="291">
        <f t="shared" si="3"/>
        <v>100</v>
      </c>
      <c r="AN25" s="277" t="str">
        <f t="shared" si="4"/>
        <v>DL.2376.AFA.001.053.C.521211</v>
      </c>
      <c r="AO25" s="277" t="str">
        <f>IF(ISNUMBER(SEARCH("COVID",SP2D[[#This Row],[Akun]])),"COVID","Non COVID")</f>
        <v>Non COVID</v>
      </c>
      <c r="AP2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2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5" s="292">
        <f>SUM('PER BULAN'!BA49)</f>
        <v>0</v>
      </c>
      <c r="AS25" s="292">
        <f>SUM('PER BULAN'!BB49)</f>
        <v>0</v>
      </c>
      <c r="AT25" s="292">
        <f>SUM('PER BULAN'!BC49)</f>
        <v>0</v>
      </c>
      <c r="AU25" s="292">
        <f>SUM('PER BULAN'!BD49)</f>
        <v>0</v>
      </c>
      <c r="AV25" s="292">
        <f>SUM('PER BULAN'!BE49)</f>
        <v>0</v>
      </c>
      <c r="AW25" s="292">
        <f>SUM('PER BULAN'!BF49)</f>
        <v>0</v>
      </c>
      <c r="AX25" s="292">
        <f>SUM('PER BULAN'!BG49)</f>
        <v>0</v>
      </c>
      <c r="AY25" s="292">
        <f>SUM('PER BULAN'!BH49)</f>
        <v>0</v>
      </c>
    </row>
    <row r="26" spans="1:51" s="278" customFormat="1" x14ac:dyDescent="0.3">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4731</v>
      </c>
      <c r="O26" s="277">
        <v>521219</v>
      </c>
      <c r="P26" s="277" t="s">
        <v>4711</v>
      </c>
      <c r="Q26" s="221" cm="1">
        <f t="array" ref="Q26">SUM(_xlfn._xlws.FILTER(DIPA2[PaguRevisi],DIPA2[Akun]=SP2D[[#This Row],[Kode Akun]],0))</f>
        <v>500000</v>
      </c>
      <c r="R26" s="416">
        <v>500000</v>
      </c>
      <c r="S26" s="292">
        <f>SUM('PER BULAN'!J50:L50)</f>
        <v>0</v>
      </c>
      <c r="T26" s="292">
        <f>SUM('PER BULAN'!M50:O50)</f>
        <v>0</v>
      </c>
      <c r="U26" s="292">
        <f>SUM('PER BULAN'!P50:R50)</f>
        <v>0</v>
      </c>
      <c r="V26" s="292">
        <f>SUM('PER BULAN'!S50:U50)</f>
        <v>0</v>
      </c>
      <c r="W26" s="292">
        <f>SUM('PER BULAN'!V50:X50)</f>
        <v>0</v>
      </c>
      <c r="X26" s="292">
        <f>SUM('PER BULAN'!Y50:AA50)</f>
        <v>0</v>
      </c>
      <c r="Y26" s="292">
        <f>SUM('PER BULAN'!AB50:AD50)</f>
        <v>0</v>
      </c>
      <c r="Z26" s="292">
        <f>SUM('PER BULAN'!AE50:AG50)</f>
        <v>0</v>
      </c>
      <c r="AA26" s="292">
        <f>SUM('PER BULAN'!AH50:AJ50)</f>
        <v>0</v>
      </c>
      <c r="AB26" s="292">
        <f>SUM('PER BULAN'!AK50:AM50)</f>
        <v>0</v>
      </c>
      <c r="AC26" s="292">
        <f>SUM('PER BULAN'!AN50:AP50)</f>
        <v>0</v>
      </c>
      <c r="AD26" s="292">
        <f>SUM('PER BULAN'!AQ50:AS50)</f>
        <v>0</v>
      </c>
      <c r="AE26" s="277" t="s">
        <v>530</v>
      </c>
      <c r="AF26" s="277" t="s">
        <v>535</v>
      </c>
      <c r="AG26" s="277" t="s">
        <v>536</v>
      </c>
      <c r="AH26" s="277" t="s">
        <v>4699</v>
      </c>
      <c r="AI26" s="277" t="s">
        <v>4700</v>
      </c>
      <c r="AJ26" s="494">
        <f t="shared" si="0"/>
        <v>0</v>
      </c>
      <c r="AK26" s="291">
        <f t="shared" si="1"/>
        <v>0</v>
      </c>
      <c r="AL26" s="494">
        <f t="shared" si="2"/>
        <v>500000</v>
      </c>
      <c r="AM26" s="291">
        <f t="shared" si="3"/>
        <v>100</v>
      </c>
      <c r="AN26" s="277" t="str">
        <f t="shared" si="4"/>
        <v>DL.2376.AFA.001.053.C.521219</v>
      </c>
      <c r="AO26" s="277" t="str">
        <f>IF(ISNUMBER(SEARCH("COVID",SP2D[[#This Row],[Akun]])),"COVID","Non COVID")</f>
        <v>Non COVID</v>
      </c>
      <c r="AP2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2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6" s="292">
        <f>SUM('PER BULAN'!BA50)</f>
        <v>0</v>
      </c>
      <c r="AS26" s="292">
        <f>SUM('PER BULAN'!BB50)</f>
        <v>0</v>
      </c>
      <c r="AT26" s="292">
        <f>SUM('PER BULAN'!BC50)</f>
        <v>0</v>
      </c>
      <c r="AU26" s="292">
        <f>SUM('PER BULAN'!BD50)</f>
        <v>0</v>
      </c>
      <c r="AV26" s="292">
        <f>SUM('PER BULAN'!BE50)</f>
        <v>0</v>
      </c>
      <c r="AW26" s="292">
        <f>SUM('PER BULAN'!BF50)</f>
        <v>0</v>
      </c>
      <c r="AX26" s="292">
        <f>SUM('PER BULAN'!BG50)</f>
        <v>0</v>
      </c>
      <c r="AY26" s="292">
        <f>SUM('PER BULAN'!BH50)</f>
        <v>0</v>
      </c>
    </row>
    <row r="27" spans="1:51" s="278" customFormat="1" x14ac:dyDescent="0.3">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4731</v>
      </c>
      <c r="O27" s="277">
        <v>522151</v>
      </c>
      <c r="P27" s="277" t="s">
        <v>4701</v>
      </c>
      <c r="Q27" s="221" cm="1">
        <f t="array" ref="Q27">SUM(_xlfn._xlws.FILTER(DIPA2[PaguRevisi],DIPA2[Akun]=SP2D[[#This Row],[Kode Akun]],0))</f>
        <v>7200000</v>
      </c>
      <c r="R27" s="416">
        <v>7200000</v>
      </c>
      <c r="S27" s="292">
        <f>SUM('PER BULAN'!J51:L51)</f>
        <v>0</v>
      </c>
      <c r="T27" s="292">
        <f>SUM('PER BULAN'!M51:O51)</f>
        <v>0</v>
      </c>
      <c r="U27" s="292">
        <f>SUM('PER BULAN'!P51:R51)</f>
        <v>0</v>
      </c>
      <c r="V27" s="292">
        <f>SUM('PER BULAN'!S51:U51)</f>
        <v>0</v>
      </c>
      <c r="W27" s="292">
        <f>SUM('PER BULAN'!V51:X51)</f>
        <v>0</v>
      </c>
      <c r="X27" s="292">
        <f>SUM('PER BULAN'!Y51:AA51)</f>
        <v>0</v>
      </c>
      <c r="Y27" s="292">
        <f>SUM('PER BULAN'!AB51:AD51)</f>
        <v>0</v>
      </c>
      <c r="Z27" s="292">
        <f>SUM('PER BULAN'!AE51:AG51)</f>
        <v>0</v>
      </c>
      <c r="AA27" s="292">
        <f>SUM('PER BULAN'!AH51:AJ51)</f>
        <v>0</v>
      </c>
      <c r="AB27" s="292">
        <f>SUM('PER BULAN'!AK51:AM51)</f>
        <v>0</v>
      </c>
      <c r="AC27" s="292">
        <f>SUM('PER BULAN'!AN51:AP51)</f>
        <v>0</v>
      </c>
      <c r="AD27" s="292">
        <f>SUM('PER BULAN'!AQ51:AS51)</f>
        <v>0</v>
      </c>
      <c r="AE27" s="277" t="s">
        <v>530</v>
      </c>
      <c r="AF27" s="277" t="s">
        <v>535</v>
      </c>
      <c r="AG27" s="277" t="s">
        <v>536</v>
      </c>
      <c r="AH27" s="277" t="s">
        <v>4699</v>
      </c>
      <c r="AI27" s="277" t="s">
        <v>4700</v>
      </c>
      <c r="AJ27" s="494">
        <f t="shared" si="0"/>
        <v>0</v>
      </c>
      <c r="AK27" s="291">
        <f t="shared" si="1"/>
        <v>0</v>
      </c>
      <c r="AL27" s="494">
        <f t="shared" si="2"/>
        <v>7200000</v>
      </c>
      <c r="AM27" s="291">
        <f t="shared" si="3"/>
        <v>100</v>
      </c>
      <c r="AN27" s="277" t="str">
        <f t="shared" si="4"/>
        <v>DL.2376.AFA.001.053.C.522151</v>
      </c>
      <c r="AO27" s="277" t="str">
        <f>IF(ISNUMBER(SEARCH("COVID",SP2D[[#This Row],[Akun]])),"COVID","Non COVID")</f>
        <v>Non COVID</v>
      </c>
      <c r="AP2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2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7" s="292">
        <f>SUM('PER BULAN'!BA51)</f>
        <v>0</v>
      </c>
      <c r="AS27" s="292">
        <f>SUM('PER BULAN'!BB51)</f>
        <v>0</v>
      </c>
      <c r="AT27" s="292">
        <f>SUM('PER BULAN'!BC51)</f>
        <v>0</v>
      </c>
      <c r="AU27" s="292">
        <f>SUM('PER BULAN'!BD51)</f>
        <v>0</v>
      </c>
      <c r="AV27" s="292">
        <f>SUM('PER BULAN'!BE51)</f>
        <v>0</v>
      </c>
      <c r="AW27" s="292">
        <f>SUM('PER BULAN'!BF51)</f>
        <v>0</v>
      </c>
      <c r="AX27" s="292">
        <f>SUM('PER BULAN'!BG51)</f>
        <v>0</v>
      </c>
      <c r="AY27" s="292">
        <f>SUM('PER BULAN'!BH51)</f>
        <v>0</v>
      </c>
    </row>
    <row r="28" spans="1:51" s="278" customFormat="1" x14ac:dyDescent="0.3">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4731</v>
      </c>
      <c r="O28" s="277" t="s">
        <v>513</v>
      </c>
      <c r="P28" s="277" t="s">
        <v>4702</v>
      </c>
      <c r="Q28" s="221" cm="1">
        <f t="array" ref="Q28">SUM(_xlfn._xlws.FILTER(DIPA2[PaguRevisi],DIPA2[Akun]=SP2D[[#This Row],[Kode Akun]],0))</f>
        <v>23030000</v>
      </c>
      <c r="R28" s="416">
        <v>23030000</v>
      </c>
      <c r="S28" s="292">
        <f>SUM('PER BULAN'!J52:L52)</f>
        <v>0</v>
      </c>
      <c r="T28" s="292">
        <f>SUM('PER BULAN'!M52:O52)</f>
        <v>0</v>
      </c>
      <c r="U28" s="292">
        <f>SUM('PER BULAN'!P52:R52)</f>
        <v>0</v>
      </c>
      <c r="V28" s="292">
        <f>SUM('PER BULAN'!S52:U52)</f>
        <v>0</v>
      </c>
      <c r="W28" s="292">
        <f>SUM('PER BULAN'!V52:X52)</f>
        <v>0</v>
      </c>
      <c r="X28" s="292">
        <f>SUM('PER BULAN'!Y52:AA52)</f>
        <v>0</v>
      </c>
      <c r="Y28" s="292">
        <f>SUM('PER BULAN'!AB52:AD52)</f>
        <v>0</v>
      </c>
      <c r="Z28" s="292">
        <f>SUM('PER BULAN'!AE52:AG52)</f>
        <v>0</v>
      </c>
      <c r="AA28" s="292">
        <f>SUM('PER BULAN'!AH52:AJ52)</f>
        <v>0</v>
      </c>
      <c r="AB28" s="292">
        <f>SUM('PER BULAN'!AK52:AM52)</f>
        <v>0</v>
      </c>
      <c r="AC28" s="292">
        <f>SUM('PER BULAN'!AN52:AP52)</f>
        <v>0</v>
      </c>
      <c r="AD28" s="292">
        <f>SUM('PER BULAN'!AQ52:AS52)</f>
        <v>0</v>
      </c>
      <c r="AE28" s="277" t="s">
        <v>530</v>
      </c>
      <c r="AF28" s="277" t="s">
        <v>535</v>
      </c>
      <c r="AG28" s="277" t="s">
        <v>536</v>
      </c>
      <c r="AH28" s="277" t="s">
        <v>4699</v>
      </c>
      <c r="AI28" s="277" t="s">
        <v>4700</v>
      </c>
      <c r="AJ28" s="494">
        <f t="shared" si="0"/>
        <v>0</v>
      </c>
      <c r="AK28" s="291">
        <f t="shared" si="1"/>
        <v>0</v>
      </c>
      <c r="AL28" s="494">
        <f t="shared" si="2"/>
        <v>23030000</v>
      </c>
      <c r="AM28" s="291">
        <f t="shared" si="3"/>
        <v>100</v>
      </c>
      <c r="AN28" s="277" t="str">
        <f t="shared" si="4"/>
        <v>DL.2376.AFA.001.053.C.524111</v>
      </c>
      <c r="AO28" s="277" t="str">
        <f>IF(ISNUMBER(SEARCH("COVID",SP2D[[#This Row],[Akun]])),"COVID","Non COVID")</f>
        <v>Non COVID</v>
      </c>
      <c r="AP2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2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8" s="292">
        <f>SUM('PER BULAN'!BA52)</f>
        <v>0</v>
      </c>
      <c r="AS28" s="292">
        <f>SUM('PER BULAN'!BB52)</f>
        <v>0</v>
      </c>
      <c r="AT28" s="292">
        <f>SUM('PER BULAN'!BC52)</f>
        <v>0</v>
      </c>
      <c r="AU28" s="292">
        <f>SUM('PER BULAN'!BD52)</f>
        <v>0</v>
      </c>
      <c r="AV28" s="292">
        <f>SUM('PER BULAN'!BE52)</f>
        <v>0</v>
      </c>
      <c r="AW28" s="292">
        <f>SUM('PER BULAN'!BF52)</f>
        <v>0</v>
      </c>
      <c r="AX28" s="292">
        <f>SUM('PER BULAN'!BG52)</f>
        <v>0</v>
      </c>
      <c r="AY28" s="292">
        <f>SUM('PER BULAN'!BH52)</f>
        <v>0</v>
      </c>
    </row>
    <row r="29" spans="1:51" s="278" customFormat="1" x14ac:dyDescent="0.3">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221" cm="1">
        <f t="array" ref="Q29">SUM(_xlfn._xlws.FILTER(DIPA2[PaguRevisi],DIPA2[Akun]=SP2D[[#This Row],[Kode Akun]],0))</f>
        <v>13900000</v>
      </c>
      <c r="R29" s="416">
        <v>13900000</v>
      </c>
      <c r="S29" s="292">
        <f>SUM('PER BULAN'!J55:L55)</f>
        <v>0</v>
      </c>
      <c r="T29" s="292">
        <f>SUM('PER BULAN'!M55:O55)</f>
        <v>0</v>
      </c>
      <c r="U29" s="292">
        <f>SUM('PER BULAN'!P55:R55)</f>
        <v>7990750</v>
      </c>
      <c r="V29" s="292">
        <f>SUM('PER BULAN'!S55:U55)</f>
        <v>0</v>
      </c>
      <c r="W29" s="292">
        <f>SUM('PER BULAN'!V55:X55)</f>
        <v>1500000</v>
      </c>
      <c r="X29" s="292">
        <f>SUM('PER BULAN'!Y55:AA55)</f>
        <v>0</v>
      </c>
      <c r="Y29" s="292">
        <f>SUM('PER BULAN'!AB55:AD55)</f>
        <v>0</v>
      </c>
      <c r="Z29" s="292">
        <f>SUM('PER BULAN'!AE55:AG55)</f>
        <v>0</v>
      </c>
      <c r="AA29" s="292">
        <f>SUM('PER BULAN'!AH55:AJ55)</f>
        <v>0</v>
      </c>
      <c r="AB29" s="292">
        <f>SUM('PER BULAN'!AK55:AM55)</f>
        <v>0</v>
      </c>
      <c r="AC29" s="292">
        <f>SUM('PER BULAN'!AN55:AP55)</f>
        <v>0</v>
      </c>
      <c r="AD29" s="292">
        <f>SUM('PER BULAN'!AQ55:AS55)</f>
        <v>0</v>
      </c>
      <c r="AE29" s="277" t="s">
        <v>530</v>
      </c>
      <c r="AF29" s="277" t="s">
        <v>535</v>
      </c>
      <c r="AG29" s="277" t="s">
        <v>538</v>
      </c>
      <c r="AH29" s="277" t="s">
        <v>4699</v>
      </c>
      <c r="AI29" s="277" t="s">
        <v>4700</v>
      </c>
      <c r="AJ29" s="494">
        <f t="shared" si="0"/>
        <v>9490750</v>
      </c>
      <c r="AK29" s="291">
        <f t="shared" si="1"/>
        <v>68.27877697841727</v>
      </c>
      <c r="AL29" s="494">
        <f t="shared" si="2"/>
        <v>4409250</v>
      </c>
      <c r="AM29" s="291">
        <f t="shared" si="3"/>
        <v>31.721223021582734</v>
      </c>
      <c r="AN29" s="277" t="str">
        <f t="shared" si="4"/>
        <v>DL.2376.AFA.001.054.A.521211</v>
      </c>
      <c r="AO29" s="277" t="str">
        <f>IF(ISNUMBER(SEARCH("COVID",SP2D[[#This Row],[Akun]])),"COVID","Non COVID")</f>
        <v>Non COVID</v>
      </c>
      <c r="AP2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2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29" s="292">
        <f>SUM('PER BULAN'!BA55)</f>
        <v>0</v>
      </c>
      <c r="AS29" s="292">
        <f>SUM('PER BULAN'!BB55)</f>
        <v>5497250</v>
      </c>
      <c r="AT29" s="292">
        <f>SUM('PER BULAN'!BC55)</f>
        <v>2493500</v>
      </c>
      <c r="AU29" s="292">
        <f>SUM('PER BULAN'!BD55)</f>
        <v>0</v>
      </c>
      <c r="AV29" s="292">
        <f>SUM('PER BULAN'!BE55)</f>
        <v>1500000</v>
      </c>
      <c r="AW29" s="292">
        <f>SUM('PER BULAN'!BF55)</f>
        <v>0</v>
      </c>
      <c r="AX29" s="292">
        <f>SUM('PER BULAN'!BG55)</f>
        <v>0</v>
      </c>
      <c r="AY29" s="292">
        <f>SUM('PER BULAN'!BH55)</f>
        <v>0</v>
      </c>
    </row>
    <row r="30" spans="1:51" s="278" customFormat="1" x14ac:dyDescent="0.3">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221" cm="1">
        <f t="array" ref="Q30">SUM(_xlfn._xlws.FILTER(DIPA2[PaguRevisi],DIPA2[Akun]=SP2D[[#This Row],[Kode Akun]],0))</f>
        <v>8784000</v>
      </c>
      <c r="R30" s="416">
        <v>8784000</v>
      </c>
      <c r="S30" s="292">
        <f>SUM('PER BULAN'!J56:L56)</f>
        <v>0</v>
      </c>
      <c r="T30" s="292">
        <f>SUM('PER BULAN'!M56:O56)</f>
        <v>0</v>
      </c>
      <c r="U30" s="292">
        <f>SUM('PER BULAN'!P56:R56)</f>
        <v>0</v>
      </c>
      <c r="V30" s="292">
        <f>SUM('PER BULAN'!S56:U56)</f>
        <v>0</v>
      </c>
      <c r="W30" s="292">
        <f>SUM('PER BULAN'!V56:X56)</f>
        <v>0</v>
      </c>
      <c r="X30" s="292">
        <f>SUM('PER BULAN'!Y56:AA56)</f>
        <v>0</v>
      </c>
      <c r="Y30" s="292">
        <f>SUM('PER BULAN'!AB56:AD56)</f>
        <v>0</v>
      </c>
      <c r="Z30" s="292">
        <f>SUM('PER BULAN'!AE56:AG56)</f>
        <v>0</v>
      </c>
      <c r="AA30" s="292">
        <f>SUM('PER BULAN'!AH56:AJ56)</f>
        <v>0</v>
      </c>
      <c r="AB30" s="292">
        <f>SUM('PER BULAN'!AK56:AM56)</f>
        <v>0</v>
      </c>
      <c r="AC30" s="292">
        <f>SUM('PER BULAN'!AN56:AP56)</f>
        <v>0</v>
      </c>
      <c r="AD30" s="292">
        <f>SUM('PER BULAN'!AQ56:AS56)</f>
        <v>0</v>
      </c>
      <c r="AE30" s="277" t="s">
        <v>530</v>
      </c>
      <c r="AF30" s="277" t="s">
        <v>535</v>
      </c>
      <c r="AG30" s="277" t="s">
        <v>538</v>
      </c>
      <c r="AH30" s="277" t="s">
        <v>4699</v>
      </c>
      <c r="AI30" s="277" t="s">
        <v>4700</v>
      </c>
      <c r="AJ30" s="494">
        <f t="shared" si="0"/>
        <v>0</v>
      </c>
      <c r="AK30" s="291">
        <f t="shared" si="1"/>
        <v>0</v>
      </c>
      <c r="AL30" s="494">
        <f t="shared" si="2"/>
        <v>8784000</v>
      </c>
      <c r="AM30" s="291">
        <f t="shared" si="3"/>
        <v>100</v>
      </c>
      <c r="AN30" s="277" t="str">
        <f t="shared" si="4"/>
        <v>DL.2376.AFA.001.054.A.521219</v>
      </c>
      <c r="AO30" s="277" t="str">
        <f>IF(ISNUMBER(SEARCH("COVID",SP2D[[#This Row],[Akun]])),"COVID","Non COVID")</f>
        <v>Non COVID</v>
      </c>
      <c r="AP3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3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0" s="292">
        <f>SUM('PER BULAN'!BA56)</f>
        <v>0</v>
      </c>
      <c r="AS30" s="292">
        <f>SUM('PER BULAN'!BB56)</f>
        <v>0</v>
      </c>
      <c r="AT30" s="292">
        <f>SUM('PER BULAN'!BC56)</f>
        <v>0</v>
      </c>
      <c r="AU30" s="292">
        <f>SUM('PER BULAN'!BD56)</f>
        <v>0</v>
      </c>
      <c r="AV30" s="292">
        <f>SUM('PER BULAN'!BE56)</f>
        <v>0</v>
      </c>
      <c r="AW30" s="292">
        <f>SUM('PER BULAN'!BF56)</f>
        <v>0</v>
      </c>
      <c r="AX30" s="292">
        <f>SUM('PER BULAN'!BG56)</f>
        <v>0</v>
      </c>
      <c r="AY30" s="292">
        <f>SUM('PER BULAN'!BH56)</f>
        <v>0</v>
      </c>
    </row>
    <row r="31" spans="1:51" s="278" customFormat="1" x14ac:dyDescent="0.3">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221" cm="1">
        <f t="array" ref="Q31">SUM(_xlfn._xlws.FILTER(DIPA2[PaguRevisi],DIPA2[Akun]=SP2D[[#This Row],[Kode Akun]],0))</f>
        <v>10000000</v>
      </c>
      <c r="R31" s="416">
        <v>10000000</v>
      </c>
      <c r="S31" s="292">
        <f>SUM('PER BULAN'!J57:L57)</f>
        <v>0</v>
      </c>
      <c r="T31" s="292">
        <f>SUM('PER BULAN'!M57:O57)</f>
        <v>0</v>
      </c>
      <c r="U31" s="292">
        <f>SUM('PER BULAN'!P57:R57)</f>
        <v>0</v>
      </c>
      <c r="V31" s="292">
        <f>SUM('PER BULAN'!S57:U57)</f>
        <v>7200000</v>
      </c>
      <c r="W31" s="292">
        <f>SUM('PER BULAN'!V57:X57)</f>
        <v>0</v>
      </c>
      <c r="X31" s="292">
        <f>SUM('PER BULAN'!Y57:AA57)</f>
        <v>0</v>
      </c>
      <c r="Y31" s="292">
        <f>SUM('PER BULAN'!AB57:AD57)</f>
        <v>0</v>
      </c>
      <c r="Z31" s="292">
        <f>SUM('PER BULAN'!AE57:AG57)</f>
        <v>0</v>
      </c>
      <c r="AA31" s="292">
        <f>SUM('PER BULAN'!AH57:AJ57)</f>
        <v>0</v>
      </c>
      <c r="AB31" s="292">
        <f>SUM('PER BULAN'!AK57:AM57)</f>
        <v>0</v>
      </c>
      <c r="AC31" s="292">
        <f>SUM('PER BULAN'!AN57:AP57)</f>
        <v>0</v>
      </c>
      <c r="AD31" s="292">
        <f>SUM('PER BULAN'!AQ57:AS57)</f>
        <v>0</v>
      </c>
      <c r="AE31" s="277" t="s">
        <v>530</v>
      </c>
      <c r="AF31" s="277" t="s">
        <v>535</v>
      </c>
      <c r="AG31" s="277" t="s">
        <v>538</v>
      </c>
      <c r="AH31" s="277" t="s">
        <v>4699</v>
      </c>
      <c r="AI31" s="277" t="s">
        <v>4700</v>
      </c>
      <c r="AJ31" s="494">
        <f t="shared" si="0"/>
        <v>7200000</v>
      </c>
      <c r="AK31" s="291">
        <f t="shared" si="1"/>
        <v>72</v>
      </c>
      <c r="AL31" s="494">
        <f t="shared" si="2"/>
        <v>2800000</v>
      </c>
      <c r="AM31" s="291">
        <f t="shared" si="3"/>
        <v>28.000000000000004</v>
      </c>
      <c r="AN31" s="277" t="str">
        <f t="shared" si="4"/>
        <v>DL.2376.AFA.001.054.A.522151</v>
      </c>
      <c r="AO31" s="277" t="str">
        <f>IF(ISNUMBER(SEARCH("COVID",SP2D[[#This Row],[Akun]])),"COVID","Non COVID")</f>
        <v>Non COVID</v>
      </c>
      <c r="AP3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3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1" s="292">
        <f>SUM('PER BULAN'!BA57)</f>
        <v>0</v>
      </c>
      <c r="AS31" s="292">
        <f>SUM('PER BULAN'!BB57)</f>
        <v>0</v>
      </c>
      <c r="AT31" s="292">
        <f>SUM('PER BULAN'!BC57)</f>
        <v>0</v>
      </c>
      <c r="AU31" s="292">
        <f>SUM('PER BULAN'!BD57)</f>
        <v>0</v>
      </c>
      <c r="AV31" s="292">
        <f>SUM('PER BULAN'!BE57)</f>
        <v>0</v>
      </c>
      <c r="AW31" s="292">
        <f>SUM('PER BULAN'!BF57)</f>
        <v>0</v>
      </c>
      <c r="AX31" s="292">
        <f>SUM('PER BULAN'!BG57)</f>
        <v>0</v>
      </c>
      <c r="AY31" s="292">
        <f>SUM('PER BULAN'!BH57)</f>
        <v>0</v>
      </c>
    </row>
    <row r="32" spans="1:51" s="278" customFormat="1" x14ac:dyDescent="0.3">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221" cm="1">
        <f t="array" ref="Q32">SUM(_xlfn._xlws.FILTER(DIPA2[PaguRevisi],DIPA2[Akun]=SP2D[[#This Row],[Kode Akun]],0))</f>
        <v>5000000</v>
      </c>
      <c r="R32" s="416">
        <v>5000000</v>
      </c>
      <c r="S32" s="292">
        <f>SUM('PER BULAN'!J58:L58)</f>
        <v>0</v>
      </c>
      <c r="T32" s="292">
        <f>SUM('PER BULAN'!M58:O58)</f>
        <v>0</v>
      </c>
      <c r="U32" s="292">
        <f>SUM('PER BULAN'!P58:R58)</f>
        <v>0</v>
      </c>
      <c r="V32" s="292">
        <f>SUM('PER BULAN'!S58:U58)</f>
        <v>0</v>
      </c>
      <c r="W32" s="292">
        <f>SUM('PER BULAN'!V58:X58)</f>
        <v>0</v>
      </c>
      <c r="X32" s="292">
        <f>SUM('PER BULAN'!Y58:AA58)</f>
        <v>0</v>
      </c>
      <c r="Y32" s="292">
        <f>SUM('PER BULAN'!AB58:AD58)</f>
        <v>0</v>
      </c>
      <c r="Z32" s="292">
        <f>SUM('PER BULAN'!AE58:AG58)</f>
        <v>0</v>
      </c>
      <c r="AA32" s="292">
        <f>SUM('PER BULAN'!AH58:AJ58)</f>
        <v>0</v>
      </c>
      <c r="AB32" s="292">
        <f>SUM('PER BULAN'!AK58:AM58)</f>
        <v>0</v>
      </c>
      <c r="AC32" s="292">
        <f>SUM('PER BULAN'!AN58:AP58)</f>
        <v>0</v>
      </c>
      <c r="AD32" s="292">
        <f>SUM('PER BULAN'!AQ58:AS58)</f>
        <v>0</v>
      </c>
      <c r="AE32" s="277" t="s">
        <v>530</v>
      </c>
      <c r="AF32" s="277" t="s">
        <v>535</v>
      </c>
      <c r="AG32" s="277" t="s">
        <v>538</v>
      </c>
      <c r="AH32" s="277" t="s">
        <v>4699</v>
      </c>
      <c r="AI32" s="277" t="s">
        <v>4700</v>
      </c>
      <c r="AJ32" s="494">
        <f t="shared" si="0"/>
        <v>0</v>
      </c>
      <c r="AK32" s="291">
        <f t="shared" si="1"/>
        <v>0</v>
      </c>
      <c r="AL32" s="494">
        <f t="shared" si="2"/>
        <v>5000000</v>
      </c>
      <c r="AM32" s="291">
        <f t="shared" si="3"/>
        <v>100</v>
      </c>
      <c r="AN32" s="277" t="str">
        <f t="shared" si="4"/>
        <v>DL.2376.AFA.001.054.A.522192</v>
      </c>
      <c r="AO32" s="277" t="str">
        <f>IF(ISNUMBER(SEARCH("COVID",SP2D[[#This Row],[Akun]])),"COVID","Non COVID")</f>
        <v>COVID</v>
      </c>
      <c r="AP3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3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2" s="292">
        <f>SUM('PER BULAN'!BA58)</f>
        <v>0</v>
      </c>
      <c r="AS32" s="292">
        <f>SUM('PER BULAN'!BB58)</f>
        <v>0</v>
      </c>
      <c r="AT32" s="292">
        <f>SUM('PER BULAN'!BC58)</f>
        <v>0</v>
      </c>
      <c r="AU32" s="292">
        <f>SUM('PER BULAN'!BD58)</f>
        <v>0</v>
      </c>
      <c r="AV32" s="292">
        <f>SUM('PER BULAN'!BE58)</f>
        <v>0</v>
      </c>
      <c r="AW32" s="292">
        <f>SUM('PER BULAN'!BF58)</f>
        <v>0</v>
      </c>
      <c r="AX32" s="292">
        <f>SUM('PER BULAN'!BG58)</f>
        <v>0</v>
      </c>
      <c r="AY32" s="292">
        <f>SUM('PER BULAN'!BH58)</f>
        <v>0</v>
      </c>
    </row>
    <row r="33" spans="1:51" s="278" customFormat="1" x14ac:dyDescent="0.3">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221" cm="1">
        <f t="array" ref="Q33">SUM(_xlfn._xlws.FILTER(DIPA2[PaguRevisi],DIPA2[Akun]=SP2D[[#This Row],[Kode Akun]],0))</f>
        <v>97416000</v>
      </c>
      <c r="R33" s="416">
        <v>97416000</v>
      </c>
      <c r="S33" s="292">
        <f>SUM('PER BULAN'!J59:L59)</f>
        <v>0</v>
      </c>
      <c r="T33" s="292">
        <f>SUM('PER BULAN'!M59:O59)</f>
        <v>0</v>
      </c>
      <c r="U33" s="292">
        <f>SUM('PER BULAN'!P59:R59)</f>
        <v>28850000</v>
      </c>
      <c r="V33" s="292">
        <f>SUM('PER BULAN'!S59:U59)</f>
        <v>6320000</v>
      </c>
      <c r="W33" s="292">
        <f>SUM('PER BULAN'!V59:X59)</f>
        <v>0</v>
      </c>
      <c r="X33" s="292">
        <f>SUM('PER BULAN'!Y59:AA59)</f>
        <v>22748610</v>
      </c>
      <c r="Y33" s="292">
        <f>SUM('PER BULAN'!AB59:AD59)</f>
        <v>0</v>
      </c>
      <c r="Z33" s="292">
        <f>SUM('PER BULAN'!AE59:AG59)</f>
        <v>0</v>
      </c>
      <c r="AA33" s="292">
        <f>SUM('PER BULAN'!AH59:AJ59)</f>
        <v>0</v>
      </c>
      <c r="AB33" s="292">
        <f>SUM('PER BULAN'!AK59:AM59)</f>
        <v>0</v>
      </c>
      <c r="AC33" s="292">
        <f>SUM('PER BULAN'!AN59:AP59)</f>
        <v>0</v>
      </c>
      <c r="AD33" s="292">
        <f>SUM('PER BULAN'!AQ59:AS59)</f>
        <v>0</v>
      </c>
      <c r="AE33" s="277" t="s">
        <v>530</v>
      </c>
      <c r="AF33" s="277" t="s">
        <v>535</v>
      </c>
      <c r="AG33" s="277" t="s">
        <v>538</v>
      </c>
      <c r="AH33" s="277" t="s">
        <v>4699</v>
      </c>
      <c r="AI33" s="277" t="s">
        <v>4700</v>
      </c>
      <c r="AJ33" s="494">
        <f t="shared" si="0"/>
        <v>57918610</v>
      </c>
      <c r="AK33" s="291">
        <f t="shared" si="1"/>
        <v>59.454925268949651</v>
      </c>
      <c r="AL33" s="494">
        <f t="shared" si="2"/>
        <v>39497390</v>
      </c>
      <c r="AM33" s="291">
        <f t="shared" si="3"/>
        <v>40.545074731050342</v>
      </c>
      <c r="AN33" s="277" t="str">
        <f t="shared" si="4"/>
        <v>DL.2376.AFA.001.054.A.524111</v>
      </c>
      <c r="AO33" s="277" t="str">
        <f>IF(ISNUMBER(SEARCH("COVID",SP2D[[#This Row],[Akun]])),"COVID","Non COVID")</f>
        <v>Non COVID</v>
      </c>
      <c r="AP3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3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3" s="292">
        <f>SUM('PER BULAN'!BA59)</f>
        <v>0</v>
      </c>
      <c r="AS33" s="292">
        <f>SUM('PER BULAN'!BB59)</f>
        <v>17010000</v>
      </c>
      <c r="AT33" s="292">
        <f>SUM('PER BULAN'!BC59)</f>
        <v>11840000</v>
      </c>
      <c r="AU33" s="292">
        <f>SUM('PER BULAN'!BD59)</f>
        <v>0</v>
      </c>
      <c r="AV33" s="292">
        <f>SUM('PER BULAN'!BE59)</f>
        <v>0</v>
      </c>
      <c r="AW33" s="292">
        <f>SUM('PER BULAN'!BF59)</f>
        <v>0</v>
      </c>
      <c r="AX33" s="292">
        <f>SUM('PER BULAN'!BG59)</f>
        <v>0</v>
      </c>
      <c r="AY33" s="292">
        <f>SUM('PER BULAN'!BH59)</f>
        <v>0</v>
      </c>
    </row>
    <row r="34" spans="1:51" s="278" customFormat="1" x14ac:dyDescent="0.3">
      <c r="A34" s="277" t="s">
        <v>4693</v>
      </c>
      <c r="B34" s="277" t="s">
        <v>4694</v>
      </c>
      <c r="C34" s="277" t="s">
        <v>4720</v>
      </c>
      <c r="D34" s="277" t="s">
        <v>4721</v>
      </c>
      <c r="E34" s="277" t="s">
        <v>197</v>
      </c>
      <c r="F34" s="277" t="s">
        <v>4722</v>
      </c>
      <c r="G34" s="277" t="s">
        <v>4732</v>
      </c>
      <c r="H34" s="277" t="s">
        <v>4733</v>
      </c>
      <c r="I34" s="277" t="s">
        <v>501</v>
      </c>
      <c r="J34" s="277" t="s">
        <v>4734</v>
      </c>
      <c r="K34" s="277">
        <v>301</v>
      </c>
      <c r="L34" s="277" t="s">
        <v>4736</v>
      </c>
      <c r="M34" s="277" t="s">
        <v>8</v>
      </c>
      <c r="N34" s="277" t="s">
        <v>4735</v>
      </c>
      <c r="O34" s="277">
        <v>532111</v>
      </c>
      <c r="P34" s="277" t="s">
        <v>4705</v>
      </c>
      <c r="Q34" s="221" cm="1">
        <f t="array" ref="Q34">SUM(_xlfn._xlws.FILTER(DIPA2[PaguRevisi],DIPA2[Akun]=SP2D[[#This Row],[Kode Akun]],0))</f>
        <v>114200000</v>
      </c>
      <c r="R34" s="416">
        <v>115000000</v>
      </c>
      <c r="S34" s="292">
        <f>SUM('PER BULAN'!J66:L66)</f>
        <v>0</v>
      </c>
      <c r="T34" s="292">
        <f>SUM('PER BULAN'!M66:O66)</f>
        <v>0</v>
      </c>
      <c r="U34" s="292">
        <f>SUM('PER BULAN'!P66:R66)</f>
        <v>0</v>
      </c>
      <c r="V34" s="292">
        <f>SUM('PER BULAN'!S66:U66)</f>
        <v>0</v>
      </c>
      <c r="W34" s="292">
        <f>SUM('PER BULAN'!V66:X66)</f>
        <v>114200000</v>
      </c>
      <c r="X34" s="292">
        <f>SUM('PER BULAN'!Y66:AA66)</f>
        <v>0</v>
      </c>
      <c r="Y34" s="292">
        <f>SUM('PER BULAN'!AB66:AD66)</f>
        <v>0</v>
      </c>
      <c r="Z34" s="292">
        <f>SUM('PER BULAN'!AE66:AG66)</f>
        <v>0</v>
      </c>
      <c r="AA34" s="292">
        <f>SUM('PER BULAN'!AH66:AJ66)</f>
        <v>0</v>
      </c>
      <c r="AB34" s="292">
        <f>SUM('PER BULAN'!AK66:AM66)</f>
        <v>0</v>
      </c>
      <c r="AC34" s="292">
        <f>SUM('PER BULAN'!AN66:AP66)</f>
        <v>0</v>
      </c>
      <c r="AD34" s="292">
        <f>SUM('PER BULAN'!AQ66:AS66)</f>
        <v>0</v>
      </c>
      <c r="AE34" s="277" t="s">
        <v>530</v>
      </c>
      <c r="AF34" s="277" t="s">
        <v>576</v>
      </c>
      <c r="AG34" s="277" t="s">
        <v>560</v>
      </c>
      <c r="AH34" s="277">
        <v>53</v>
      </c>
      <c r="AI34" s="277" t="s">
        <v>4700</v>
      </c>
      <c r="AJ34" s="494">
        <f t="shared" si="0"/>
        <v>114200000</v>
      </c>
      <c r="AK34" s="291">
        <f t="shared" si="1"/>
        <v>100</v>
      </c>
      <c r="AL34" s="494">
        <f t="shared" si="2"/>
        <v>0</v>
      </c>
      <c r="AM34" s="291">
        <f t="shared" si="3"/>
        <v>0</v>
      </c>
      <c r="AN34" s="277" t="str">
        <f t="shared" si="4"/>
        <v>WA.2378.CAN.001.301.A.532111</v>
      </c>
      <c r="AO34" s="277" t="str">
        <f>IF(ISNUMBER(SEARCH("COVID",SP2D[[#This Row],[Akun]])),"COVID","Non COVID")</f>
        <v>Non COVID</v>
      </c>
      <c r="AP3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Q34" s="277" t="str">
        <f>IF(AND(ISNUMBER(SEARCH("OPERASIONAL",SP2D[[#This Row],[Komponen]])),ISNUMBER(SEARCH("LAYANAN PERKANTORAN",SP2D[[#This Row],[SubOutput]]))),"Belanja Barang Operasional",IF(LEFT(SP2D[[#This Row],[kdakun]],2)="53","Belanja Modal",IF(LEFT(SP2D[[#This Row],[kdakun]],2)="51","Belanja Pegawai","Belanja Barang Non Operasional")))</f>
        <v>Belanja Modal</v>
      </c>
      <c r="AR34" s="292">
        <f>SUM('PER BULAN'!BA66)</f>
        <v>0</v>
      </c>
      <c r="AS34" s="292">
        <f>SUM('PER BULAN'!BB66)</f>
        <v>0</v>
      </c>
      <c r="AT34" s="292">
        <f>SUM('PER BULAN'!BC66)</f>
        <v>0</v>
      </c>
      <c r="AU34" s="292">
        <f>SUM('PER BULAN'!BD66)</f>
        <v>0</v>
      </c>
      <c r="AV34" s="292">
        <f>SUM('PER BULAN'!BE66)</f>
        <v>0</v>
      </c>
      <c r="AW34" s="292">
        <f>SUM('PER BULAN'!BF66)</f>
        <v>0</v>
      </c>
      <c r="AX34" s="292">
        <f>SUM('PER BULAN'!BG66)</f>
        <v>0</v>
      </c>
      <c r="AY34" s="292">
        <f>SUM('PER BULAN'!BH66)</f>
        <v>0</v>
      </c>
    </row>
    <row r="35" spans="1:51" s="278" customFormat="1" x14ac:dyDescent="0.3">
      <c r="A35" s="277" t="s">
        <v>4693</v>
      </c>
      <c r="B35" s="277" t="s">
        <v>4694</v>
      </c>
      <c r="C35" s="277" t="s">
        <v>4720</v>
      </c>
      <c r="D35" s="277" t="s">
        <v>4721</v>
      </c>
      <c r="E35" s="277" t="s">
        <v>197</v>
      </c>
      <c r="F35" s="277" t="s">
        <v>4722</v>
      </c>
      <c r="G35" s="277" t="s">
        <v>4737</v>
      </c>
      <c r="H35" s="277" t="s">
        <v>4738</v>
      </c>
      <c r="I35" s="277">
        <v>958</v>
      </c>
      <c r="J35" s="277" t="s">
        <v>4741</v>
      </c>
      <c r="K35" s="277">
        <v>311</v>
      </c>
      <c r="L35" s="277" t="s">
        <v>4740</v>
      </c>
      <c r="M35" s="277" t="s">
        <v>8</v>
      </c>
      <c r="N35" s="277" t="s">
        <v>4739</v>
      </c>
      <c r="O35" s="277">
        <v>521211</v>
      </c>
      <c r="P35" s="277" t="s">
        <v>4698</v>
      </c>
      <c r="Q35" s="221" cm="1">
        <f t="array" ref="Q35">SUM(_xlfn._xlws.FILTER(DIPA2[PaguRevisi],DIPA2[Akun]=SP2D[[#This Row],[Kode Akun]],0))</f>
        <v>12400000</v>
      </c>
      <c r="R35" s="416">
        <v>14400000</v>
      </c>
      <c r="S35" s="292">
        <f>SUM('PER BULAN'!J71:L71)</f>
        <v>0</v>
      </c>
      <c r="T35" s="292">
        <f>SUM('PER BULAN'!M71:O71)</f>
        <v>0</v>
      </c>
      <c r="U35" s="292">
        <f>SUM('PER BULAN'!P71:R71)</f>
        <v>2876000</v>
      </c>
      <c r="V35" s="292">
        <f>SUM('PER BULAN'!S71:U71)</f>
        <v>0</v>
      </c>
      <c r="W35" s="292">
        <f>SUM('PER BULAN'!V71:X71)</f>
        <v>3071500</v>
      </c>
      <c r="X35" s="292">
        <f>SUM('PER BULAN'!Y71:AA71)</f>
        <v>0</v>
      </c>
      <c r="Y35" s="292">
        <f>SUM('PER BULAN'!AB71:AD71)</f>
        <v>0</v>
      </c>
      <c r="Z35" s="292">
        <f>SUM('PER BULAN'!AE71:AG71)</f>
        <v>0</v>
      </c>
      <c r="AA35" s="292">
        <f>SUM('PER BULAN'!AH71:AJ71)</f>
        <v>0</v>
      </c>
      <c r="AB35" s="292">
        <f>SUM('PER BULAN'!AK71:AM71)</f>
        <v>0</v>
      </c>
      <c r="AC35" s="292">
        <f>SUM('PER BULAN'!AN71:AP71)</f>
        <v>0</v>
      </c>
      <c r="AD35" s="292">
        <f>SUM('PER BULAN'!AQ71:AS71)</f>
        <v>0</v>
      </c>
      <c r="AE35" s="277" t="s">
        <v>530</v>
      </c>
      <c r="AF35" s="277" t="s">
        <v>542</v>
      </c>
      <c r="AG35" s="277" t="s">
        <v>543</v>
      </c>
      <c r="AH35" s="277" t="s">
        <v>4699</v>
      </c>
      <c r="AI35" s="277" t="s">
        <v>4700</v>
      </c>
      <c r="AJ35" s="494">
        <f t="shared" si="0"/>
        <v>5947500</v>
      </c>
      <c r="AK35" s="291">
        <f t="shared" si="1"/>
        <v>47.963709677419352</v>
      </c>
      <c r="AL35" s="494">
        <f t="shared" si="2"/>
        <v>6452500</v>
      </c>
      <c r="AM35" s="291">
        <f t="shared" si="3"/>
        <v>52.036290322580648</v>
      </c>
      <c r="AN35" s="277" t="str">
        <f t="shared" si="4"/>
        <v>WA.2378.EBA.958.311.A.521211</v>
      </c>
      <c r="AO35" s="277" t="str">
        <f>IF(ISNUMBER(SEARCH("COVID",SP2D[[#This Row],[Akun]])),"COVID","Non COVID")</f>
        <v>Non COVID</v>
      </c>
      <c r="AP3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3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5" s="292">
        <f>SUM('PER BULAN'!BA71)</f>
        <v>0</v>
      </c>
      <c r="AS35" s="292">
        <f>SUM('PER BULAN'!BB71)</f>
        <v>986000</v>
      </c>
      <c r="AT35" s="292">
        <f>SUM('PER BULAN'!BC71)</f>
        <v>1890000</v>
      </c>
      <c r="AU35" s="292">
        <f>SUM('PER BULAN'!BD71)</f>
        <v>0</v>
      </c>
      <c r="AV35" s="292">
        <f>SUM('PER BULAN'!BE71)</f>
        <v>0</v>
      </c>
      <c r="AW35" s="292">
        <f>SUM('PER BULAN'!BF71)</f>
        <v>0</v>
      </c>
      <c r="AX35" s="292">
        <f>SUM('PER BULAN'!BG71)</f>
        <v>3071500</v>
      </c>
      <c r="AY35" s="292">
        <f>SUM('PER BULAN'!BH71)</f>
        <v>0</v>
      </c>
    </row>
    <row r="36" spans="1:51" s="278" customFormat="1" x14ac:dyDescent="0.3">
      <c r="A36" s="277" t="s">
        <v>4693</v>
      </c>
      <c r="B36" s="277" t="s">
        <v>4694</v>
      </c>
      <c r="C36" s="277" t="s">
        <v>4720</v>
      </c>
      <c r="D36" s="277" t="s">
        <v>4721</v>
      </c>
      <c r="E36" s="277" t="s">
        <v>197</v>
      </c>
      <c r="F36" s="277" t="s">
        <v>4722</v>
      </c>
      <c r="G36" s="277" t="s">
        <v>4737</v>
      </c>
      <c r="H36" s="277" t="s">
        <v>4738</v>
      </c>
      <c r="I36" s="277">
        <v>958</v>
      </c>
      <c r="J36" s="277" t="s">
        <v>4741</v>
      </c>
      <c r="K36" s="277">
        <v>311</v>
      </c>
      <c r="L36" s="277" t="s">
        <v>4740</v>
      </c>
      <c r="M36" s="277" t="s">
        <v>8</v>
      </c>
      <c r="N36" s="277" t="s">
        <v>4739</v>
      </c>
      <c r="O36" s="277">
        <v>521219</v>
      </c>
      <c r="P36" s="277" t="s">
        <v>4711</v>
      </c>
      <c r="Q36" s="221" cm="1">
        <f t="array" ref="Q36">SUM(_xlfn._xlws.FILTER(DIPA2[PaguRevisi],DIPA2[Akun]=SP2D[[#This Row],[Kode Akun]],0))</f>
        <v>0</v>
      </c>
      <c r="R36" s="416">
        <v>8000000</v>
      </c>
      <c r="S36" s="292">
        <f>SUM('PER BULAN'!J72:L72)</f>
        <v>0</v>
      </c>
      <c r="T36" s="292">
        <f>SUM('PER BULAN'!M72:O72)</f>
        <v>0</v>
      </c>
      <c r="U36" s="292">
        <f>SUM('PER BULAN'!P72:R72)</f>
        <v>0</v>
      </c>
      <c r="V36" s="292">
        <f>SUM('PER BULAN'!S72:U72)</f>
        <v>0</v>
      </c>
      <c r="W36" s="292">
        <f>SUM('PER BULAN'!V72:X72)</f>
        <v>0</v>
      </c>
      <c r="X36" s="292">
        <f>SUM('PER BULAN'!Y72:AA72)</f>
        <v>0</v>
      </c>
      <c r="Y36" s="292">
        <f>SUM('PER BULAN'!AB72:AD72)</f>
        <v>0</v>
      </c>
      <c r="Z36" s="292">
        <f>SUM('PER BULAN'!AE72:AG72)</f>
        <v>0</v>
      </c>
      <c r="AA36" s="292">
        <f>SUM('PER BULAN'!AH72:AJ72)</f>
        <v>0</v>
      </c>
      <c r="AB36" s="292">
        <f>SUM('PER BULAN'!AK72:AM72)</f>
        <v>0</v>
      </c>
      <c r="AC36" s="292">
        <f>SUM('PER BULAN'!AN72:AP72)</f>
        <v>0</v>
      </c>
      <c r="AD36" s="292">
        <f>SUM('PER BULAN'!AQ72:AS72)</f>
        <v>0</v>
      </c>
      <c r="AE36" s="277" t="s">
        <v>530</v>
      </c>
      <c r="AF36" s="277" t="s">
        <v>542</v>
      </c>
      <c r="AG36" s="277" t="s">
        <v>543</v>
      </c>
      <c r="AH36" s="277" t="s">
        <v>4699</v>
      </c>
      <c r="AI36" s="277" t="s">
        <v>4700</v>
      </c>
      <c r="AJ36" s="494">
        <f t="shared" si="0"/>
        <v>0</v>
      </c>
      <c r="AK36" s="291">
        <f t="shared" si="1"/>
        <v>0</v>
      </c>
      <c r="AL36" s="494">
        <f t="shared" si="2"/>
        <v>0</v>
      </c>
      <c r="AM36" s="291">
        <f t="shared" si="3"/>
        <v>0</v>
      </c>
      <c r="AN36" s="277" t="str">
        <f t="shared" si="4"/>
        <v>WA.2378.EBA.958.311.A.521219</v>
      </c>
      <c r="AO36" s="277" t="str">
        <f>IF(ISNUMBER(SEARCH("COVID",SP2D[[#This Row],[Akun]])),"COVID","Non COVID")</f>
        <v>Non COVID</v>
      </c>
      <c r="AP3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3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6" s="292">
        <f>SUM('PER BULAN'!BA72)</f>
        <v>0</v>
      </c>
      <c r="AS36" s="292">
        <f>SUM('PER BULAN'!BB72)</f>
        <v>0</v>
      </c>
      <c r="AT36" s="292">
        <f>SUM('PER BULAN'!BC72)</f>
        <v>0</v>
      </c>
      <c r="AU36" s="292">
        <f>SUM('PER BULAN'!BD72)</f>
        <v>0</v>
      </c>
      <c r="AV36" s="292">
        <f>SUM('PER BULAN'!BE72)</f>
        <v>0</v>
      </c>
      <c r="AW36" s="292">
        <f>SUM('PER BULAN'!BF72)</f>
        <v>0</v>
      </c>
      <c r="AX36" s="292">
        <f>SUM('PER BULAN'!BG72)</f>
        <v>0</v>
      </c>
      <c r="AY36" s="292">
        <f>SUM('PER BULAN'!BH72)</f>
        <v>0</v>
      </c>
    </row>
    <row r="37" spans="1:51" s="278" customFormat="1" x14ac:dyDescent="0.3">
      <c r="A37" s="277" t="s">
        <v>4693</v>
      </c>
      <c r="B37" s="277" t="s">
        <v>4694</v>
      </c>
      <c r="C37" s="277" t="s">
        <v>4720</v>
      </c>
      <c r="D37" s="277" t="s">
        <v>4721</v>
      </c>
      <c r="E37" s="277" t="s">
        <v>197</v>
      </c>
      <c r="F37" s="277" t="s">
        <v>4722</v>
      </c>
      <c r="G37" s="277" t="s">
        <v>4737</v>
      </c>
      <c r="H37" s="277" t="s">
        <v>4738</v>
      </c>
      <c r="I37" s="277">
        <v>958</v>
      </c>
      <c r="J37" s="277" t="s">
        <v>4741</v>
      </c>
      <c r="K37" s="277">
        <v>311</v>
      </c>
      <c r="L37" s="277" t="s">
        <v>4740</v>
      </c>
      <c r="M37" s="277" t="s">
        <v>8</v>
      </c>
      <c r="N37" s="277" t="s">
        <v>4739</v>
      </c>
      <c r="O37" s="277">
        <v>521811</v>
      </c>
      <c r="P37" s="277" t="s">
        <v>4716</v>
      </c>
      <c r="Q37" s="221" cm="1">
        <f t="array" ref="Q37">SUM(_xlfn._xlws.FILTER(DIPA2[PaguRevisi],DIPA2[Akun]=SP2D[[#This Row],[Kode Akun]],0))</f>
        <v>10000000</v>
      </c>
      <c r="R37" s="416">
        <v>12000000</v>
      </c>
      <c r="S37" s="292">
        <f>SUM('PER BULAN'!J73:L73)</f>
        <v>0</v>
      </c>
      <c r="T37" s="292">
        <f>SUM('PER BULAN'!M73:O73)</f>
        <v>0</v>
      </c>
      <c r="U37" s="292">
        <f>SUM('PER BULAN'!P73:R73)</f>
        <v>2450750</v>
      </c>
      <c r="V37" s="292">
        <f>SUM('PER BULAN'!S73:U73)</f>
        <v>0</v>
      </c>
      <c r="W37" s="292">
        <f>SUM('PER BULAN'!V73:X73)</f>
        <v>1929000</v>
      </c>
      <c r="X37" s="292">
        <f>SUM('PER BULAN'!Y73:AA73)</f>
        <v>0</v>
      </c>
      <c r="Y37" s="292">
        <f>SUM('PER BULAN'!AB73:AD73)</f>
        <v>0</v>
      </c>
      <c r="Z37" s="292">
        <f>SUM('PER BULAN'!AE73:AG73)</f>
        <v>0</v>
      </c>
      <c r="AA37" s="292">
        <f>SUM('PER BULAN'!AH73:AJ73)</f>
        <v>0</v>
      </c>
      <c r="AB37" s="292">
        <f>SUM('PER BULAN'!AK73:AM73)</f>
        <v>0</v>
      </c>
      <c r="AC37" s="292">
        <f>SUM('PER BULAN'!AN73:AP73)</f>
        <v>0</v>
      </c>
      <c r="AD37" s="292">
        <f>SUM('PER BULAN'!AQ73:AS73)</f>
        <v>0</v>
      </c>
      <c r="AE37" s="277" t="s">
        <v>530</v>
      </c>
      <c r="AF37" s="277" t="s">
        <v>542</v>
      </c>
      <c r="AG37" s="277" t="s">
        <v>543</v>
      </c>
      <c r="AH37" s="277" t="s">
        <v>4699</v>
      </c>
      <c r="AI37" s="277" t="s">
        <v>4700</v>
      </c>
      <c r="AJ37" s="494">
        <f t="shared" si="0"/>
        <v>4379750</v>
      </c>
      <c r="AK37" s="291">
        <f t="shared" si="1"/>
        <v>43.797499999999999</v>
      </c>
      <c r="AL37" s="494">
        <f t="shared" si="2"/>
        <v>5620250</v>
      </c>
      <c r="AM37" s="291">
        <f t="shared" si="3"/>
        <v>56.202500000000001</v>
      </c>
      <c r="AN37" s="277" t="str">
        <f t="shared" si="4"/>
        <v>WA.2378.EBA.958.311.A.521811</v>
      </c>
      <c r="AO37" s="277" t="str">
        <f>IF(ISNUMBER(SEARCH("COVID",SP2D[[#This Row],[Akun]])),"COVID","Non COVID")</f>
        <v>Non COVID</v>
      </c>
      <c r="AP3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3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7" s="292">
        <f>SUM('PER BULAN'!BA73)</f>
        <v>0</v>
      </c>
      <c r="AS37" s="292">
        <f>SUM('PER BULAN'!BB73)</f>
        <v>2450750</v>
      </c>
      <c r="AT37" s="292">
        <f>SUM('PER BULAN'!BC73)</f>
        <v>0</v>
      </c>
      <c r="AU37" s="292">
        <f>SUM('PER BULAN'!BD73)</f>
        <v>0</v>
      </c>
      <c r="AV37" s="292">
        <f>SUM('PER BULAN'!BE73)</f>
        <v>0</v>
      </c>
      <c r="AW37" s="292">
        <f>SUM('PER BULAN'!BF73)</f>
        <v>0</v>
      </c>
      <c r="AX37" s="292">
        <f>SUM('PER BULAN'!BG73)</f>
        <v>1929000</v>
      </c>
      <c r="AY37" s="292">
        <f>SUM('PER BULAN'!BH73)</f>
        <v>0</v>
      </c>
    </row>
    <row r="38" spans="1:51" s="278" customFormat="1" x14ac:dyDescent="0.3">
      <c r="A38" s="277" t="s">
        <v>4693</v>
      </c>
      <c r="B38" s="277" t="s">
        <v>4694</v>
      </c>
      <c r="C38" s="277" t="s">
        <v>4720</v>
      </c>
      <c r="D38" s="277" t="s">
        <v>4721</v>
      </c>
      <c r="E38" s="277" t="s">
        <v>197</v>
      </c>
      <c r="F38" s="277" t="s">
        <v>4722</v>
      </c>
      <c r="G38" s="277" t="s">
        <v>4737</v>
      </c>
      <c r="H38" s="277" t="s">
        <v>4738</v>
      </c>
      <c r="I38" s="277">
        <v>958</v>
      </c>
      <c r="J38" s="277" t="s">
        <v>4741</v>
      </c>
      <c r="K38" s="277">
        <v>311</v>
      </c>
      <c r="L38" s="277" t="s">
        <v>4740</v>
      </c>
      <c r="M38" s="277" t="s">
        <v>8</v>
      </c>
      <c r="N38" s="277" t="s">
        <v>4739</v>
      </c>
      <c r="O38" s="277">
        <v>522151</v>
      </c>
      <c r="P38" s="277" t="s">
        <v>4701</v>
      </c>
      <c r="Q38" s="221" cm="1">
        <f t="array" ref="Q38">SUM(_xlfn._xlws.FILTER(DIPA2[PaguRevisi],DIPA2[Akun]=SP2D[[#This Row],[Kode Akun]],0))</f>
        <v>0</v>
      </c>
      <c r="R38" s="416">
        <v>4000000</v>
      </c>
      <c r="S38" s="292">
        <f>SUM('PER BULAN'!J74:L74)</f>
        <v>0</v>
      </c>
      <c r="T38" s="292">
        <f>SUM('PER BULAN'!M74:O74)</f>
        <v>0</v>
      </c>
      <c r="U38" s="292">
        <f>SUM('PER BULAN'!P74:R74)</f>
        <v>0</v>
      </c>
      <c r="V38" s="292">
        <f>SUM('PER BULAN'!S74:U74)</f>
        <v>0</v>
      </c>
      <c r="W38" s="292">
        <f>SUM('PER BULAN'!V74:X74)</f>
        <v>0</v>
      </c>
      <c r="X38" s="292">
        <f>SUM('PER BULAN'!Y74:AA74)</f>
        <v>0</v>
      </c>
      <c r="Y38" s="292">
        <f>SUM('PER BULAN'!AB74:AD74)</f>
        <v>0</v>
      </c>
      <c r="Z38" s="292">
        <f>SUM('PER BULAN'!AE74:AG74)</f>
        <v>0</v>
      </c>
      <c r="AA38" s="292">
        <f>SUM('PER BULAN'!AH74:AJ74)</f>
        <v>0</v>
      </c>
      <c r="AB38" s="292">
        <f>SUM('PER BULAN'!AK74:AM74)</f>
        <v>0</v>
      </c>
      <c r="AC38" s="292">
        <f>SUM('PER BULAN'!AN74:AP74)</f>
        <v>0</v>
      </c>
      <c r="AD38" s="292">
        <f>SUM('PER BULAN'!AQ74:AS74)</f>
        <v>0</v>
      </c>
      <c r="AE38" s="277" t="s">
        <v>530</v>
      </c>
      <c r="AF38" s="277" t="s">
        <v>542</v>
      </c>
      <c r="AG38" s="277" t="s">
        <v>543</v>
      </c>
      <c r="AH38" s="277" t="s">
        <v>4699</v>
      </c>
      <c r="AI38" s="277" t="s">
        <v>4700</v>
      </c>
      <c r="AJ38" s="494">
        <f t="shared" si="0"/>
        <v>0</v>
      </c>
      <c r="AK38" s="291">
        <f t="shared" si="1"/>
        <v>0</v>
      </c>
      <c r="AL38" s="494">
        <f t="shared" si="2"/>
        <v>0</v>
      </c>
      <c r="AM38" s="291">
        <f t="shared" si="3"/>
        <v>0</v>
      </c>
      <c r="AN38" s="277" t="str">
        <f t="shared" si="4"/>
        <v>WA.2378.EBA.958.311.A.522151</v>
      </c>
      <c r="AO38" s="277" t="str">
        <f>IF(ISNUMBER(SEARCH("COVID",SP2D[[#This Row],[Akun]])),"COVID","Non COVID")</f>
        <v>Non COVID</v>
      </c>
      <c r="AP3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3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8" s="292">
        <f>SUM('PER BULAN'!BA74)</f>
        <v>0</v>
      </c>
      <c r="AS38" s="292">
        <f>SUM('PER BULAN'!BB74)</f>
        <v>0</v>
      </c>
      <c r="AT38" s="292">
        <f>SUM('PER BULAN'!BC74)</f>
        <v>0</v>
      </c>
      <c r="AU38" s="292">
        <f>SUM('PER BULAN'!BD74)</f>
        <v>0</v>
      </c>
      <c r="AV38" s="292">
        <f>SUM('PER BULAN'!BE74)</f>
        <v>0</v>
      </c>
      <c r="AW38" s="292">
        <f>SUM('PER BULAN'!BF74)</f>
        <v>0</v>
      </c>
      <c r="AX38" s="292">
        <f>SUM('PER BULAN'!BG74)</f>
        <v>0</v>
      </c>
      <c r="AY38" s="292">
        <f>SUM('PER BULAN'!BH74)</f>
        <v>0</v>
      </c>
    </row>
    <row r="39" spans="1:51" s="278" customFormat="1" x14ac:dyDescent="0.3">
      <c r="A39" s="277" t="s">
        <v>4693</v>
      </c>
      <c r="B39" s="277" t="s">
        <v>4694</v>
      </c>
      <c r="C39" s="277" t="s">
        <v>4720</v>
      </c>
      <c r="D39" s="277" t="s">
        <v>4721</v>
      </c>
      <c r="E39" s="277" t="s">
        <v>197</v>
      </c>
      <c r="F39" s="277" t="s">
        <v>4722</v>
      </c>
      <c r="G39" s="277" t="s">
        <v>4737</v>
      </c>
      <c r="H39" s="277" t="s">
        <v>4738</v>
      </c>
      <c r="I39" s="277">
        <v>958</v>
      </c>
      <c r="J39" s="277" t="s">
        <v>4741</v>
      </c>
      <c r="K39" s="277">
        <v>311</v>
      </c>
      <c r="L39" s="277" t="s">
        <v>4740</v>
      </c>
      <c r="M39" s="277" t="s">
        <v>8</v>
      </c>
      <c r="N39" s="277" t="s">
        <v>4739</v>
      </c>
      <c r="O39" s="277" t="s">
        <v>513</v>
      </c>
      <c r="P39" s="277" t="s">
        <v>4702</v>
      </c>
      <c r="Q39" s="221" cm="1">
        <f t="array" ref="Q39">SUM(_xlfn._xlws.FILTER(DIPA2[PaguRevisi],DIPA2[Akun]=SP2D[[#This Row],[Kode Akun]],0))</f>
        <v>90946000</v>
      </c>
      <c r="R39" s="416">
        <v>115380000</v>
      </c>
      <c r="S39" s="292">
        <f>SUM('PER BULAN'!J75:L75)</f>
        <v>0</v>
      </c>
      <c r="T39" s="292">
        <f>SUM('PER BULAN'!M75:O75)</f>
        <v>0</v>
      </c>
      <c r="U39" s="292">
        <f>SUM('PER BULAN'!P75:R75)</f>
        <v>0</v>
      </c>
      <c r="V39" s="292">
        <f>SUM('PER BULAN'!S75:U75)</f>
        <v>3570000</v>
      </c>
      <c r="W39" s="292">
        <f>SUM('PER BULAN'!V75:X75)</f>
        <v>10960600</v>
      </c>
      <c r="X39" s="292">
        <f>SUM('PER BULAN'!Y75:AA75)</f>
        <v>3840000</v>
      </c>
      <c r="Y39" s="292">
        <f>SUM('PER BULAN'!AB75:AD75)</f>
        <v>0</v>
      </c>
      <c r="Z39" s="292">
        <f>SUM('PER BULAN'!AE75:AG75)</f>
        <v>0</v>
      </c>
      <c r="AA39" s="292">
        <f>SUM('PER BULAN'!AH75:AJ75)</f>
        <v>0</v>
      </c>
      <c r="AB39" s="292">
        <f>SUM('PER BULAN'!AK75:AM75)</f>
        <v>0</v>
      </c>
      <c r="AC39" s="292">
        <f>SUM('PER BULAN'!AN75:AP75)</f>
        <v>0</v>
      </c>
      <c r="AD39" s="292">
        <f>SUM('PER BULAN'!AQ75:AS75)</f>
        <v>0</v>
      </c>
      <c r="AE39" s="277" t="s">
        <v>530</v>
      </c>
      <c r="AF39" s="277" t="s">
        <v>542</v>
      </c>
      <c r="AG39" s="277" t="s">
        <v>543</v>
      </c>
      <c r="AH39" s="277" t="s">
        <v>4699</v>
      </c>
      <c r="AI39" s="277" t="s">
        <v>4700</v>
      </c>
      <c r="AJ39" s="494">
        <f t="shared" si="0"/>
        <v>18370600</v>
      </c>
      <c r="AK39" s="291">
        <f t="shared" si="1"/>
        <v>20.199459019638027</v>
      </c>
      <c r="AL39" s="494">
        <f t="shared" si="2"/>
        <v>72575400</v>
      </c>
      <c r="AM39" s="291">
        <f t="shared" si="3"/>
        <v>79.800540980361973</v>
      </c>
      <c r="AN39" s="277" t="str">
        <f t="shared" si="4"/>
        <v>WA.2378.EBA.958.311.A.524111</v>
      </c>
      <c r="AO39" s="277" t="str">
        <f>IF(ISNUMBER(SEARCH("COVID",SP2D[[#This Row],[Akun]])),"COVID","Non COVID")</f>
        <v>Non COVID</v>
      </c>
      <c r="AP3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3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39" s="292">
        <f>SUM('PER BULAN'!BA75)</f>
        <v>0</v>
      </c>
      <c r="AS39" s="292">
        <f>SUM('PER BULAN'!BB75)</f>
        <v>0</v>
      </c>
      <c r="AT39" s="292">
        <f>SUM('PER BULAN'!BC75)</f>
        <v>0</v>
      </c>
      <c r="AU39" s="292">
        <f>SUM('PER BULAN'!BD75)</f>
        <v>0</v>
      </c>
      <c r="AV39" s="292">
        <f>SUM('PER BULAN'!BE75)</f>
        <v>0</v>
      </c>
      <c r="AW39" s="292">
        <f>SUM('PER BULAN'!BF75)</f>
        <v>0</v>
      </c>
      <c r="AX39" s="292">
        <f>SUM('PER BULAN'!BG75)</f>
        <v>0</v>
      </c>
      <c r="AY39" s="292">
        <f>SUM('PER BULAN'!BH75)</f>
        <v>0</v>
      </c>
    </row>
    <row r="40" spans="1:51" s="278" customFormat="1" x14ac:dyDescent="0.3">
      <c r="A40" s="277" t="s">
        <v>4693</v>
      </c>
      <c r="B40" s="277" t="s">
        <v>4694</v>
      </c>
      <c r="C40" s="277" t="s">
        <v>4720</v>
      </c>
      <c r="D40" s="277" t="s">
        <v>4721</v>
      </c>
      <c r="E40" s="277" t="s">
        <v>197</v>
      </c>
      <c r="F40" s="277" t="s">
        <v>4722</v>
      </c>
      <c r="G40" s="277" t="s">
        <v>4737</v>
      </c>
      <c r="H40" s="277" t="s">
        <v>4738</v>
      </c>
      <c r="I40" s="277">
        <v>962</v>
      </c>
      <c r="J40" s="277" t="s">
        <v>4743</v>
      </c>
      <c r="K40" s="277">
        <v>301</v>
      </c>
      <c r="L40" s="277" t="s">
        <v>4742</v>
      </c>
      <c r="M40" s="277" t="s">
        <v>8</v>
      </c>
      <c r="N40" s="277" t="s">
        <v>4723</v>
      </c>
      <c r="O40" s="277">
        <v>521211</v>
      </c>
      <c r="P40" s="277" t="s">
        <v>4698</v>
      </c>
      <c r="Q40" s="221" cm="1">
        <f t="array" ref="Q40">SUM(_xlfn._xlws.FILTER(DIPA2[PaguRevisi],DIPA2[Akun]=SP2D[[#This Row],[Kode Akun]],0))</f>
        <v>5000000</v>
      </c>
      <c r="R40" s="416">
        <v>22000000</v>
      </c>
      <c r="S40" s="292">
        <f>SUM('PER BULAN'!J79:L79)</f>
        <v>0</v>
      </c>
      <c r="T40" s="292">
        <f>SUM('PER BULAN'!M79:O79)</f>
        <v>0</v>
      </c>
      <c r="U40" s="292">
        <f>SUM('PER BULAN'!P79:R79)</f>
        <v>3998800</v>
      </c>
      <c r="V40" s="292">
        <f>SUM('PER BULAN'!S79:U79)</f>
        <v>0</v>
      </c>
      <c r="W40" s="292">
        <f>SUM('PER BULAN'!V79:X79)</f>
        <v>0</v>
      </c>
      <c r="X40" s="292">
        <f>SUM('PER BULAN'!Y79:AA79)</f>
        <v>0</v>
      </c>
      <c r="Y40" s="292">
        <f>SUM('PER BULAN'!AB79:AD79)</f>
        <v>0</v>
      </c>
      <c r="Z40" s="292">
        <f>SUM('PER BULAN'!AE79:AG79)</f>
        <v>0</v>
      </c>
      <c r="AA40" s="292">
        <f>SUM('PER BULAN'!AH79:AJ79)</f>
        <v>0</v>
      </c>
      <c r="AB40" s="292">
        <f>SUM('PER BULAN'!AK79:AM79)</f>
        <v>0</v>
      </c>
      <c r="AC40" s="292">
        <f>SUM('PER BULAN'!AN79:AP79)</f>
        <v>0</v>
      </c>
      <c r="AD40" s="292">
        <f>SUM('PER BULAN'!AQ79:AS79)</f>
        <v>0</v>
      </c>
      <c r="AE40" s="277" t="s">
        <v>530</v>
      </c>
      <c r="AF40" s="277" t="s">
        <v>576</v>
      </c>
      <c r="AG40" s="277" t="s">
        <v>560</v>
      </c>
      <c r="AH40" s="277" t="s">
        <v>4699</v>
      </c>
      <c r="AI40" s="277" t="s">
        <v>4700</v>
      </c>
      <c r="AJ40" s="494">
        <f t="shared" si="0"/>
        <v>3998800</v>
      </c>
      <c r="AK40" s="291">
        <f t="shared" si="1"/>
        <v>79.975999999999999</v>
      </c>
      <c r="AL40" s="494">
        <f t="shared" si="2"/>
        <v>1001200</v>
      </c>
      <c r="AM40" s="291">
        <f t="shared" si="3"/>
        <v>20.024000000000001</v>
      </c>
      <c r="AN40" s="277" t="str">
        <f t="shared" si="4"/>
        <v>WA.2378.EBA.962.301.A.521211</v>
      </c>
      <c r="AO40" s="277" t="str">
        <f>IF(ISNUMBER(SEARCH("COVID",SP2D[[#This Row],[Akun]])),"COVID","Non COVID")</f>
        <v>Non COVID</v>
      </c>
      <c r="AP4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4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0" s="292">
        <f>SUM('PER BULAN'!BA79)</f>
        <v>0</v>
      </c>
      <c r="AS40" s="292">
        <f>SUM('PER BULAN'!BB79)</f>
        <v>3998800</v>
      </c>
      <c r="AT40" s="292">
        <f>SUM('PER BULAN'!BC79)</f>
        <v>0</v>
      </c>
      <c r="AU40" s="292">
        <f>SUM('PER BULAN'!BD79)</f>
        <v>0</v>
      </c>
      <c r="AV40" s="292">
        <f>SUM('PER BULAN'!BE79)</f>
        <v>0</v>
      </c>
      <c r="AW40" s="292">
        <f>SUM('PER BULAN'!BF79)</f>
        <v>0</v>
      </c>
      <c r="AX40" s="292">
        <f>SUM('PER BULAN'!BG79)</f>
        <v>0</v>
      </c>
      <c r="AY40" s="292">
        <f>SUM('PER BULAN'!BH79)</f>
        <v>0</v>
      </c>
    </row>
    <row r="41" spans="1:51" s="278" customFormat="1" x14ac:dyDescent="0.3">
      <c r="A41" s="277" t="s">
        <v>4693</v>
      </c>
      <c r="B41" s="277" t="s">
        <v>4694</v>
      </c>
      <c r="C41" s="277" t="s">
        <v>4720</v>
      </c>
      <c r="D41" s="277" t="s">
        <v>4721</v>
      </c>
      <c r="E41" s="277" t="s">
        <v>197</v>
      </c>
      <c r="F41" s="277" t="s">
        <v>4722</v>
      </c>
      <c r="G41" s="277" t="s">
        <v>4737</v>
      </c>
      <c r="H41" s="277" t="s">
        <v>4738</v>
      </c>
      <c r="I41" s="277">
        <v>962</v>
      </c>
      <c r="J41" s="277" t="s">
        <v>4743</v>
      </c>
      <c r="K41" s="277">
        <v>301</v>
      </c>
      <c r="L41" s="277" t="s">
        <v>4742</v>
      </c>
      <c r="M41" s="277" t="s">
        <v>8</v>
      </c>
      <c r="N41" s="277" t="s">
        <v>4723</v>
      </c>
      <c r="O41" s="277" t="s">
        <v>513</v>
      </c>
      <c r="P41" s="277" t="s">
        <v>4702</v>
      </c>
      <c r="Q41" s="221" cm="1">
        <f t="array" ref="Q41">SUM(_xlfn._xlws.FILTER(DIPA2[PaguRevisi],DIPA2[Akun]=SP2D[[#This Row],[Kode Akun]],0))</f>
        <v>12989000</v>
      </c>
      <c r="R41" s="416">
        <v>27000000</v>
      </c>
      <c r="S41" s="292">
        <f>SUM('PER BULAN'!J80:L80)</f>
        <v>0</v>
      </c>
      <c r="T41" s="292">
        <f>SUM('PER BULAN'!M80:O80)</f>
        <v>0</v>
      </c>
      <c r="U41" s="292">
        <f>SUM('PER BULAN'!P80:R80)</f>
        <v>4335000</v>
      </c>
      <c r="V41" s="292">
        <f>SUM('PER BULAN'!S80:U80)</f>
        <v>3960000</v>
      </c>
      <c r="W41" s="292">
        <f>SUM('PER BULAN'!V80:X80)</f>
        <v>3043500</v>
      </c>
      <c r="X41" s="292">
        <f>SUM('PER BULAN'!Y80:AA80)</f>
        <v>0</v>
      </c>
      <c r="Y41" s="292">
        <f>SUM('PER BULAN'!AB80:AD80)</f>
        <v>0</v>
      </c>
      <c r="Z41" s="292">
        <f>SUM('PER BULAN'!AE80:AG80)</f>
        <v>0</v>
      </c>
      <c r="AA41" s="292">
        <f>SUM('PER BULAN'!AH80:AJ80)</f>
        <v>0</v>
      </c>
      <c r="AB41" s="292">
        <f>SUM('PER BULAN'!AK80:AM80)</f>
        <v>0</v>
      </c>
      <c r="AC41" s="292">
        <f>SUM('PER BULAN'!AN80:AP80)</f>
        <v>0</v>
      </c>
      <c r="AD41" s="292">
        <f>SUM('PER BULAN'!AQ80:AS80)</f>
        <v>0</v>
      </c>
      <c r="AE41" s="277" t="s">
        <v>530</v>
      </c>
      <c r="AF41" s="277" t="s">
        <v>576</v>
      </c>
      <c r="AG41" s="277" t="s">
        <v>560</v>
      </c>
      <c r="AH41" s="277" t="s">
        <v>4699</v>
      </c>
      <c r="AI41" s="277" t="s">
        <v>4700</v>
      </c>
      <c r="AJ41" s="494">
        <f t="shared" si="0"/>
        <v>11338500</v>
      </c>
      <c r="AK41" s="291">
        <f t="shared" si="1"/>
        <v>87.293094156594037</v>
      </c>
      <c r="AL41" s="494">
        <f t="shared" si="2"/>
        <v>1650500</v>
      </c>
      <c r="AM41" s="291">
        <f t="shared" si="3"/>
        <v>12.706905843405957</v>
      </c>
      <c r="AN41" s="277" t="str">
        <f t="shared" si="4"/>
        <v>WA.2378.EBA.962.301.A.524111</v>
      </c>
      <c r="AO41" s="277" t="str">
        <f>IF(ISNUMBER(SEARCH("COVID",SP2D[[#This Row],[Akun]])),"COVID","Non COVID")</f>
        <v>Non COVID</v>
      </c>
      <c r="AP4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4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1" s="292">
        <f>SUM('PER BULAN'!BA80)</f>
        <v>2685000</v>
      </c>
      <c r="AS41" s="292">
        <f>SUM('PER BULAN'!BB80)</f>
        <v>1650000</v>
      </c>
      <c r="AT41" s="292">
        <f>SUM('PER BULAN'!BC80)</f>
        <v>0</v>
      </c>
      <c r="AU41" s="292">
        <f>SUM('PER BULAN'!BD80)</f>
        <v>3960000</v>
      </c>
      <c r="AV41" s="292">
        <f>SUM('PER BULAN'!BE80)</f>
        <v>0</v>
      </c>
      <c r="AW41" s="292">
        <f>SUM('PER BULAN'!BF80)</f>
        <v>3043500</v>
      </c>
      <c r="AX41" s="292">
        <f>SUM('PER BULAN'!BG80)</f>
        <v>0</v>
      </c>
      <c r="AY41" s="292">
        <f>SUM('PER BULAN'!BH80)</f>
        <v>0</v>
      </c>
    </row>
    <row r="42" spans="1:51" s="278" customFormat="1" x14ac:dyDescent="0.3">
      <c r="A42" s="277" t="s">
        <v>4693</v>
      </c>
      <c r="B42" s="277" t="s">
        <v>4694</v>
      </c>
      <c r="C42" s="277" t="s">
        <v>4720</v>
      </c>
      <c r="D42" s="277" t="s">
        <v>4721</v>
      </c>
      <c r="E42" s="277" t="s">
        <v>197</v>
      </c>
      <c r="F42" s="277" t="s">
        <v>4722</v>
      </c>
      <c r="G42" s="277" t="s">
        <v>4737</v>
      </c>
      <c r="H42" s="277" t="s">
        <v>4738</v>
      </c>
      <c r="I42" s="277">
        <v>962</v>
      </c>
      <c r="J42" s="277" t="s">
        <v>4743</v>
      </c>
      <c r="K42" s="277">
        <v>301</v>
      </c>
      <c r="L42" s="277" t="s">
        <v>4742</v>
      </c>
      <c r="M42" s="277" t="s">
        <v>8</v>
      </c>
      <c r="N42" s="277" t="s">
        <v>4723</v>
      </c>
      <c r="O42" s="277" t="s">
        <v>507</v>
      </c>
      <c r="P42" s="277" t="s">
        <v>508</v>
      </c>
      <c r="Q42" s="221" cm="1">
        <f t="array" ref="Q42">SUM(_xlfn._xlws.FILTER(DIPA2[PaguRevisi],DIPA2[Akun]=SP2D[[#This Row],[Kode Akun]],0))</f>
        <v>750000</v>
      </c>
      <c r="R42" s="416">
        <v>2100000</v>
      </c>
      <c r="S42" s="292">
        <f>SUM('PER BULAN'!J81:L81)</f>
        <v>0</v>
      </c>
      <c r="T42" s="292">
        <f>SUM('PER BULAN'!M81:O81)</f>
        <v>0</v>
      </c>
      <c r="U42" s="292">
        <f>SUM('PER BULAN'!P81:R81)</f>
        <v>750000</v>
      </c>
      <c r="V42" s="292">
        <f>SUM('PER BULAN'!S81:U81)</f>
        <v>0</v>
      </c>
      <c r="W42" s="292">
        <f>SUM('PER BULAN'!V81:X81)</f>
        <v>0</v>
      </c>
      <c r="X42" s="292">
        <f>SUM('PER BULAN'!Y81:AA81)</f>
        <v>0</v>
      </c>
      <c r="Y42" s="292">
        <f>SUM('PER BULAN'!AB81:AD81)</f>
        <v>0</v>
      </c>
      <c r="Z42" s="292">
        <f>SUM('PER BULAN'!AE81:AG81)</f>
        <v>0</v>
      </c>
      <c r="AA42" s="292">
        <f>SUM('PER BULAN'!AH81:AJ81)</f>
        <v>0</v>
      </c>
      <c r="AB42" s="292">
        <f>SUM('PER BULAN'!AK81:AM81)</f>
        <v>0</v>
      </c>
      <c r="AC42" s="292">
        <f>SUM('PER BULAN'!AN81:AP81)</f>
        <v>0</v>
      </c>
      <c r="AD42" s="292">
        <f>SUM('PER BULAN'!AQ81:AS81)</f>
        <v>0</v>
      </c>
      <c r="AE42" s="277" t="s">
        <v>530</v>
      </c>
      <c r="AF42" s="277" t="s">
        <v>576</v>
      </c>
      <c r="AG42" s="277" t="s">
        <v>560</v>
      </c>
      <c r="AH42" s="277" t="s">
        <v>4699</v>
      </c>
      <c r="AI42" s="277" t="s">
        <v>4700</v>
      </c>
      <c r="AJ42" s="494">
        <f t="shared" si="0"/>
        <v>750000</v>
      </c>
      <c r="AK42" s="291">
        <f t="shared" si="1"/>
        <v>100</v>
      </c>
      <c r="AL42" s="494">
        <f t="shared" si="2"/>
        <v>0</v>
      </c>
      <c r="AM42" s="291">
        <f t="shared" si="3"/>
        <v>0</v>
      </c>
      <c r="AN42" s="277" t="str">
        <f t="shared" si="4"/>
        <v>WA.2378.EBA.962.301.A.524113</v>
      </c>
      <c r="AO42" s="277" t="str">
        <f>IF(ISNUMBER(SEARCH("COVID",SP2D[[#This Row],[Akun]])),"COVID","Non COVID")</f>
        <v>Non COVID</v>
      </c>
      <c r="AP4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Q4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2" s="292">
        <f>SUM('PER BULAN'!BA81)</f>
        <v>450000</v>
      </c>
      <c r="AS42" s="292">
        <f>SUM('PER BULAN'!BB81)</f>
        <v>300000</v>
      </c>
      <c r="AT42" s="292">
        <f>SUM('PER BULAN'!BC81)</f>
        <v>0</v>
      </c>
      <c r="AU42" s="292">
        <f>SUM('PER BULAN'!BD81)</f>
        <v>0</v>
      </c>
      <c r="AV42" s="292">
        <f>SUM('PER BULAN'!BE81)</f>
        <v>0</v>
      </c>
      <c r="AW42" s="292">
        <f>SUM('PER BULAN'!BF81)</f>
        <v>0</v>
      </c>
      <c r="AX42" s="292">
        <f>SUM('PER BULAN'!BG81)</f>
        <v>0</v>
      </c>
      <c r="AY42" s="292">
        <f>SUM('PER BULAN'!BH81)</f>
        <v>0</v>
      </c>
    </row>
    <row r="43" spans="1:51" s="278" customFormat="1" x14ac:dyDescent="0.3">
      <c r="A43" s="277" t="s">
        <v>4693</v>
      </c>
      <c r="B43" s="277" t="s">
        <v>4694</v>
      </c>
      <c r="C43" s="277" t="s">
        <v>4720</v>
      </c>
      <c r="D43" s="277" t="s">
        <v>4721</v>
      </c>
      <c r="E43" s="277" t="s">
        <v>197</v>
      </c>
      <c r="F43" s="277" t="s">
        <v>4722</v>
      </c>
      <c r="G43" s="277" t="s">
        <v>4737</v>
      </c>
      <c r="H43" s="277" t="s">
        <v>4738</v>
      </c>
      <c r="I43" s="277">
        <v>962</v>
      </c>
      <c r="J43" s="277" t="s">
        <v>4743</v>
      </c>
      <c r="K43" s="277">
        <v>301</v>
      </c>
      <c r="L43" s="277" t="s">
        <v>4742</v>
      </c>
      <c r="M43" s="277" t="s">
        <v>511</v>
      </c>
      <c r="N43" s="277" t="s">
        <v>4724</v>
      </c>
      <c r="O43" s="277">
        <v>521211</v>
      </c>
      <c r="P43" s="277" t="s">
        <v>4698</v>
      </c>
      <c r="Q43" s="221" cm="1">
        <f t="array" ref="Q43">SUM(_xlfn._xlws.FILTER(DIPA2[PaguRevisi],DIPA2[Akun]=SP2D[[#This Row],[Kode Akun]],0))</f>
        <v>10000000</v>
      </c>
      <c r="R43" s="416">
        <v>10000000</v>
      </c>
      <c r="S43" s="292">
        <f>SUM('PER BULAN'!J83:L83)</f>
        <v>0</v>
      </c>
      <c r="T43" s="292">
        <f>SUM('PER BULAN'!M83:O83)</f>
        <v>0</v>
      </c>
      <c r="U43" s="292">
        <f>SUM('PER BULAN'!P83:R83)</f>
        <v>2485000</v>
      </c>
      <c r="V43" s="292">
        <f>SUM('PER BULAN'!S83:U83)</f>
        <v>0</v>
      </c>
      <c r="W43" s="292">
        <f>SUM('PER BULAN'!V83:X83)</f>
        <v>2485000</v>
      </c>
      <c r="X43" s="292">
        <f>SUM('PER BULAN'!Y83:AA83)</f>
        <v>0</v>
      </c>
      <c r="Y43" s="292">
        <f>SUM('PER BULAN'!AB83:AD83)</f>
        <v>0</v>
      </c>
      <c r="Z43" s="292">
        <f>SUM('PER BULAN'!AE83:AG83)</f>
        <v>0</v>
      </c>
      <c r="AA43" s="292">
        <f>SUM('PER BULAN'!AH83:AJ83)</f>
        <v>0</v>
      </c>
      <c r="AB43" s="292">
        <f>SUM('PER BULAN'!AK83:AM83)</f>
        <v>0</v>
      </c>
      <c r="AC43" s="292">
        <f>SUM('PER BULAN'!AN83:AP83)</f>
        <v>0</v>
      </c>
      <c r="AD43" s="292">
        <f>SUM('PER BULAN'!AQ83:AS83)</f>
        <v>0</v>
      </c>
      <c r="AE43" s="277" t="s">
        <v>530</v>
      </c>
      <c r="AF43" s="277" t="s">
        <v>576</v>
      </c>
      <c r="AG43" s="277" t="s">
        <v>560</v>
      </c>
      <c r="AH43" s="277" t="s">
        <v>4699</v>
      </c>
      <c r="AI43" s="277" t="s">
        <v>4700</v>
      </c>
      <c r="AJ43" s="494">
        <f t="shared" si="0"/>
        <v>4970000</v>
      </c>
      <c r="AK43" s="291">
        <f t="shared" si="1"/>
        <v>49.7</v>
      </c>
      <c r="AL43" s="494">
        <f t="shared" si="2"/>
        <v>5030000</v>
      </c>
      <c r="AM43" s="291">
        <f t="shared" si="3"/>
        <v>50.3</v>
      </c>
      <c r="AN43" s="277" t="str">
        <f t="shared" si="4"/>
        <v>WA.2378.EBA.962.301.B.521211</v>
      </c>
      <c r="AO43" s="277" t="str">
        <f>IF(ISNUMBER(SEARCH("COVID",SP2D[[#This Row],[Akun]])),"COVID","Non COVID")</f>
        <v>Non COVID</v>
      </c>
      <c r="AP4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4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3" s="292">
        <f>SUM('PER BULAN'!BA83)</f>
        <v>2485000</v>
      </c>
      <c r="AS43" s="292">
        <f>SUM('PER BULAN'!BB83)</f>
        <v>0</v>
      </c>
      <c r="AT43" s="292">
        <f>SUM('PER BULAN'!BC83)</f>
        <v>0</v>
      </c>
      <c r="AU43" s="292">
        <f>SUM('PER BULAN'!BD83)</f>
        <v>0</v>
      </c>
      <c r="AV43" s="292">
        <f>SUM('PER BULAN'!BE83)</f>
        <v>0</v>
      </c>
      <c r="AW43" s="292">
        <f>SUM('PER BULAN'!BF83)</f>
        <v>0</v>
      </c>
      <c r="AX43" s="292">
        <f>SUM('PER BULAN'!BG83)</f>
        <v>2485000</v>
      </c>
      <c r="AY43" s="292">
        <f>SUM('PER BULAN'!BH83)</f>
        <v>0</v>
      </c>
    </row>
    <row r="44" spans="1:51" s="278" customFormat="1" x14ac:dyDescent="0.3">
      <c r="A44" s="277" t="s">
        <v>4693</v>
      </c>
      <c r="B44" s="277" t="s">
        <v>4694</v>
      </c>
      <c r="C44" s="277" t="s">
        <v>4720</v>
      </c>
      <c r="D44" s="277" t="s">
        <v>4721</v>
      </c>
      <c r="E44" s="277" t="s">
        <v>197</v>
      </c>
      <c r="F44" s="277" t="s">
        <v>4722</v>
      </c>
      <c r="G44" s="277" t="s">
        <v>4737</v>
      </c>
      <c r="H44" s="277" t="s">
        <v>4738</v>
      </c>
      <c r="I44" s="277">
        <v>962</v>
      </c>
      <c r="J44" s="277" t="s">
        <v>4743</v>
      </c>
      <c r="K44" s="277">
        <v>301</v>
      </c>
      <c r="L44" s="277" t="s">
        <v>4742</v>
      </c>
      <c r="M44" s="277" t="s">
        <v>511</v>
      </c>
      <c r="N44" s="277" t="s">
        <v>4724</v>
      </c>
      <c r="O44" s="277" t="s">
        <v>518</v>
      </c>
      <c r="P44" s="277" t="s">
        <v>4703</v>
      </c>
      <c r="Q44" s="221" cm="1">
        <f t="array" ref="Q44">SUM(_xlfn._xlws.FILTER(DIPA2[PaguRevisi],DIPA2[Akun]=SP2D[[#This Row],[Kode Akun]],0))</f>
        <v>2031000</v>
      </c>
      <c r="R44" s="416">
        <v>23680000</v>
      </c>
      <c r="S44" s="292">
        <f>SUM('PER BULAN'!J84:L84)</f>
        <v>0</v>
      </c>
      <c r="T44" s="292">
        <f>SUM('PER BULAN'!M84:O84)</f>
        <v>0</v>
      </c>
      <c r="U44" s="292">
        <f>SUM('PER BULAN'!P84:R84)</f>
        <v>2031000</v>
      </c>
      <c r="V44" s="292">
        <f>SUM('PER BULAN'!S84:U84)</f>
        <v>0</v>
      </c>
      <c r="W44" s="292">
        <f>SUM('PER BULAN'!V84:X84)</f>
        <v>0</v>
      </c>
      <c r="X44" s="292">
        <f>SUM('PER BULAN'!Y84:AA84)</f>
        <v>0</v>
      </c>
      <c r="Y44" s="292">
        <f>SUM('PER BULAN'!AB84:AD84)</f>
        <v>0</v>
      </c>
      <c r="Z44" s="292">
        <f>SUM('PER BULAN'!AE84:AG84)</f>
        <v>0</v>
      </c>
      <c r="AA44" s="292">
        <f>SUM('PER BULAN'!AH84:AJ84)</f>
        <v>0</v>
      </c>
      <c r="AB44" s="292">
        <f>SUM('PER BULAN'!AK84:AM84)</f>
        <v>0</v>
      </c>
      <c r="AC44" s="292">
        <f>SUM('PER BULAN'!AN84:AP84)</f>
        <v>0</v>
      </c>
      <c r="AD44" s="292">
        <f>SUM('PER BULAN'!AQ84:AS84)</f>
        <v>0</v>
      </c>
      <c r="AE44" s="277" t="s">
        <v>530</v>
      </c>
      <c r="AF44" s="277" t="s">
        <v>576</v>
      </c>
      <c r="AG44" s="277" t="s">
        <v>560</v>
      </c>
      <c r="AH44" s="277" t="s">
        <v>4699</v>
      </c>
      <c r="AI44" s="277" t="s">
        <v>4700</v>
      </c>
      <c r="AJ44" s="494">
        <f t="shared" si="0"/>
        <v>2031000</v>
      </c>
      <c r="AK44" s="291">
        <f t="shared" si="1"/>
        <v>100</v>
      </c>
      <c r="AL44" s="494">
        <f t="shared" si="2"/>
        <v>0</v>
      </c>
      <c r="AM44" s="291">
        <f t="shared" si="3"/>
        <v>0</v>
      </c>
      <c r="AN44" s="277" t="str">
        <f t="shared" si="4"/>
        <v>WA.2378.EBA.962.301.B.522192</v>
      </c>
      <c r="AO44" s="277" t="str">
        <f>IF(ISNUMBER(SEARCH("COVID",SP2D[[#This Row],[Akun]])),"COVID","Non COVID")</f>
        <v>COVID</v>
      </c>
      <c r="AP4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4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4" s="292">
        <f>SUM('PER BULAN'!BA84)</f>
        <v>1235000</v>
      </c>
      <c r="AS44" s="292">
        <f>SUM('PER BULAN'!BB84)</f>
        <v>342000</v>
      </c>
      <c r="AT44" s="292">
        <f>SUM('PER BULAN'!BC84)</f>
        <v>454000</v>
      </c>
      <c r="AU44" s="292">
        <f>SUM('PER BULAN'!BD84)</f>
        <v>0</v>
      </c>
      <c r="AV44" s="292">
        <f>SUM('PER BULAN'!BE84)</f>
        <v>0</v>
      </c>
      <c r="AW44" s="292">
        <f>SUM('PER BULAN'!BF84)</f>
        <v>0</v>
      </c>
      <c r="AX44" s="292">
        <f>SUM('PER BULAN'!BG84)</f>
        <v>0</v>
      </c>
      <c r="AY44" s="292">
        <f>SUM('PER BULAN'!BH84)</f>
        <v>0</v>
      </c>
    </row>
    <row r="45" spans="1:51" s="278" customFormat="1" x14ac:dyDescent="0.3">
      <c r="A45" s="277" t="s">
        <v>4693</v>
      </c>
      <c r="B45" s="277" t="s">
        <v>4694</v>
      </c>
      <c r="C45" s="277" t="s">
        <v>4720</v>
      </c>
      <c r="D45" s="277" t="s">
        <v>4721</v>
      </c>
      <c r="E45" s="277" t="s">
        <v>197</v>
      </c>
      <c r="F45" s="277" t="s">
        <v>4722</v>
      </c>
      <c r="G45" s="277" t="s">
        <v>4737</v>
      </c>
      <c r="H45" s="277" t="s">
        <v>4738</v>
      </c>
      <c r="I45" s="277">
        <v>962</v>
      </c>
      <c r="J45" s="277" t="s">
        <v>4743</v>
      </c>
      <c r="K45" s="277">
        <v>301</v>
      </c>
      <c r="L45" s="277" t="s">
        <v>4742</v>
      </c>
      <c r="M45" s="277" t="s">
        <v>511</v>
      </c>
      <c r="N45" s="277" t="s">
        <v>4724</v>
      </c>
      <c r="O45" s="277" t="s">
        <v>513</v>
      </c>
      <c r="P45" s="277" t="s">
        <v>4702</v>
      </c>
      <c r="Q45" s="221" cm="1">
        <f t="array" ref="Q45">SUM(_xlfn._xlws.FILTER(DIPA2[PaguRevisi],DIPA2[Akun]=SP2D[[#This Row],[Kode Akun]],0))</f>
        <v>373634000</v>
      </c>
      <c r="R45" s="416">
        <v>514500000</v>
      </c>
      <c r="S45" s="292">
        <f>SUM('PER BULAN'!J85:L85)</f>
        <v>0</v>
      </c>
      <c r="T45" s="292">
        <f>SUM('PER BULAN'!M85:O85)</f>
        <v>0</v>
      </c>
      <c r="U45" s="292">
        <f>SUM('PER BULAN'!P85:R85)</f>
        <v>68815500</v>
      </c>
      <c r="V45" s="292">
        <f>SUM('PER BULAN'!S85:U85)</f>
        <v>66565460</v>
      </c>
      <c r="W45" s="292">
        <f>SUM('PER BULAN'!V85:X85)</f>
        <v>25199501</v>
      </c>
      <c r="X45" s="292">
        <f>SUM('PER BULAN'!Y85:AA85)</f>
        <v>0</v>
      </c>
      <c r="Y45" s="292">
        <f>SUM('PER BULAN'!AB85:AD85)</f>
        <v>0</v>
      </c>
      <c r="Z45" s="292">
        <f>SUM('PER BULAN'!AE85:AG85)</f>
        <v>0</v>
      </c>
      <c r="AA45" s="292">
        <f>SUM('PER BULAN'!AH85:AJ85)</f>
        <v>0</v>
      </c>
      <c r="AB45" s="292">
        <f>SUM('PER BULAN'!AK85:AM85)</f>
        <v>0</v>
      </c>
      <c r="AC45" s="292">
        <f>SUM('PER BULAN'!AN85:AP85)</f>
        <v>0</v>
      </c>
      <c r="AD45" s="292">
        <f>SUM('PER BULAN'!AQ85:AS85)</f>
        <v>0</v>
      </c>
      <c r="AE45" s="277" t="s">
        <v>530</v>
      </c>
      <c r="AF45" s="277" t="s">
        <v>576</v>
      </c>
      <c r="AG45" s="277" t="s">
        <v>560</v>
      </c>
      <c r="AH45" s="277" t="s">
        <v>4699</v>
      </c>
      <c r="AI45" s="277" t="s">
        <v>4700</v>
      </c>
      <c r="AJ45" s="494">
        <f t="shared" si="0"/>
        <v>160580461</v>
      </c>
      <c r="AK45" s="291">
        <f t="shared" si="1"/>
        <v>42.978010834131794</v>
      </c>
      <c r="AL45" s="494">
        <f t="shared" si="2"/>
        <v>213053539</v>
      </c>
      <c r="AM45" s="291">
        <f t="shared" si="3"/>
        <v>57.021989165868206</v>
      </c>
      <c r="AN45" s="277" t="str">
        <f t="shared" si="4"/>
        <v>WA.2378.EBA.962.301.B.524111</v>
      </c>
      <c r="AO45" s="277" t="str">
        <f>IF(ISNUMBER(SEARCH("COVID",SP2D[[#This Row],[Akun]])),"COVID","Non COVID")</f>
        <v>Non COVID</v>
      </c>
      <c r="AP4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4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5" s="292">
        <f>SUM('PER BULAN'!BA85)</f>
        <v>45385600</v>
      </c>
      <c r="AS45" s="292">
        <f>SUM('PER BULAN'!BB85)</f>
        <v>23429900</v>
      </c>
      <c r="AT45" s="292">
        <f>SUM('PER BULAN'!BC85)</f>
        <v>0</v>
      </c>
      <c r="AU45" s="292">
        <f>SUM('PER BULAN'!BD85)</f>
        <v>31588000</v>
      </c>
      <c r="AV45" s="292">
        <f>SUM('PER BULAN'!BE85)</f>
        <v>10477701</v>
      </c>
      <c r="AW45" s="292">
        <f>SUM('PER BULAN'!BF85)</f>
        <v>4081050</v>
      </c>
      <c r="AX45" s="292">
        <f>SUM('PER BULAN'!BG85)</f>
        <v>10640750</v>
      </c>
      <c r="AY45" s="292">
        <f>SUM('PER BULAN'!BH85)</f>
        <v>0</v>
      </c>
    </row>
    <row r="46" spans="1:51" s="278" customFormat="1" x14ac:dyDescent="0.3">
      <c r="A46" s="277" t="s">
        <v>4693</v>
      </c>
      <c r="B46" s="277" t="s">
        <v>4694</v>
      </c>
      <c r="C46" s="277" t="s">
        <v>4720</v>
      </c>
      <c r="D46" s="277" t="s">
        <v>4721</v>
      </c>
      <c r="E46" s="277" t="s">
        <v>197</v>
      </c>
      <c r="F46" s="277" t="s">
        <v>4722</v>
      </c>
      <c r="G46" s="277" t="s">
        <v>4737</v>
      </c>
      <c r="H46" s="277" t="s">
        <v>4738</v>
      </c>
      <c r="I46" s="277">
        <v>962</v>
      </c>
      <c r="J46" s="277" t="s">
        <v>4743</v>
      </c>
      <c r="K46" s="277">
        <v>301</v>
      </c>
      <c r="L46" s="277" t="s">
        <v>4742</v>
      </c>
      <c r="M46" s="277" t="s">
        <v>512</v>
      </c>
      <c r="N46" s="277" t="s">
        <v>4744</v>
      </c>
      <c r="O46" s="277">
        <v>521211</v>
      </c>
      <c r="P46" s="277" t="s">
        <v>4698</v>
      </c>
      <c r="Q46" s="221" cm="1">
        <f t="array" ref="Q46">SUM(_xlfn._xlws.FILTER(DIPA2[PaguRevisi],DIPA2[Akun]=SP2D[[#This Row],[Kode Akun]],0))</f>
        <v>33500000</v>
      </c>
      <c r="R46" s="416">
        <v>46000000</v>
      </c>
      <c r="S46" s="292">
        <f>SUM('PER BULAN'!J87:L87)</f>
        <v>0</v>
      </c>
      <c r="T46" s="292">
        <f>SUM('PER BULAN'!M87:O87)</f>
        <v>0</v>
      </c>
      <c r="U46" s="292">
        <f>SUM('PER BULAN'!P87:R87)</f>
        <v>3987000</v>
      </c>
      <c r="V46" s="292">
        <f>SUM('PER BULAN'!S87:U87)</f>
        <v>0</v>
      </c>
      <c r="W46" s="292">
        <f>SUM('PER BULAN'!V87:X87)</f>
        <v>29384740</v>
      </c>
      <c r="X46" s="292">
        <f>SUM('PER BULAN'!Y87:AA87)</f>
        <v>0</v>
      </c>
      <c r="Y46" s="292">
        <f>SUM('PER BULAN'!AB87:AD87)</f>
        <v>0</v>
      </c>
      <c r="Z46" s="292">
        <f>SUM('PER BULAN'!AE87:AG87)</f>
        <v>0</v>
      </c>
      <c r="AA46" s="292">
        <f>SUM('PER BULAN'!AH87:AJ87)</f>
        <v>0</v>
      </c>
      <c r="AB46" s="292">
        <f>SUM('PER BULAN'!AK87:AM87)</f>
        <v>0</v>
      </c>
      <c r="AC46" s="292">
        <f>SUM('PER BULAN'!AN87:AP87)</f>
        <v>0</v>
      </c>
      <c r="AD46" s="292">
        <f>SUM('PER BULAN'!AQ87:AS87)</f>
        <v>0</v>
      </c>
      <c r="AE46" s="277" t="s">
        <v>530</v>
      </c>
      <c r="AF46" s="277" t="s">
        <v>576</v>
      </c>
      <c r="AG46" s="277" t="s">
        <v>560</v>
      </c>
      <c r="AH46" s="277" t="s">
        <v>4699</v>
      </c>
      <c r="AI46" s="277" t="s">
        <v>4700</v>
      </c>
      <c r="AJ46" s="494">
        <f t="shared" si="0"/>
        <v>33371740</v>
      </c>
      <c r="AK46" s="291">
        <f t="shared" si="1"/>
        <v>99.617134328358219</v>
      </c>
      <c r="AL46" s="494">
        <f t="shared" si="2"/>
        <v>128260</v>
      </c>
      <c r="AM46" s="291">
        <f t="shared" si="3"/>
        <v>0.38286567164179103</v>
      </c>
      <c r="AN46" s="277" t="str">
        <f t="shared" si="4"/>
        <v>WA.2378.EBA.962.301.C.521211</v>
      </c>
      <c r="AO46" s="277" t="str">
        <f>IF(ISNUMBER(SEARCH("COVID",SP2D[[#This Row],[Akun]])),"COVID","Non COVID")</f>
        <v>Non COVID</v>
      </c>
      <c r="AP4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4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6" s="292">
        <f>SUM('PER BULAN'!BA87)</f>
        <v>0</v>
      </c>
      <c r="AS46" s="292">
        <f>SUM('PER BULAN'!BB87)</f>
        <v>3987000</v>
      </c>
      <c r="AT46" s="292">
        <f>SUM('PER BULAN'!BC87)</f>
        <v>0</v>
      </c>
      <c r="AU46" s="292">
        <f>SUM('PER BULAN'!BD87)</f>
        <v>0</v>
      </c>
      <c r="AV46" s="292">
        <f>SUM('PER BULAN'!BE87)</f>
        <v>0</v>
      </c>
      <c r="AW46" s="292">
        <f>SUM('PER BULAN'!BF87)</f>
        <v>0</v>
      </c>
      <c r="AX46" s="292">
        <f>SUM('PER BULAN'!BG87)</f>
        <v>29384740</v>
      </c>
      <c r="AY46" s="292">
        <f>SUM('PER BULAN'!BH87)</f>
        <v>0</v>
      </c>
    </row>
    <row r="47" spans="1:51" s="278" customFormat="1" x14ac:dyDescent="0.3">
      <c r="A47" s="277" t="s">
        <v>4693</v>
      </c>
      <c r="B47" s="277" t="s">
        <v>4694</v>
      </c>
      <c r="C47" s="277" t="s">
        <v>4720</v>
      </c>
      <c r="D47" s="277" t="s">
        <v>4721</v>
      </c>
      <c r="E47" s="277" t="s">
        <v>197</v>
      </c>
      <c r="F47" s="277" t="s">
        <v>4722</v>
      </c>
      <c r="G47" s="277" t="s">
        <v>4737</v>
      </c>
      <c r="H47" s="277" t="s">
        <v>4738</v>
      </c>
      <c r="I47" s="277">
        <v>962</v>
      </c>
      <c r="J47" s="277" t="s">
        <v>4743</v>
      </c>
      <c r="K47" s="277">
        <v>301</v>
      </c>
      <c r="L47" s="277" t="s">
        <v>4742</v>
      </c>
      <c r="M47" s="277" t="s">
        <v>512</v>
      </c>
      <c r="N47" s="277" t="s">
        <v>4744</v>
      </c>
      <c r="O47" s="277">
        <v>522141</v>
      </c>
      <c r="P47" s="277" t="s">
        <v>4704</v>
      </c>
      <c r="Q47" s="221" cm="1">
        <f t="array" ref="Q47">SUM(_xlfn._xlws.FILTER(DIPA2[PaguRevisi],DIPA2[Akun]=SP2D[[#This Row],[Kode Akun]],0))</f>
        <v>3000000</v>
      </c>
      <c r="R47" s="416">
        <v>6000000</v>
      </c>
      <c r="S47" s="292">
        <f>SUM('PER BULAN'!J88:L88)</f>
        <v>0</v>
      </c>
      <c r="T47" s="292">
        <f>SUM('PER BULAN'!M88:O88)</f>
        <v>0</v>
      </c>
      <c r="U47" s="292">
        <f>SUM('PER BULAN'!P88:R88)</f>
        <v>0</v>
      </c>
      <c r="V47" s="292">
        <f>SUM('PER BULAN'!S88:U88)</f>
        <v>0</v>
      </c>
      <c r="W47" s="292">
        <f>SUM('PER BULAN'!V88:X88)</f>
        <v>0</v>
      </c>
      <c r="X47" s="292">
        <f>SUM('PER BULAN'!Y88:AA88)</f>
        <v>0</v>
      </c>
      <c r="Y47" s="292">
        <f>SUM('PER BULAN'!AB88:AD88)</f>
        <v>0</v>
      </c>
      <c r="Z47" s="292">
        <f>SUM('PER BULAN'!AE88:AG88)</f>
        <v>0</v>
      </c>
      <c r="AA47" s="292">
        <f>SUM('PER BULAN'!AH88:AJ88)</f>
        <v>0</v>
      </c>
      <c r="AB47" s="292">
        <f>SUM('PER BULAN'!AK88:AM88)</f>
        <v>0</v>
      </c>
      <c r="AC47" s="292">
        <f>SUM('PER BULAN'!AN88:AP88)</f>
        <v>0</v>
      </c>
      <c r="AD47" s="292">
        <f>SUM('PER BULAN'!AQ88:AS88)</f>
        <v>0</v>
      </c>
      <c r="AE47" s="277" t="s">
        <v>530</v>
      </c>
      <c r="AF47" s="277" t="s">
        <v>576</v>
      </c>
      <c r="AG47" s="277" t="s">
        <v>560</v>
      </c>
      <c r="AH47" s="277" t="s">
        <v>4699</v>
      </c>
      <c r="AI47" s="277" t="s">
        <v>4700</v>
      </c>
      <c r="AJ47" s="494">
        <f t="shared" si="0"/>
        <v>0</v>
      </c>
      <c r="AK47" s="291">
        <f t="shared" si="1"/>
        <v>0</v>
      </c>
      <c r="AL47" s="494">
        <f t="shared" si="2"/>
        <v>3000000</v>
      </c>
      <c r="AM47" s="291">
        <f t="shared" si="3"/>
        <v>100</v>
      </c>
      <c r="AN47" s="277" t="str">
        <f t="shared" si="4"/>
        <v>WA.2378.EBA.962.301.C.522141</v>
      </c>
      <c r="AO47" s="277" t="str">
        <f>IF(ISNUMBER(SEARCH("COVID",SP2D[[#This Row],[Akun]])),"COVID","Non COVID")</f>
        <v>Non COVID</v>
      </c>
      <c r="AP4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Q4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7" s="292">
        <f>SUM('PER BULAN'!BA88)</f>
        <v>0</v>
      </c>
      <c r="AS47" s="292">
        <f>SUM('PER BULAN'!BB88)</f>
        <v>0</v>
      </c>
      <c r="AT47" s="292">
        <f>SUM('PER BULAN'!BC88)</f>
        <v>0</v>
      </c>
      <c r="AU47" s="292">
        <f>SUM('PER BULAN'!BD88)</f>
        <v>0</v>
      </c>
      <c r="AV47" s="292">
        <f>SUM('PER BULAN'!BE88)</f>
        <v>0</v>
      </c>
      <c r="AW47" s="292">
        <f>SUM('PER BULAN'!BF88)</f>
        <v>0</v>
      </c>
      <c r="AX47" s="292">
        <f>SUM('PER BULAN'!BG88)</f>
        <v>0</v>
      </c>
      <c r="AY47" s="292">
        <f>SUM('PER BULAN'!BH88)</f>
        <v>0</v>
      </c>
    </row>
    <row r="48" spans="1:51" s="278" customFormat="1" x14ac:dyDescent="0.3">
      <c r="A48" s="277" t="s">
        <v>4693</v>
      </c>
      <c r="B48" s="277" t="s">
        <v>4694</v>
      </c>
      <c r="C48" s="277" t="s">
        <v>4720</v>
      </c>
      <c r="D48" s="277" t="s">
        <v>4721</v>
      </c>
      <c r="E48" s="277" t="s">
        <v>197</v>
      </c>
      <c r="F48" s="277" t="s">
        <v>4722</v>
      </c>
      <c r="G48" s="277" t="s">
        <v>4737</v>
      </c>
      <c r="H48" s="277" t="s">
        <v>4738</v>
      </c>
      <c r="I48" s="277">
        <v>962</v>
      </c>
      <c r="J48" s="277" t="s">
        <v>4743</v>
      </c>
      <c r="K48" s="277">
        <v>301</v>
      </c>
      <c r="L48" s="277" t="s">
        <v>4742</v>
      </c>
      <c r="M48" s="277" t="s">
        <v>512</v>
      </c>
      <c r="N48" s="277" t="s">
        <v>4744</v>
      </c>
      <c r="O48" s="277" t="s">
        <v>513</v>
      </c>
      <c r="P48" s="277" t="s">
        <v>4702</v>
      </c>
      <c r="Q48" s="221" cm="1">
        <f t="array" ref="Q48">SUM(_xlfn._xlws.FILTER(DIPA2[PaguRevisi],DIPA2[Akun]=SP2D[[#This Row],[Kode Akun]],0))</f>
        <v>18000000</v>
      </c>
      <c r="R48" s="416">
        <v>18000000</v>
      </c>
      <c r="S48" s="292">
        <f>SUM('PER BULAN'!J89:L89)</f>
        <v>0</v>
      </c>
      <c r="T48" s="292">
        <f>SUM('PER BULAN'!M89:O89)</f>
        <v>0</v>
      </c>
      <c r="U48" s="292">
        <f>SUM('PER BULAN'!P89:R89)</f>
        <v>1290000</v>
      </c>
      <c r="V48" s="292">
        <f>SUM('PER BULAN'!S89:U89)</f>
        <v>0</v>
      </c>
      <c r="W48" s="292">
        <f>SUM('PER BULAN'!V89:X89)</f>
        <v>7020000</v>
      </c>
      <c r="X48" s="292">
        <f>SUM('PER BULAN'!Y89:AA89)</f>
        <v>0</v>
      </c>
      <c r="Y48" s="292">
        <f>SUM('PER BULAN'!AB89:AD89)</f>
        <v>0</v>
      </c>
      <c r="Z48" s="292">
        <f>SUM('PER BULAN'!AE89:AG89)</f>
        <v>0</v>
      </c>
      <c r="AA48" s="292">
        <f>SUM('PER BULAN'!AH89:AJ89)</f>
        <v>0</v>
      </c>
      <c r="AB48" s="292">
        <f>SUM('PER BULAN'!AK89:AM89)</f>
        <v>0</v>
      </c>
      <c r="AC48" s="292">
        <f>SUM('PER BULAN'!AN89:AP89)</f>
        <v>0</v>
      </c>
      <c r="AD48" s="292">
        <f>SUM('PER BULAN'!AQ89:AS89)</f>
        <v>0</v>
      </c>
      <c r="AE48" s="277" t="s">
        <v>530</v>
      </c>
      <c r="AF48" s="277" t="s">
        <v>576</v>
      </c>
      <c r="AG48" s="277" t="s">
        <v>560</v>
      </c>
      <c r="AH48" s="277" t="s">
        <v>4699</v>
      </c>
      <c r="AI48" s="277" t="s">
        <v>4700</v>
      </c>
      <c r="AJ48" s="494">
        <f t="shared" si="0"/>
        <v>8310000</v>
      </c>
      <c r="AK48" s="291">
        <f t="shared" si="1"/>
        <v>46.166666666666664</v>
      </c>
      <c r="AL48" s="494">
        <f t="shared" si="2"/>
        <v>9690000</v>
      </c>
      <c r="AM48" s="291">
        <f t="shared" si="3"/>
        <v>53.833333333333336</v>
      </c>
      <c r="AN48" s="277" t="str">
        <f t="shared" si="4"/>
        <v>WA.2378.EBA.962.301.C.524111</v>
      </c>
      <c r="AO48" s="277" t="str">
        <f>IF(ISNUMBER(SEARCH("COVID",SP2D[[#This Row],[Akun]])),"COVID","Non COVID")</f>
        <v>Non COVID</v>
      </c>
      <c r="AP4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4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8" s="292">
        <f>SUM('PER BULAN'!BA89)</f>
        <v>0</v>
      </c>
      <c r="AS48" s="292">
        <f>SUM('PER BULAN'!BB89)</f>
        <v>1290000</v>
      </c>
      <c r="AT48" s="292">
        <f>SUM('PER BULAN'!BC89)</f>
        <v>0</v>
      </c>
      <c r="AU48" s="292">
        <f>SUM('PER BULAN'!BD89)</f>
        <v>0</v>
      </c>
      <c r="AV48" s="292">
        <f>SUM('PER BULAN'!BE89)</f>
        <v>3300000</v>
      </c>
      <c r="AW48" s="292">
        <f>SUM('PER BULAN'!BF89)</f>
        <v>3720000</v>
      </c>
      <c r="AX48" s="292">
        <f>SUM('PER BULAN'!BG89)</f>
        <v>0</v>
      </c>
      <c r="AY48" s="292">
        <f>SUM('PER BULAN'!BH89)</f>
        <v>0</v>
      </c>
    </row>
    <row r="49" spans="1:51" s="278" customFormat="1" x14ac:dyDescent="0.3">
      <c r="A49" s="277" t="s">
        <v>4693</v>
      </c>
      <c r="B49" s="277" t="s">
        <v>4694</v>
      </c>
      <c r="C49" s="277" t="s">
        <v>4720</v>
      </c>
      <c r="D49" s="277" t="s">
        <v>4721</v>
      </c>
      <c r="E49" s="277" t="s">
        <v>197</v>
      </c>
      <c r="F49" s="277" t="s">
        <v>4722</v>
      </c>
      <c r="G49" s="277" t="s">
        <v>4737</v>
      </c>
      <c r="H49" s="277" t="s">
        <v>4738</v>
      </c>
      <c r="I49" s="277">
        <v>962</v>
      </c>
      <c r="J49" s="277" t="s">
        <v>4743</v>
      </c>
      <c r="K49" s="277">
        <v>301</v>
      </c>
      <c r="L49" s="277" t="s">
        <v>4742</v>
      </c>
      <c r="M49" s="277" t="s">
        <v>512</v>
      </c>
      <c r="N49" s="277" t="s">
        <v>4744</v>
      </c>
      <c r="O49" s="277" t="s">
        <v>507</v>
      </c>
      <c r="P49" s="277" t="s">
        <v>508</v>
      </c>
      <c r="Q49" s="221" cm="1">
        <f t="array" ref="Q49">SUM(_xlfn._xlws.FILTER(DIPA2[PaguRevisi],DIPA2[Akun]=SP2D[[#This Row],[Kode Akun]],0))</f>
        <v>2250000</v>
      </c>
      <c r="R49" s="416">
        <v>4500000</v>
      </c>
      <c r="S49" s="292">
        <f>SUM('PER BULAN'!J90:L90)</f>
        <v>0</v>
      </c>
      <c r="T49" s="292">
        <f>SUM('PER BULAN'!M90:O90)</f>
        <v>0</v>
      </c>
      <c r="U49" s="292">
        <f>SUM('PER BULAN'!P90:R90)</f>
        <v>600000</v>
      </c>
      <c r="V49" s="292">
        <f>SUM('PER BULAN'!S90:U90)</f>
        <v>0</v>
      </c>
      <c r="W49" s="292">
        <f>SUM('PER BULAN'!V90:X90)</f>
        <v>0</v>
      </c>
      <c r="X49" s="292">
        <f>SUM('PER BULAN'!Y90:AA90)</f>
        <v>0</v>
      </c>
      <c r="Y49" s="292">
        <f>SUM('PER BULAN'!AB90:AD90)</f>
        <v>0</v>
      </c>
      <c r="Z49" s="292">
        <f>SUM('PER BULAN'!AE90:AG90)</f>
        <v>0</v>
      </c>
      <c r="AA49" s="292">
        <f>SUM('PER BULAN'!AH90:AJ90)</f>
        <v>0</v>
      </c>
      <c r="AB49" s="292">
        <f>SUM('PER BULAN'!AK90:AM90)</f>
        <v>0</v>
      </c>
      <c r="AC49" s="292">
        <f>SUM('PER BULAN'!AN90:AP90)</f>
        <v>0</v>
      </c>
      <c r="AD49" s="292">
        <f>SUM('PER BULAN'!AQ90:AS90)</f>
        <v>0</v>
      </c>
      <c r="AE49" s="277" t="s">
        <v>530</v>
      </c>
      <c r="AF49" s="277" t="s">
        <v>576</v>
      </c>
      <c r="AG49" s="277" t="s">
        <v>560</v>
      </c>
      <c r="AH49" s="277" t="s">
        <v>4699</v>
      </c>
      <c r="AI49" s="277" t="s">
        <v>4700</v>
      </c>
      <c r="AJ49" s="494">
        <f t="shared" si="0"/>
        <v>600000</v>
      </c>
      <c r="AK49" s="291">
        <f t="shared" si="1"/>
        <v>26.666666666666668</v>
      </c>
      <c r="AL49" s="494">
        <f t="shared" si="2"/>
        <v>1650000</v>
      </c>
      <c r="AM49" s="291">
        <f t="shared" si="3"/>
        <v>73.333333333333329</v>
      </c>
      <c r="AN49" s="277" t="str">
        <f t="shared" si="4"/>
        <v>WA.2378.EBA.962.301.C.524113</v>
      </c>
      <c r="AO49" s="277" t="str">
        <f>IF(ISNUMBER(SEARCH("COVID",SP2D[[#This Row],[Akun]])),"COVID","Non COVID")</f>
        <v>Non COVID</v>
      </c>
      <c r="AP4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Q4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49" s="292">
        <f>SUM('PER BULAN'!BA90)</f>
        <v>600000</v>
      </c>
      <c r="AS49" s="292">
        <f>SUM('PER BULAN'!BB90)</f>
        <v>0</v>
      </c>
      <c r="AT49" s="292">
        <f>SUM('PER BULAN'!BC90)</f>
        <v>0</v>
      </c>
      <c r="AU49" s="292">
        <f>SUM('PER BULAN'!BD90)</f>
        <v>0</v>
      </c>
      <c r="AV49" s="292">
        <f>SUM('PER BULAN'!BE90)</f>
        <v>0</v>
      </c>
      <c r="AW49" s="292">
        <f>SUM('PER BULAN'!BF90)</f>
        <v>0</v>
      </c>
      <c r="AX49" s="292">
        <f>SUM('PER BULAN'!BG90)</f>
        <v>0</v>
      </c>
      <c r="AY49" s="292">
        <f>SUM('PER BULAN'!BH90)</f>
        <v>0</v>
      </c>
    </row>
    <row r="50" spans="1:51" s="278" customFormat="1" x14ac:dyDescent="0.3">
      <c r="A50" s="277" t="s">
        <v>4693</v>
      </c>
      <c r="B50" s="277" t="s">
        <v>4694</v>
      </c>
      <c r="C50" s="277" t="s">
        <v>4720</v>
      </c>
      <c r="D50" s="277" t="s">
        <v>4721</v>
      </c>
      <c r="E50" s="277" t="s">
        <v>197</v>
      </c>
      <c r="F50" s="277" t="s">
        <v>4722</v>
      </c>
      <c r="G50" s="277" t="s">
        <v>4737</v>
      </c>
      <c r="H50" s="277" t="s">
        <v>4738</v>
      </c>
      <c r="I50" s="277">
        <v>962</v>
      </c>
      <c r="J50" s="277" t="s">
        <v>4743</v>
      </c>
      <c r="K50" s="277">
        <v>301</v>
      </c>
      <c r="L50" s="277" t="s">
        <v>4742</v>
      </c>
      <c r="M50" s="277" t="s">
        <v>514</v>
      </c>
      <c r="N50" s="277" t="s">
        <v>4725</v>
      </c>
      <c r="O50" s="277">
        <v>521211</v>
      </c>
      <c r="P50" s="277" t="s">
        <v>4698</v>
      </c>
      <c r="Q50" s="221" cm="1">
        <f t="array" ref="Q50">SUM(_xlfn._xlws.FILTER(DIPA2[PaguRevisi],DIPA2[Akun]=SP2D[[#This Row],[Kode Akun]],0))</f>
        <v>13500000</v>
      </c>
      <c r="R50" s="416">
        <v>28000000</v>
      </c>
      <c r="S50" s="292">
        <f>SUM('PER BULAN'!J92:L92)</f>
        <v>0</v>
      </c>
      <c r="T50" s="292">
        <f>SUM('PER BULAN'!M92:O92)</f>
        <v>0</v>
      </c>
      <c r="U50" s="292">
        <f>SUM('PER BULAN'!P92:R92)</f>
        <v>5459000</v>
      </c>
      <c r="V50" s="292">
        <f>SUM('PER BULAN'!S92:U92)</f>
        <v>0</v>
      </c>
      <c r="W50" s="292">
        <f>SUM('PER BULAN'!V92:X92)</f>
        <v>0</v>
      </c>
      <c r="X50" s="292">
        <f>SUM('PER BULAN'!Y92:AA92)</f>
        <v>0</v>
      </c>
      <c r="Y50" s="292">
        <f>SUM('PER BULAN'!AB92:AD92)</f>
        <v>0</v>
      </c>
      <c r="Z50" s="292">
        <f>SUM('PER BULAN'!AE92:AG92)</f>
        <v>0</v>
      </c>
      <c r="AA50" s="292">
        <f>SUM('PER BULAN'!AH92:AJ92)</f>
        <v>0</v>
      </c>
      <c r="AB50" s="292">
        <f>SUM('PER BULAN'!AK92:AM92)</f>
        <v>0</v>
      </c>
      <c r="AC50" s="292">
        <f>SUM('PER BULAN'!AN92:AP92)</f>
        <v>0</v>
      </c>
      <c r="AD50" s="292">
        <f>SUM('PER BULAN'!AQ92:AS92)</f>
        <v>0</v>
      </c>
      <c r="AE50" s="277" t="s">
        <v>530</v>
      </c>
      <c r="AF50" s="277" t="s">
        <v>576</v>
      </c>
      <c r="AG50" s="277" t="s">
        <v>560</v>
      </c>
      <c r="AH50" s="277" t="s">
        <v>4699</v>
      </c>
      <c r="AI50" s="277" t="s">
        <v>4700</v>
      </c>
      <c r="AJ50" s="494">
        <f t="shared" si="0"/>
        <v>5459000</v>
      </c>
      <c r="AK50" s="291">
        <f t="shared" si="1"/>
        <v>40.437037037037037</v>
      </c>
      <c r="AL50" s="494">
        <f t="shared" si="2"/>
        <v>8041000</v>
      </c>
      <c r="AM50" s="291">
        <f t="shared" si="3"/>
        <v>59.562962962962963</v>
      </c>
      <c r="AN50" s="277" t="str">
        <f t="shared" si="4"/>
        <v>WA.2378.EBA.962.301.D.521211</v>
      </c>
      <c r="AO50" s="277" t="str">
        <f>IF(ISNUMBER(SEARCH("COVID",SP2D[[#This Row],[Akun]])),"COVID","Non COVID")</f>
        <v>Non COVID</v>
      </c>
      <c r="AP5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5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0" s="292">
        <f>SUM('PER BULAN'!BA92)</f>
        <v>0</v>
      </c>
      <c r="AS50" s="292">
        <f>SUM('PER BULAN'!BB92)</f>
        <v>5459000</v>
      </c>
      <c r="AT50" s="292">
        <f>SUM('PER BULAN'!BC92)</f>
        <v>0</v>
      </c>
      <c r="AU50" s="292">
        <f>SUM('PER BULAN'!BD92)</f>
        <v>0</v>
      </c>
      <c r="AV50" s="292">
        <f>SUM('PER BULAN'!BE92)</f>
        <v>0</v>
      </c>
      <c r="AW50" s="292">
        <f>SUM('PER BULAN'!BF92)</f>
        <v>0</v>
      </c>
      <c r="AX50" s="292">
        <f>SUM('PER BULAN'!BG92)</f>
        <v>0</v>
      </c>
      <c r="AY50" s="292">
        <f>SUM('PER BULAN'!BH92)</f>
        <v>0</v>
      </c>
    </row>
    <row r="51" spans="1:51" s="278" customFormat="1" x14ac:dyDescent="0.3">
      <c r="A51" s="277" t="s">
        <v>4693</v>
      </c>
      <c r="B51" s="277" t="s">
        <v>4694</v>
      </c>
      <c r="C51" s="277" t="s">
        <v>4720</v>
      </c>
      <c r="D51" s="277" t="s">
        <v>4721</v>
      </c>
      <c r="E51" s="277" t="s">
        <v>197</v>
      </c>
      <c r="F51" s="277" t="s">
        <v>4722</v>
      </c>
      <c r="G51" s="277" t="s">
        <v>4737</v>
      </c>
      <c r="H51" s="277" t="s">
        <v>4738</v>
      </c>
      <c r="I51" s="277">
        <v>962</v>
      </c>
      <c r="J51" s="277" t="s">
        <v>4743</v>
      </c>
      <c r="K51" s="277">
        <v>301</v>
      </c>
      <c r="L51" s="277" t="s">
        <v>4742</v>
      </c>
      <c r="M51" s="277" t="s">
        <v>514</v>
      </c>
      <c r="N51" s="277" t="s">
        <v>4725</v>
      </c>
      <c r="O51" s="277" t="s">
        <v>513</v>
      </c>
      <c r="P51" s="277" t="s">
        <v>4702</v>
      </c>
      <c r="Q51" s="221" cm="1">
        <f t="array" ref="Q51">SUM(_xlfn._xlws.FILTER(DIPA2[PaguRevisi],DIPA2[Akun]=SP2D[[#This Row],[Kode Akun]],0))</f>
        <v>47693000</v>
      </c>
      <c r="R51" s="416">
        <v>71250000</v>
      </c>
      <c r="S51" s="292">
        <f>SUM('PER BULAN'!J93:L93)</f>
        <v>0</v>
      </c>
      <c r="T51" s="292">
        <f>SUM('PER BULAN'!M93:O93)</f>
        <v>0</v>
      </c>
      <c r="U51" s="292">
        <f>SUM('PER BULAN'!P93:R93)</f>
        <v>8227400</v>
      </c>
      <c r="V51" s="292">
        <f>SUM('PER BULAN'!S93:U93)</f>
        <v>15762838</v>
      </c>
      <c r="W51" s="292">
        <f>SUM('PER BULAN'!V93:X93)</f>
        <v>3691500</v>
      </c>
      <c r="X51" s="292">
        <f>SUM('PER BULAN'!Y93:AA93)</f>
        <v>0</v>
      </c>
      <c r="Y51" s="292">
        <f>SUM('PER BULAN'!AB93:AD93)</f>
        <v>0</v>
      </c>
      <c r="Z51" s="292">
        <f>SUM('PER BULAN'!AE93:AG93)</f>
        <v>0</v>
      </c>
      <c r="AA51" s="292">
        <f>SUM('PER BULAN'!AH93:AJ93)</f>
        <v>0</v>
      </c>
      <c r="AB51" s="292">
        <f>SUM('PER BULAN'!AK93:AM93)</f>
        <v>0</v>
      </c>
      <c r="AC51" s="292">
        <f>SUM('PER BULAN'!AN93:AP93)</f>
        <v>0</v>
      </c>
      <c r="AD51" s="292">
        <f>SUM('PER BULAN'!AQ93:AS93)</f>
        <v>0</v>
      </c>
      <c r="AE51" s="277" t="s">
        <v>530</v>
      </c>
      <c r="AF51" s="277" t="s">
        <v>576</v>
      </c>
      <c r="AG51" s="277" t="s">
        <v>560</v>
      </c>
      <c r="AH51" s="277" t="s">
        <v>4699</v>
      </c>
      <c r="AI51" s="277" t="s">
        <v>4700</v>
      </c>
      <c r="AJ51" s="494">
        <f t="shared" si="0"/>
        <v>27681738</v>
      </c>
      <c r="AK51" s="291">
        <f t="shared" si="1"/>
        <v>58.041511332900008</v>
      </c>
      <c r="AL51" s="494">
        <f t="shared" si="2"/>
        <v>20011262</v>
      </c>
      <c r="AM51" s="291">
        <f t="shared" si="3"/>
        <v>41.958488667099992</v>
      </c>
      <c r="AN51" s="277" t="str">
        <f t="shared" si="4"/>
        <v>WA.2378.EBA.962.301.D.524111</v>
      </c>
      <c r="AO51" s="277" t="str">
        <f>IF(ISNUMBER(SEARCH("COVID",SP2D[[#This Row],[Akun]])),"COVID","Non COVID")</f>
        <v>Non COVID</v>
      </c>
      <c r="AP5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5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1" s="292">
        <f>SUM('PER BULAN'!BA93)</f>
        <v>4907400</v>
      </c>
      <c r="AS51" s="292">
        <f>SUM('PER BULAN'!BB93)</f>
        <v>3320000</v>
      </c>
      <c r="AT51" s="292">
        <f>SUM('PER BULAN'!BC93)</f>
        <v>0</v>
      </c>
      <c r="AU51" s="292">
        <f>SUM('PER BULAN'!BD93)</f>
        <v>1410000</v>
      </c>
      <c r="AV51" s="292">
        <f>SUM('PER BULAN'!BE93)</f>
        <v>0</v>
      </c>
      <c r="AW51" s="292">
        <f>SUM('PER BULAN'!BF93)</f>
        <v>0</v>
      </c>
      <c r="AX51" s="292">
        <f>SUM('PER BULAN'!BG93)</f>
        <v>3691500</v>
      </c>
      <c r="AY51" s="292">
        <f>SUM('PER BULAN'!BH93)</f>
        <v>0</v>
      </c>
    </row>
    <row r="52" spans="1:51" s="278" customFormat="1" x14ac:dyDescent="0.3">
      <c r="A52" s="277" t="s">
        <v>4693</v>
      </c>
      <c r="B52" s="277" t="s">
        <v>4694</v>
      </c>
      <c r="C52" s="277" t="s">
        <v>4720</v>
      </c>
      <c r="D52" s="277" t="s">
        <v>4721</v>
      </c>
      <c r="E52" s="277" t="s">
        <v>197</v>
      </c>
      <c r="F52" s="277" t="s">
        <v>4722</v>
      </c>
      <c r="G52" s="277" t="s">
        <v>4737</v>
      </c>
      <c r="H52" s="277" t="s">
        <v>4738</v>
      </c>
      <c r="I52" s="277">
        <v>962</v>
      </c>
      <c r="J52" s="277" t="s">
        <v>4743</v>
      </c>
      <c r="K52" s="277">
        <v>301</v>
      </c>
      <c r="L52" s="277" t="s">
        <v>4742</v>
      </c>
      <c r="M52" s="277" t="s">
        <v>514</v>
      </c>
      <c r="N52" s="277" t="s">
        <v>4725</v>
      </c>
      <c r="O52" s="277" t="s">
        <v>507</v>
      </c>
      <c r="P52" s="277" t="s">
        <v>508</v>
      </c>
      <c r="Q52" s="221" cm="1">
        <f t="array" ref="Q52">SUM(_xlfn._xlws.FILTER(DIPA2[PaguRevisi],DIPA2[Akun]=SP2D[[#This Row],[Kode Akun]],0))</f>
        <v>0</v>
      </c>
      <c r="R52" s="416">
        <v>1800000</v>
      </c>
      <c r="S52" s="292">
        <f>SUM('PER BULAN'!J94:L94)</f>
        <v>0</v>
      </c>
      <c r="T52" s="292">
        <f>SUM('PER BULAN'!M94:O94)</f>
        <v>0</v>
      </c>
      <c r="U52" s="292">
        <f>SUM('PER BULAN'!P94:R94)</f>
        <v>0</v>
      </c>
      <c r="V52" s="292">
        <f>SUM('PER BULAN'!S94:U94)</f>
        <v>0</v>
      </c>
      <c r="W52" s="292">
        <f>SUM('PER BULAN'!V94:X94)</f>
        <v>0</v>
      </c>
      <c r="X52" s="292">
        <f>SUM('PER BULAN'!Y94:AA94)</f>
        <v>0</v>
      </c>
      <c r="Y52" s="292">
        <f>SUM('PER BULAN'!AB94:AD94)</f>
        <v>0</v>
      </c>
      <c r="Z52" s="292">
        <f>SUM('PER BULAN'!AE94:AG94)</f>
        <v>0</v>
      </c>
      <c r="AA52" s="292">
        <f>SUM('PER BULAN'!AH94:AJ94)</f>
        <v>0</v>
      </c>
      <c r="AB52" s="292">
        <f>SUM('PER BULAN'!AK94:AM94)</f>
        <v>0</v>
      </c>
      <c r="AC52" s="292">
        <f>SUM('PER BULAN'!AN94:AP94)</f>
        <v>0</v>
      </c>
      <c r="AD52" s="292">
        <f>SUM('PER BULAN'!AQ94:AS94)</f>
        <v>0</v>
      </c>
      <c r="AE52" s="277" t="s">
        <v>530</v>
      </c>
      <c r="AF52" s="277" t="s">
        <v>576</v>
      </c>
      <c r="AG52" s="277" t="s">
        <v>560</v>
      </c>
      <c r="AH52" s="277" t="s">
        <v>4699</v>
      </c>
      <c r="AI52" s="277" t="s">
        <v>4700</v>
      </c>
      <c r="AJ52" s="494">
        <f t="shared" si="0"/>
        <v>0</v>
      </c>
      <c r="AK52" s="291">
        <f t="shared" si="1"/>
        <v>0</v>
      </c>
      <c r="AL52" s="494">
        <f t="shared" si="2"/>
        <v>0</v>
      </c>
      <c r="AM52" s="291">
        <f t="shared" si="3"/>
        <v>0</v>
      </c>
      <c r="AN52" s="277" t="str">
        <f t="shared" si="4"/>
        <v>WA.2378.EBA.962.301.D.524113</v>
      </c>
      <c r="AO52" s="277" t="str">
        <f>IF(ISNUMBER(SEARCH("COVID",SP2D[[#This Row],[Akun]])),"COVID","Non COVID")</f>
        <v>Non COVID</v>
      </c>
      <c r="AP5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Q5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2" s="292">
        <f>SUM('PER BULAN'!BA94)</f>
        <v>0</v>
      </c>
      <c r="AS52" s="292">
        <f>SUM('PER BULAN'!BB94)</f>
        <v>0</v>
      </c>
      <c r="AT52" s="292">
        <f>SUM('PER BULAN'!BC94)</f>
        <v>0</v>
      </c>
      <c r="AU52" s="292">
        <f>SUM('PER BULAN'!BD94)</f>
        <v>0</v>
      </c>
      <c r="AV52" s="292">
        <f>SUM('PER BULAN'!BE94)</f>
        <v>0</v>
      </c>
      <c r="AW52" s="292">
        <f>SUM('PER BULAN'!BF94)</f>
        <v>0</v>
      </c>
      <c r="AX52" s="292">
        <f>SUM('PER BULAN'!BG94)</f>
        <v>0</v>
      </c>
      <c r="AY52" s="292">
        <f>SUM('PER BULAN'!BH94)</f>
        <v>0</v>
      </c>
    </row>
    <row r="53" spans="1:51" s="278" customFormat="1" x14ac:dyDescent="0.3">
      <c r="A53" s="277" t="s">
        <v>4693</v>
      </c>
      <c r="B53" s="277" t="s">
        <v>4694</v>
      </c>
      <c r="C53" s="277" t="s">
        <v>4720</v>
      </c>
      <c r="D53" s="277" t="s">
        <v>4721</v>
      </c>
      <c r="E53" s="277" t="s">
        <v>197</v>
      </c>
      <c r="F53" s="277" t="s">
        <v>4722</v>
      </c>
      <c r="G53" s="277" t="s">
        <v>4737</v>
      </c>
      <c r="H53" s="277" t="s">
        <v>4738</v>
      </c>
      <c r="I53" s="277">
        <v>962</v>
      </c>
      <c r="J53" s="277" t="s">
        <v>4743</v>
      </c>
      <c r="K53" s="277">
        <v>301</v>
      </c>
      <c r="L53" s="277" t="s">
        <v>4742</v>
      </c>
      <c r="M53" s="277" t="s">
        <v>519</v>
      </c>
      <c r="N53" s="277" t="s">
        <v>4745</v>
      </c>
      <c r="O53" s="277">
        <v>521211</v>
      </c>
      <c r="P53" s="277" t="s">
        <v>4698</v>
      </c>
      <c r="Q53" s="221" cm="1">
        <f t="array" ref="Q53">SUM(_xlfn._xlws.FILTER(DIPA2[PaguRevisi],DIPA2[Akun]=SP2D[[#This Row],[Kode Akun]],0))</f>
        <v>38100000</v>
      </c>
      <c r="R53" s="416">
        <v>57600000</v>
      </c>
      <c r="S53" s="292">
        <f>SUM('PER BULAN'!J87:L87)</f>
        <v>0</v>
      </c>
      <c r="T53" s="292">
        <f>SUM('PER BULAN'!M87:O87)</f>
        <v>0</v>
      </c>
      <c r="U53" s="292">
        <f>SUM('PER BULAN'!P96:R96)</f>
        <v>31495000</v>
      </c>
      <c r="V53" s="292">
        <f>SUM('PER BULAN'!S96:U96)</f>
        <v>0</v>
      </c>
      <c r="W53" s="292">
        <f>SUM('PER BULAN'!V96:X96)</f>
        <v>6600000</v>
      </c>
      <c r="X53" s="292">
        <f>SUM('PER BULAN'!Y96:AA96)</f>
        <v>0</v>
      </c>
      <c r="Y53" s="292">
        <f>SUM('PER BULAN'!AB96:AD96)</f>
        <v>0</v>
      </c>
      <c r="Z53" s="292">
        <f>SUM('PER BULAN'!AE96:AG96)</f>
        <v>0</v>
      </c>
      <c r="AA53" s="292">
        <f>SUM('PER BULAN'!AH96:AJ96)</f>
        <v>0</v>
      </c>
      <c r="AB53" s="292">
        <f>SUM('PER BULAN'!AK96:AM96)</f>
        <v>0</v>
      </c>
      <c r="AC53" s="292">
        <f>SUM('PER BULAN'!AN96:AP96)</f>
        <v>0</v>
      </c>
      <c r="AD53" s="292">
        <f>SUM('PER BULAN'!AQ96:AS96)</f>
        <v>0</v>
      </c>
      <c r="AE53" s="277" t="s">
        <v>530</v>
      </c>
      <c r="AF53" s="277" t="s">
        <v>576</v>
      </c>
      <c r="AG53" s="277" t="s">
        <v>560</v>
      </c>
      <c r="AH53" s="277" t="s">
        <v>4699</v>
      </c>
      <c r="AI53" s="277" t="s">
        <v>4700</v>
      </c>
      <c r="AJ53" s="494">
        <f t="shared" si="0"/>
        <v>38095000</v>
      </c>
      <c r="AK53" s="291">
        <f t="shared" si="1"/>
        <v>99.98687664041995</v>
      </c>
      <c r="AL53" s="494">
        <f t="shared" si="2"/>
        <v>5000</v>
      </c>
      <c r="AM53" s="291">
        <f t="shared" si="3"/>
        <v>1.3123359580052493E-2</v>
      </c>
      <c r="AN53" s="277" t="str">
        <f t="shared" si="4"/>
        <v>WA.2378.EBA.962.301.E.521211</v>
      </c>
      <c r="AO53" s="277" t="str">
        <f>IF(ISNUMBER(SEARCH("COVID",SP2D[[#This Row],[Akun]])),"COVID","Non COVID")</f>
        <v>Non COVID</v>
      </c>
      <c r="AP5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5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3" s="292">
        <f>SUM('PER BULAN'!BA96)</f>
        <v>0</v>
      </c>
      <c r="AS53" s="292">
        <f>SUM('PER BULAN'!BB96)</f>
        <v>31495000</v>
      </c>
      <c r="AT53" s="292">
        <f>SUM('PER BULAN'!BC96)</f>
        <v>0</v>
      </c>
      <c r="AU53" s="292">
        <f>SUM('PER BULAN'!BD96)</f>
        <v>0</v>
      </c>
      <c r="AV53" s="292">
        <f>SUM('PER BULAN'!BE96)</f>
        <v>0</v>
      </c>
      <c r="AW53" s="292">
        <f>SUM('PER BULAN'!BF96)</f>
        <v>0</v>
      </c>
      <c r="AX53" s="292">
        <f>SUM('PER BULAN'!BG96)</f>
        <v>6600000</v>
      </c>
      <c r="AY53" s="292">
        <f>SUM('PER BULAN'!BH96)</f>
        <v>0</v>
      </c>
    </row>
    <row r="54" spans="1:51" s="278" customFormat="1" x14ac:dyDescent="0.3">
      <c r="A54" s="277" t="s">
        <v>4693</v>
      </c>
      <c r="B54" s="277" t="s">
        <v>4694</v>
      </c>
      <c r="C54" s="277" t="s">
        <v>4720</v>
      </c>
      <c r="D54" s="277" t="s">
        <v>4721</v>
      </c>
      <c r="E54" s="277" t="s">
        <v>197</v>
      </c>
      <c r="F54" s="277" t="s">
        <v>4722</v>
      </c>
      <c r="G54" s="277" t="s">
        <v>4737</v>
      </c>
      <c r="H54" s="277" t="s">
        <v>4738</v>
      </c>
      <c r="I54" s="277">
        <v>962</v>
      </c>
      <c r="J54" s="277" t="s">
        <v>4743</v>
      </c>
      <c r="K54" s="277">
        <v>301</v>
      </c>
      <c r="L54" s="277" t="s">
        <v>4742</v>
      </c>
      <c r="M54" s="277" t="s">
        <v>519</v>
      </c>
      <c r="N54" s="277" t="s">
        <v>4745</v>
      </c>
      <c r="O54" s="277">
        <v>521241</v>
      </c>
      <c r="P54" s="277" t="s">
        <v>4746</v>
      </c>
      <c r="Q54" s="221" cm="1">
        <f t="array" ref="Q54">SUM(_xlfn._xlws.FILTER(DIPA2[PaguRevisi],DIPA2[Akun]=SP2D[[#This Row],[Kode Akun]],0))</f>
        <v>82534000</v>
      </c>
      <c r="R54" s="416">
        <v>226200000</v>
      </c>
      <c r="S54" s="292">
        <f>SUM('PER BULAN'!J97:L97)</f>
        <v>0</v>
      </c>
      <c r="T54" s="292">
        <f>SUM('PER BULAN'!M97:O97)</f>
        <v>0</v>
      </c>
      <c r="U54" s="292">
        <f>SUM('PER BULAN'!P97:R97)</f>
        <v>47132450</v>
      </c>
      <c r="V54" s="292">
        <f>SUM('PER BULAN'!S97:U97)</f>
        <v>0</v>
      </c>
      <c r="W54" s="292">
        <f>SUM('PER BULAN'!V97:X97)</f>
        <v>20031830</v>
      </c>
      <c r="X54" s="292">
        <f>SUM('PER BULAN'!Y97:AA97)</f>
        <v>0</v>
      </c>
      <c r="Y54" s="292">
        <f>SUM('PER BULAN'!AB97:AD97)</f>
        <v>0</v>
      </c>
      <c r="Z54" s="292">
        <f>SUM('PER BULAN'!AE97:AG97)</f>
        <v>0</v>
      </c>
      <c r="AA54" s="292">
        <f>SUM('PER BULAN'!AH97:AJ97)</f>
        <v>0</v>
      </c>
      <c r="AB54" s="292">
        <f>SUM('PER BULAN'!AK97:AM97)</f>
        <v>0</v>
      </c>
      <c r="AC54" s="292">
        <f>SUM('PER BULAN'!AN97:AP97)</f>
        <v>0</v>
      </c>
      <c r="AD54" s="292">
        <f>SUM('PER BULAN'!AQ97:AS97)</f>
        <v>0</v>
      </c>
      <c r="AE54" s="277" t="s">
        <v>530</v>
      </c>
      <c r="AF54" s="277" t="s">
        <v>576</v>
      </c>
      <c r="AG54" s="277" t="s">
        <v>560</v>
      </c>
      <c r="AH54" s="277" t="s">
        <v>4699</v>
      </c>
      <c r="AI54" s="277" t="s">
        <v>4700</v>
      </c>
      <c r="AJ54" s="494">
        <f t="shared" si="0"/>
        <v>67164280</v>
      </c>
      <c r="AK54" s="291">
        <f t="shared" si="1"/>
        <v>81.377711003949884</v>
      </c>
      <c r="AL54" s="494">
        <f t="shared" si="2"/>
        <v>15369720</v>
      </c>
      <c r="AM54" s="291">
        <f t="shared" si="3"/>
        <v>18.622288996050113</v>
      </c>
      <c r="AN54" s="277" t="str">
        <f t="shared" si="4"/>
        <v>WA.2378.EBA.962.301.E.521241</v>
      </c>
      <c r="AO54" s="277" t="str">
        <f>IF(ISNUMBER(SEARCH("COVID",SP2D[[#This Row],[Akun]])),"COVID","Non COVID")</f>
        <v>COVID</v>
      </c>
      <c r="AP5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5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4" s="292">
        <f>SUM('PER BULAN'!BA97)</f>
        <v>0</v>
      </c>
      <c r="AS54" s="292">
        <f>SUM('PER BULAN'!BB97)</f>
        <v>35332450</v>
      </c>
      <c r="AT54" s="292">
        <f>SUM('PER BULAN'!BC97)</f>
        <v>11800000</v>
      </c>
      <c r="AU54" s="292">
        <f>SUM('PER BULAN'!BD97)</f>
        <v>0</v>
      </c>
      <c r="AV54" s="292">
        <f>SUM('PER BULAN'!BE97)</f>
        <v>0</v>
      </c>
      <c r="AW54" s="292">
        <f>SUM('PER BULAN'!BF97)</f>
        <v>0</v>
      </c>
      <c r="AX54" s="292">
        <f>SUM('PER BULAN'!BG97)</f>
        <v>20031830</v>
      </c>
      <c r="AY54" s="292">
        <f>SUM('PER BULAN'!BH97)</f>
        <v>0</v>
      </c>
    </row>
    <row r="55" spans="1:51" s="278" customFormat="1" x14ac:dyDescent="0.3">
      <c r="A55" s="277" t="s">
        <v>4693</v>
      </c>
      <c r="B55" s="277" t="s">
        <v>4694</v>
      </c>
      <c r="C55" s="277" t="s">
        <v>4720</v>
      </c>
      <c r="D55" s="277" t="s">
        <v>4721</v>
      </c>
      <c r="E55" s="277" t="s">
        <v>197</v>
      </c>
      <c r="F55" s="277" t="s">
        <v>4722</v>
      </c>
      <c r="G55" s="277" t="s">
        <v>4737</v>
      </c>
      <c r="H55" s="277" t="s">
        <v>4738</v>
      </c>
      <c r="I55" s="277">
        <v>962</v>
      </c>
      <c r="J55" s="277" t="s">
        <v>4743</v>
      </c>
      <c r="K55" s="277">
        <v>301</v>
      </c>
      <c r="L55" s="277" t="s">
        <v>4742</v>
      </c>
      <c r="M55" s="277" t="s">
        <v>519</v>
      </c>
      <c r="N55" s="277" t="s">
        <v>4745</v>
      </c>
      <c r="O55" s="277">
        <v>522191</v>
      </c>
      <c r="P55" s="277" t="s">
        <v>4791</v>
      </c>
      <c r="Q55" s="221" cm="1">
        <f t="array" ref="Q55">SUM(_xlfn._xlws.FILTER(DIPA2[PaguRevisi],DIPA2[Akun]=SP2D[[#This Row],[Kode Akun]],0))</f>
        <v>1606000</v>
      </c>
      <c r="R55" s="416">
        <v>35000000</v>
      </c>
      <c r="S55" s="292">
        <f>SUM('PER BULAN'!J98:L98)</f>
        <v>0</v>
      </c>
      <c r="T55" s="292">
        <f>SUM('PER BULAN'!M98:O98)</f>
        <v>0</v>
      </c>
      <c r="U55" s="292">
        <f>SUM('PER BULAN'!P98:R98)</f>
        <v>0</v>
      </c>
      <c r="V55" s="292">
        <f>SUM('PER BULAN'!S98:U98)</f>
        <v>0</v>
      </c>
      <c r="W55" s="292">
        <f>SUM('PER BULAN'!V98:X98)</f>
        <v>0</v>
      </c>
      <c r="X55" s="292">
        <f>SUM('PER BULAN'!Y98:AA98)</f>
        <v>0</v>
      </c>
      <c r="Y55" s="292">
        <f>SUM('PER BULAN'!AB98:AD98)</f>
        <v>0</v>
      </c>
      <c r="Z55" s="292">
        <f>SUM('PER BULAN'!AE98:AG98)</f>
        <v>0</v>
      </c>
      <c r="AA55" s="292">
        <f>SUM('PER BULAN'!AH98:AJ98)</f>
        <v>0</v>
      </c>
      <c r="AB55" s="292">
        <f>SUM('PER BULAN'!AK98:AM98)</f>
        <v>0</v>
      </c>
      <c r="AC55" s="292">
        <f>SUM('PER BULAN'!AN98:AP98)</f>
        <v>0</v>
      </c>
      <c r="AD55" s="292">
        <f>SUM('PER BULAN'!AQ98:AS98)</f>
        <v>0</v>
      </c>
      <c r="AE55" s="277" t="s">
        <v>530</v>
      </c>
      <c r="AF55" s="277" t="s">
        <v>576</v>
      </c>
      <c r="AG55" s="277" t="s">
        <v>560</v>
      </c>
      <c r="AH55" s="277">
        <v>52</v>
      </c>
      <c r="AI55" s="277" t="s">
        <v>4700</v>
      </c>
      <c r="AJ55" s="494">
        <f t="shared" ref="AJ55" si="5">SUM(S55:AD55)</f>
        <v>0</v>
      </c>
      <c r="AK55" s="291">
        <f t="shared" si="1"/>
        <v>0</v>
      </c>
      <c r="AL55" s="494">
        <f t="shared" ref="AL55" si="6">Q55-AJ55</f>
        <v>1606000</v>
      </c>
      <c r="AM55" s="291">
        <f t="shared" si="3"/>
        <v>100</v>
      </c>
      <c r="AN55" s="277" t="str">
        <f t="shared" si="4"/>
        <v>WA.2378.EBA.962.301.E.522191</v>
      </c>
      <c r="AO55" s="277" t="str">
        <f>IF(ISNUMBER(SEARCH("COVID",SP2D[[#This Row],[Akun]])),"COVID","Non COVID")</f>
        <v>Non COVID</v>
      </c>
      <c r="AP5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5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5" s="292"/>
      <c r="AS55" s="292"/>
      <c r="AT55" s="292"/>
      <c r="AU55" s="292"/>
      <c r="AV55" s="292"/>
      <c r="AW55" s="292"/>
      <c r="AX55" s="292"/>
      <c r="AY55" s="292"/>
    </row>
    <row r="56" spans="1:51" s="278" customFormat="1" x14ac:dyDescent="0.3">
      <c r="A56" s="277" t="s">
        <v>4693</v>
      </c>
      <c r="B56" s="277" t="s">
        <v>4694</v>
      </c>
      <c r="C56" s="277" t="s">
        <v>4720</v>
      </c>
      <c r="D56" s="277" t="s">
        <v>4721</v>
      </c>
      <c r="E56" s="277" t="s">
        <v>197</v>
      </c>
      <c r="F56" s="277" t="s">
        <v>4722</v>
      </c>
      <c r="G56" s="277" t="s">
        <v>4737</v>
      </c>
      <c r="H56" s="277" t="s">
        <v>4738</v>
      </c>
      <c r="I56" s="277">
        <v>962</v>
      </c>
      <c r="J56" s="277" t="s">
        <v>4743</v>
      </c>
      <c r="K56" s="277">
        <v>301</v>
      </c>
      <c r="L56" s="277" t="s">
        <v>4742</v>
      </c>
      <c r="M56" s="277" t="s">
        <v>519</v>
      </c>
      <c r="N56" s="277" t="s">
        <v>4745</v>
      </c>
      <c r="O56" s="277" t="s">
        <v>518</v>
      </c>
      <c r="P56" s="277" t="s">
        <v>4703</v>
      </c>
      <c r="Q56" s="221" cm="1">
        <f t="array" ref="Q56">SUM(_xlfn._xlws.FILTER(DIPA2[PaguRevisi],DIPA2[Akun]=SP2D[[#This Row],[Kode Akun]],0))</f>
        <v>4246000</v>
      </c>
      <c r="R56" s="416">
        <v>48000000</v>
      </c>
      <c r="S56" s="292">
        <f>SUM('PER BULAN'!J99:L99)</f>
        <v>0</v>
      </c>
      <c r="T56" s="292">
        <f>SUM('PER BULAN'!M89:O89)</f>
        <v>0</v>
      </c>
      <c r="U56" s="292">
        <f>SUM('PER BULAN'!P99:R99)</f>
        <v>802000</v>
      </c>
      <c r="V56" s="292">
        <f>SUM('PER BULAN'!S99:U99)</f>
        <v>3229000</v>
      </c>
      <c r="W56" s="292">
        <f>SUM('PER BULAN'!V99:X99)</f>
        <v>215000</v>
      </c>
      <c r="X56" s="292">
        <f>SUM('PER BULAN'!Y99:AA99)</f>
        <v>0</v>
      </c>
      <c r="Y56" s="292">
        <f>SUM('PER BULAN'!AB99:AD99)</f>
        <v>0</v>
      </c>
      <c r="Z56" s="292">
        <f>SUM('PER BULAN'!AE99:AG99)</f>
        <v>0</v>
      </c>
      <c r="AA56" s="292">
        <f>SUM('PER BULAN'!AH99:AJ99)</f>
        <v>0</v>
      </c>
      <c r="AB56" s="292">
        <f>SUM('PER BULAN'!AK99:AM99)</f>
        <v>0</v>
      </c>
      <c r="AC56" s="292">
        <f>SUM('PER BULAN'!AN99:AP99)</f>
        <v>0</v>
      </c>
      <c r="AD56" s="292">
        <f>SUM('PER BULAN'!AQ99:AS99)</f>
        <v>0</v>
      </c>
      <c r="AE56" s="277" t="s">
        <v>530</v>
      </c>
      <c r="AF56" s="277" t="s">
        <v>576</v>
      </c>
      <c r="AG56" s="277" t="s">
        <v>560</v>
      </c>
      <c r="AH56" s="277" t="s">
        <v>4699</v>
      </c>
      <c r="AI56" s="277" t="s">
        <v>4700</v>
      </c>
      <c r="AJ56" s="494">
        <f t="shared" si="0"/>
        <v>4246000</v>
      </c>
      <c r="AK56" s="291">
        <f t="shared" si="1"/>
        <v>100</v>
      </c>
      <c r="AL56" s="494">
        <f t="shared" si="2"/>
        <v>0</v>
      </c>
      <c r="AM56" s="291">
        <f t="shared" si="3"/>
        <v>0</v>
      </c>
      <c r="AN56" s="277" t="str">
        <f t="shared" si="4"/>
        <v>WA.2378.EBA.962.301.E.522192</v>
      </c>
      <c r="AO56" s="277" t="str">
        <f>IF(ISNUMBER(SEARCH("COVID",SP2D[[#This Row],[Akun]])),"COVID","Non COVID")</f>
        <v>COVID</v>
      </c>
      <c r="AP5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5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6" s="292">
        <f>SUM('PER BULAN'!BA99)</f>
        <v>0</v>
      </c>
      <c r="AS56" s="292">
        <f>SUM('PER BULAN'!BB99)</f>
        <v>802000</v>
      </c>
      <c r="AT56" s="292">
        <f>SUM('PER BULAN'!BC99)</f>
        <v>0</v>
      </c>
      <c r="AU56" s="292">
        <f>SUM('PER BULAN'!BD99)</f>
        <v>3229000</v>
      </c>
      <c r="AV56" s="292">
        <f>SUM('PER BULAN'!BE99)</f>
        <v>0</v>
      </c>
      <c r="AW56" s="292">
        <f>SUM('PER BULAN'!BF99)</f>
        <v>0</v>
      </c>
      <c r="AX56" s="292">
        <f>SUM('PER BULAN'!BG99)</f>
        <v>215000</v>
      </c>
      <c r="AY56" s="292">
        <f>SUM('PER BULAN'!BH99)</f>
        <v>0</v>
      </c>
    </row>
    <row r="57" spans="1:51" s="278" customFormat="1" x14ac:dyDescent="0.3">
      <c r="A57" s="277" t="s">
        <v>4693</v>
      </c>
      <c r="B57" s="277" t="s">
        <v>4694</v>
      </c>
      <c r="C57" s="277" t="s">
        <v>4720</v>
      </c>
      <c r="D57" s="277" t="s">
        <v>4721</v>
      </c>
      <c r="E57" s="277" t="s">
        <v>197</v>
      </c>
      <c r="F57" s="277" t="s">
        <v>4722</v>
      </c>
      <c r="G57" s="277" t="s">
        <v>4737</v>
      </c>
      <c r="H57" s="277" t="s">
        <v>4738</v>
      </c>
      <c r="I57" s="277">
        <v>962</v>
      </c>
      <c r="J57" s="277" t="s">
        <v>4743</v>
      </c>
      <c r="K57" s="277">
        <v>301</v>
      </c>
      <c r="L57" s="277" t="s">
        <v>4742</v>
      </c>
      <c r="M57" s="277" t="s">
        <v>519</v>
      </c>
      <c r="N57" s="277" t="s">
        <v>4745</v>
      </c>
      <c r="O57" s="277" t="s">
        <v>513</v>
      </c>
      <c r="P57" s="277" t="s">
        <v>4702</v>
      </c>
      <c r="Q57" s="221" cm="1">
        <f t="array" ref="Q57">SUM(_xlfn._xlws.FILTER(DIPA2[PaguRevisi],DIPA2[Akun]=SP2D[[#This Row],[Kode Akun]],0))</f>
        <v>21851000</v>
      </c>
      <c r="R57" s="416">
        <v>42772000</v>
      </c>
      <c r="S57" s="292">
        <f>SUM('PER BULAN'!J101:L101)</f>
        <v>0</v>
      </c>
      <c r="T57" s="292">
        <f>SUM('PER BULAN'!M100:O100)</f>
        <v>0</v>
      </c>
      <c r="U57" s="292">
        <f>SUM('PER BULAN'!P100:R100)</f>
        <v>8250000</v>
      </c>
      <c r="V57" s="292">
        <f>SUM('PER BULAN'!S100:U100)</f>
        <v>3712700</v>
      </c>
      <c r="W57" s="292">
        <f>SUM('PER BULAN'!V100:X100)</f>
        <v>9888000</v>
      </c>
      <c r="X57" s="292">
        <f>SUM('PER BULAN'!Y100:AA100)</f>
        <v>0</v>
      </c>
      <c r="Y57" s="292">
        <f>SUM('PER BULAN'!AB100:AD100)</f>
        <v>0</v>
      </c>
      <c r="Z57" s="292">
        <f>SUM('PER BULAN'!AE100:AG100)</f>
        <v>0</v>
      </c>
      <c r="AA57" s="292">
        <f>SUM('PER BULAN'!AH100:AJ100)</f>
        <v>0</v>
      </c>
      <c r="AB57" s="292">
        <f>SUM('PER BULAN'!AK100:AM100)</f>
        <v>0</v>
      </c>
      <c r="AC57" s="292">
        <f>SUM('PER BULAN'!AN100:AP100)</f>
        <v>0</v>
      </c>
      <c r="AD57" s="292">
        <f>SUM('PER BULAN'!AQ100:AS100)</f>
        <v>0</v>
      </c>
      <c r="AE57" s="277" t="s">
        <v>530</v>
      </c>
      <c r="AF57" s="277" t="s">
        <v>576</v>
      </c>
      <c r="AG57" s="277" t="s">
        <v>560</v>
      </c>
      <c r="AH57" s="277" t="s">
        <v>4699</v>
      </c>
      <c r="AI57" s="277" t="s">
        <v>4700</v>
      </c>
      <c r="AJ57" s="494">
        <f t="shared" si="0"/>
        <v>21850700</v>
      </c>
      <c r="AK57" s="291">
        <f t="shared" si="1"/>
        <v>99.998627065122875</v>
      </c>
      <c r="AL57" s="494">
        <f t="shared" si="2"/>
        <v>300</v>
      </c>
      <c r="AM57" s="291">
        <f t="shared" si="3"/>
        <v>1.3729348771223285E-3</v>
      </c>
      <c r="AN57" s="277" t="str">
        <f t="shared" si="4"/>
        <v>WA.2378.EBA.962.301.E.524111</v>
      </c>
      <c r="AO57" s="277" t="str">
        <f>IF(ISNUMBER(SEARCH("COVID",SP2D[[#This Row],[Akun]])),"COVID","Non COVID")</f>
        <v>Non COVID</v>
      </c>
      <c r="AP5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5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7" s="292">
        <f>SUM('PER BULAN'!BA100)</f>
        <v>1560000</v>
      </c>
      <c r="AS57" s="292">
        <f>SUM('PER BULAN'!BB100)</f>
        <v>6690000</v>
      </c>
      <c r="AT57" s="292">
        <f>SUM('PER BULAN'!BC100)</f>
        <v>0</v>
      </c>
      <c r="AU57" s="292">
        <f>SUM('PER BULAN'!BD100)</f>
        <v>0</v>
      </c>
      <c r="AV57" s="292">
        <f>SUM('PER BULAN'!BE100)</f>
        <v>1860000</v>
      </c>
      <c r="AW57" s="292">
        <f>SUM('PER BULAN'!BF100)</f>
        <v>3748000</v>
      </c>
      <c r="AX57" s="292">
        <f>SUM('PER BULAN'!BG100)</f>
        <v>4280000</v>
      </c>
      <c r="AY57" s="292">
        <f>SUM('PER BULAN'!BH100)</f>
        <v>0</v>
      </c>
    </row>
    <row r="58" spans="1:51" s="278" customFormat="1" x14ac:dyDescent="0.3">
      <c r="A58" s="277" t="s">
        <v>4693</v>
      </c>
      <c r="B58" s="277" t="s">
        <v>4694</v>
      </c>
      <c r="C58" s="277" t="s">
        <v>4720</v>
      </c>
      <c r="D58" s="277" t="s">
        <v>4721</v>
      </c>
      <c r="E58" s="277" t="s">
        <v>197</v>
      </c>
      <c r="F58" s="277" t="s">
        <v>4722</v>
      </c>
      <c r="G58" s="277" t="s">
        <v>4737</v>
      </c>
      <c r="H58" s="277" t="s">
        <v>4738</v>
      </c>
      <c r="I58" s="277">
        <v>962</v>
      </c>
      <c r="J58" s="277" t="s">
        <v>4743</v>
      </c>
      <c r="K58" s="277">
        <v>301</v>
      </c>
      <c r="L58" s="277" t="s">
        <v>4742</v>
      </c>
      <c r="M58" s="277" t="s">
        <v>519</v>
      </c>
      <c r="N58" s="277" t="s">
        <v>4745</v>
      </c>
      <c r="O58" s="277" t="s">
        <v>507</v>
      </c>
      <c r="P58" s="277" t="s">
        <v>508</v>
      </c>
      <c r="Q58" s="221" cm="1">
        <f t="array" ref="Q58">SUM(_xlfn._xlws.FILTER(DIPA2[PaguRevisi],DIPA2[Akun]=SP2D[[#This Row],[Kode Akun]],0))</f>
        <v>0</v>
      </c>
      <c r="R58" s="416">
        <v>2100000</v>
      </c>
      <c r="S58" s="292">
        <f>SUM('PER BULAN'!J102:L102)</f>
        <v>0</v>
      </c>
      <c r="T58" s="292">
        <f>SUM('PER BULAN'!M102:O102)</f>
        <v>0</v>
      </c>
      <c r="U58" s="292">
        <f>SUM('PER BULAN'!P101:R101)</f>
        <v>0</v>
      </c>
      <c r="V58" s="292">
        <f>SUM('PER BULAN'!S101:U101)</f>
        <v>0</v>
      </c>
      <c r="W58" s="292">
        <f>SUM('PER BULAN'!V101:X101)</f>
        <v>0</v>
      </c>
      <c r="X58" s="292">
        <f>SUM('PER BULAN'!Y101:AA101)</f>
        <v>0</v>
      </c>
      <c r="Y58" s="292">
        <f>SUM('PER BULAN'!AB101:AD101)</f>
        <v>0</v>
      </c>
      <c r="Z58" s="292">
        <f>SUM('PER BULAN'!AE101:AG101)</f>
        <v>0</v>
      </c>
      <c r="AA58" s="292">
        <f>SUM('PER BULAN'!AH101:AJ101)</f>
        <v>0</v>
      </c>
      <c r="AB58" s="292">
        <f>SUM('PER BULAN'!AK101:AM101)</f>
        <v>0</v>
      </c>
      <c r="AC58" s="292">
        <f>SUM('PER BULAN'!AN101:AP101)</f>
        <v>0</v>
      </c>
      <c r="AD58" s="292">
        <f>SUM('PER BULAN'!AQ101:AS101)</f>
        <v>0</v>
      </c>
      <c r="AE58" s="277" t="s">
        <v>530</v>
      </c>
      <c r="AF58" s="277" t="s">
        <v>576</v>
      </c>
      <c r="AG58" s="277" t="s">
        <v>560</v>
      </c>
      <c r="AH58" s="277" t="s">
        <v>4699</v>
      </c>
      <c r="AI58" s="277" t="s">
        <v>4700</v>
      </c>
      <c r="AJ58" s="494">
        <f t="shared" si="0"/>
        <v>0</v>
      </c>
      <c r="AK58" s="291">
        <f t="shared" si="1"/>
        <v>0</v>
      </c>
      <c r="AL58" s="494">
        <f t="shared" si="2"/>
        <v>0</v>
      </c>
      <c r="AM58" s="291">
        <f t="shared" si="3"/>
        <v>0</v>
      </c>
      <c r="AN58" s="277" t="str">
        <f t="shared" si="4"/>
        <v>WA.2378.EBA.962.301.E.524113</v>
      </c>
      <c r="AO58" s="277" t="str">
        <f>IF(ISNUMBER(SEARCH("COVID",SP2D[[#This Row],[Akun]])),"COVID","Non COVID")</f>
        <v>Non COVID</v>
      </c>
      <c r="AP5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Q5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8" s="292">
        <f>SUM('PER BULAN'!BA101)</f>
        <v>0</v>
      </c>
      <c r="AS58" s="292">
        <f>SUM('PER BULAN'!BB101)</f>
        <v>0</v>
      </c>
      <c r="AT58" s="292">
        <f>SUM('PER BULAN'!BC101)</f>
        <v>0</v>
      </c>
      <c r="AU58" s="292">
        <f>SUM('PER BULAN'!BD101)</f>
        <v>0</v>
      </c>
      <c r="AV58" s="292">
        <f>SUM('PER BULAN'!BE101)</f>
        <v>0</v>
      </c>
      <c r="AW58" s="292">
        <f>SUM('PER BULAN'!BF101)</f>
        <v>0</v>
      </c>
      <c r="AX58" s="292">
        <f>SUM('PER BULAN'!BG101)</f>
        <v>0</v>
      </c>
      <c r="AY58" s="292">
        <f>SUM('PER BULAN'!BH101)</f>
        <v>0</v>
      </c>
    </row>
    <row r="59" spans="1:51" s="278" customFormat="1" x14ac:dyDescent="0.3">
      <c r="A59" s="277" t="s">
        <v>4693</v>
      </c>
      <c r="B59" s="277" t="s">
        <v>4694</v>
      </c>
      <c r="C59" s="277" t="s">
        <v>4720</v>
      </c>
      <c r="D59" s="277" t="s">
        <v>4721</v>
      </c>
      <c r="E59" s="277" t="s">
        <v>197</v>
      </c>
      <c r="F59" s="277" t="s">
        <v>4722</v>
      </c>
      <c r="G59" s="277" t="s">
        <v>4737</v>
      </c>
      <c r="H59" s="277" t="s">
        <v>4738</v>
      </c>
      <c r="I59" s="277">
        <v>962</v>
      </c>
      <c r="J59" s="277" t="s">
        <v>4743</v>
      </c>
      <c r="K59" s="277">
        <v>301</v>
      </c>
      <c r="L59" s="277" t="s">
        <v>4742</v>
      </c>
      <c r="M59" s="277" t="s">
        <v>578</v>
      </c>
      <c r="N59" s="277" t="s">
        <v>4747</v>
      </c>
      <c r="O59" s="277">
        <v>521211</v>
      </c>
      <c r="P59" s="277" t="s">
        <v>4698</v>
      </c>
      <c r="Q59" s="221" cm="1">
        <f t="array" ref="Q59">SUM(_xlfn._xlws.FILTER(DIPA2[PaguRevisi],DIPA2[Akun]=SP2D[[#This Row],[Kode Akun]],0))</f>
        <v>4000000</v>
      </c>
      <c r="R59" s="416">
        <v>32000000</v>
      </c>
      <c r="S59" s="292">
        <f>SUM('PER BULAN'!J103:L103)</f>
        <v>0</v>
      </c>
      <c r="T59" s="292">
        <f>SUM('PER BULAN'!M103:O103)</f>
        <v>0</v>
      </c>
      <c r="U59" s="292">
        <f>SUM('PER BULAN'!P103:R103)</f>
        <v>3999200</v>
      </c>
      <c r="V59" s="292">
        <f>SUM('PER BULAN'!S103:U103)</f>
        <v>0</v>
      </c>
      <c r="W59" s="292">
        <f>SUM('PER BULAN'!V103:X103)</f>
        <v>0</v>
      </c>
      <c r="X59" s="292">
        <f>SUM('PER BULAN'!Y103:AA103)</f>
        <v>0</v>
      </c>
      <c r="Y59" s="292">
        <f>SUM('PER BULAN'!AB103:AD103)</f>
        <v>0</v>
      </c>
      <c r="Z59" s="292">
        <f>SUM('PER BULAN'!AE103:AG103)</f>
        <v>0</v>
      </c>
      <c r="AA59" s="292">
        <f>SUM('PER BULAN'!AH103:AJ103)</f>
        <v>0</v>
      </c>
      <c r="AB59" s="292">
        <f>SUM('PER BULAN'!AK103:AM103)</f>
        <v>0</v>
      </c>
      <c r="AC59" s="292">
        <f>SUM('PER BULAN'!AN103:AP103)</f>
        <v>0</v>
      </c>
      <c r="AD59" s="292">
        <f>SUM('PER BULAN'!AQ103:AS103)</f>
        <v>0</v>
      </c>
      <c r="AE59" s="277" t="s">
        <v>530</v>
      </c>
      <c r="AF59" s="277" t="s">
        <v>535</v>
      </c>
      <c r="AG59" s="277" t="s">
        <v>538</v>
      </c>
      <c r="AH59" s="277" t="s">
        <v>4699</v>
      </c>
      <c r="AI59" s="277" t="s">
        <v>4700</v>
      </c>
      <c r="AJ59" s="494">
        <f t="shared" si="0"/>
        <v>3999200</v>
      </c>
      <c r="AK59" s="291">
        <f t="shared" si="1"/>
        <v>99.98</v>
      </c>
      <c r="AL59" s="494">
        <f t="shared" si="2"/>
        <v>800</v>
      </c>
      <c r="AM59" s="291">
        <f t="shared" si="3"/>
        <v>0.02</v>
      </c>
      <c r="AN59" s="277" t="str">
        <f t="shared" si="4"/>
        <v>WA.2378.EBA.962.301.F.521211</v>
      </c>
      <c r="AO59" s="277" t="str">
        <f>IF(ISNUMBER(SEARCH("COVID",SP2D[[#This Row],[Akun]])),"COVID","Non COVID")</f>
        <v>Non COVID</v>
      </c>
      <c r="AP5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5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59" s="292">
        <f>SUM('PER BULAN'!BA103)</f>
        <v>0</v>
      </c>
      <c r="AS59" s="292">
        <f>SUM('PER BULAN'!BB103)</f>
        <v>2499500</v>
      </c>
      <c r="AT59" s="292">
        <f>SUM('PER BULAN'!BC103)</f>
        <v>1499700</v>
      </c>
      <c r="AU59" s="292">
        <f>SUM('PER BULAN'!BD103)</f>
        <v>0</v>
      </c>
      <c r="AV59" s="292">
        <f>SUM('PER BULAN'!BE103)</f>
        <v>0</v>
      </c>
      <c r="AW59" s="292">
        <f>SUM('PER BULAN'!BF103)</f>
        <v>0</v>
      </c>
      <c r="AX59" s="292">
        <f>SUM('PER BULAN'!BG103)</f>
        <v>0</v>
      </c>
      <c r="AY59" s="292">
        <f>SUM('PER BULAN'!BH103)</f>
        <v>0</v>
      </c>
    </row>
    <row r="60" spans="1:51" s="278" customFormat="1" x14ac:dyDescent="0.3">
      <c r="A60" s="277" t="s">
        <v>4693</v>
      </c>
      <c r="B60" s="277" t="s">
        <v>4694</v>
      </c>
      <c r="C60" s="277" t="s">
        <v>4720</v>
      </c>
      <c r="D60" s="277" t="s">
        <v>4721</v>
      </c>
      <c r="E60" s="277" t="s">
        <v>197</v>
      </c>
      <c r="F60" s="277" t="s">
        <v>4722</v>
      </c>
      <c r="G60" s="277" t="s">
        <v>4737</v>
      </c>
      <c r="H60" s="277" t="s">
        <v>4738</v>
      </c>
      <c r="I60" s="277">
        <v>962</v>
      </c>
      <c r="J60" s="277" t="s">
        <v>4743</v>
      </c>
      <c r="K60" s="277">
        <v>301</v>
      </c>
      <c r="L60" s="277" t="s">
        <v>4742</v>
      </c>
      <c r="M60" s="277" t="s">
        <v>578</v>
      </c>
      <c r="N60" s="277" t="s">
        <v>4747</v>
      </c>
      <c r="O60" s="277">
        <v>521219</v>
      </c>
      <c r="P60" s="277" t="s">
        <v>4711</v>
      </c>
      <c r="Q60" s="221" cm="1">
        <f t="array" ref="Q60">SUM(_xlfn._xlws.FILTER(DIPA2[PaguRevisi],DIPA2[Akun]=SP2D[[#This Row],[Kode Akun]],0))</f>
        <v>4298000</v>
      </c>
      <c r="R60" s="416">
        <v>298141000</v>
      </c>
      <c r="S60" s="292">
        <f>SUM('PER BULAN'!J104:L104)</f>
        <v>0</v>
      </c>
      <c r="T60" s="292">
        <f>SUM('PER BULAN'!M104:O104)</f>
        <v>0</v>
      </c>
      <c r="U60" s="292">
        <f>SUM('PER BULAN'!P104:R104)</f>
        <v>694240</v>
      </c>
      <c r="V60" s="292">
        <f>SUM('PER BULAN'!S104:U104)</f>
        <v>0</v>
      </c>
      <c r="W60" s="292">
        <f>SUM('PER BULAN'!V104:X104)</f>
        <v>3603218</v>
      </c>
      <c r="X60" s="292">
        <f>SUM('PER BULAN'!Y104:AA104)</f>
        <v>0</v>
      </c>
      <c r="Y60" s="292">
        <f>SUM('PER BULAN'!AB104:AD104)</f>
        <v>0</v>
      </c>
      <c r="Z60" s="292">
        <f>SUM('PER BULAN'!AE104:AG104)</f>
        <v>0</v>
      </c>
      <c r="AA60" s="292">
        <f>SUM('PER BULAN'!AH104:AJ104)</f>
        <v>0</v>
      </c>
      <c r="AB60" s="292">
        <f>SUM('PER BULAN'!AK104:AM104)</f>
        <v>0</v>
      </c>
      <c r="AC60" s="292">
        <f>SUM('PER BULAN'!AN104:AP104)</f>
        <v>0</v>
      </c>
      <c r="AD60" s="292">
        <f>SUM('PER BULAN'!AQ104:AS104)</f>
        <v>0</v>
      </c>
      <c r="AE60" s="277" t="s">
        <v>530</v>
      </c>
      <c r="AF60" s="277" t="s">
        <v>535</v>
      </c>
      <c r="AG60" s="277" t="s">
        <v>538</v>
      </c>
      <c r="AH60" s="277" t="s">
        <v>4699</v>
      </c>
      <c r="AI60" s="277" t="s">
        <v>4700</v>
      </c>
      <c r="AJ60" s="494">
        <f t="shared" si="0"/>
        <v>4297458</v>
      </c>
      <c r="AK60" s="291">
        <f t="shared" si="1"/>
        <v>99.987389483480698</v>
      </c>
      <c r="AL60" s="494">
        <f t="shared" si="2"/>
        <v>542</v>
      </c>
      <c r="AM60" s="291">
        <f t="shared" si="3"/>
        <v>1.2610516519311306E-2</v>
      </c>
      <c r="AN60" s="277" t="str">
        <f t="shared" si="4"/>
        <v>WA.2378.EBA.962.301.F.521219</v>
      </c>
      <c r="AO60" s="277" t="str">
        <f>IF(ISNUMBER(SEARCH("COVID",SP2D[[#This Row],[Akun]])),"COVID","Non COVID")</f>
        <v>Non COVID</v>
      </c>
      <c r="AP6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6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0" s="292">
        <f>SUM('PER BULAN'!BA104)</f>
        <v>0</v>
      </c>
      <c r="AS60" s="292">
        <f>SUM('PER BULAN'!BB104)</f>
        <v>450000</v>
      </c>
      <c r="AT60" s="292">
        <f>SUM('PER BULAN'!BC104)</f>
        <v>244240</v>
      </c>
      <c r="AU60" s="292">
        <f>SUM('PER BULAN'!BD104)</f>
        <v>0</v>
      </c>
      <c r="AV60" s="292">
        <f>SUM('PER BULAN'!BE104)</f>
        <v>3351204</v>
      </c>
      <c r="AW60" s="292">
        <f>SUM('PER BULAN'!BF104)</f>
        <v>252014</v>
      </c>
      <c r="AX60" s="292">
        <f>SUM('PER BULAN'!BG104)</f>
        <v>0</v>
      </c>
      <c r="AY60" s="292">
        <f>SUM('PER BULAN'!BH104)</f>
        <v>0</v>
      </c>
    </row>
    <row r="61" spans="1:51" s="278" customFormat="1" x14ac:dyDescent="0.3">
      <c r="A61" s="277" t="s">
        <v>4693</v>
      </c>
      <c r="B61" s="277" t="s">
        <v>4694</v>
      </c>
      <c r="C61" s="277" t="s">
        <v>4720</v>
      </c>
      <c r="D61" s="277" t="s">
        <v>4721</v>
      </c>
      <c r="E61" s="277" t="s">
        <v>197</v>
      </c>
      <c r="F61" s="277" t="s">
        <v>4722</v>
      </c>
      <c r="G61" s="277" t="s">
        <v>4737</v>
      </c>
      <c r="H61" s="277" t="s">
        <v>4738</v>
      </c>
      <c r="I61" s="277">
        <v>962</v>
      </c>
      <c r="J61" s="277" t="s">
        <v>4743</v>
      </c>
      <c r="K61" s="277">
        <v>301</v>
      </c>
      <c r="L61" s="277" t="s">
        <v>4742</v>
      </c>
      <c r="M61" s="277" t="s">
        <v>578</v>
      </c>
      <c r="N61" s="277" t="s">
        <v>4747</v>
      </c>
      <c r="O61" s="277">
        <v>522151</v>
      </c>
      <c r="P61" s="277" t="s">
        <v>4701</v>
      </c>
      <c r="Q61" s="221" cm="1">
        <f t="array" ref="Q61">SUM(_xlfn._xlws.FILTER(DIPA2[PaguRevisi],DIPA2[Akun]=SP2D[[#This Row],[Kode Akun]],0))</f>
        <v>0</v>
      </c>
      <c r="R61" s="416">
        <v>30000000</v>
      </c>
      <c r="S61" s="292">
        <f>SUM('PER BULAN'!J105:L105)</f>
        <v>0</v>
      </c>
      <c r="T61" s="292">
        <f>SUM('PER BULAN'!M105:O105)</f>
        <v>0</v>
      </c>
      <c r="U61" s="292">
        <f>SUM('PER BULAN'!P105:R105)</f>
        <v>0</v>
      </c>
      <c r="V61" s="292">
        <f>SUM('PER BULAN'!S105:U105)</f>
        <v>0</v>
      </c>
      <c r="W61" s="292">
        <f>SUM('PER BULAN'!V105:X105)</f>
        <v>0</v>
      </c>
      <c r="X61" s="292">
        <f>SUM('PER BULAN'!Y105:AA105)</f>
        <v>0</v>
      </c>
      <c r="Y61" s="292">
        <f>SUM('PER BULAN'!AB105:AD105)</f>
        <v>0</v>
      </c>
      <c r="Z61" s="292">
        <f>SUM('PER BULAN'!AE105:AG105)</f>
        <v>0</v>
      </c>
      <c r="AA61" s="292">
        <f>SUM('PER BULAN'!AH105:AJ105)</f>
        <v>0</v>
      </c>
      <c r="AB61" s="292">
        <f>SUM('PER BULAN'!AK105:AM105)</f>
        <v>0</v>
      </c>
      <c r="AC61" s="292">
        <f>SUM('PER BULAN'!AN105:AP105)</f>
        <v>0</v>
      </c>
      <c r="AD61" s="292">
        <f>SUM('PER BULAN'!AQ105:AS105)</f>
        <v>0</v>
      </c>
      <c r="AE61" s="277" t="s">
        <v>530</v>
      </c>
      <c r="AF61" s="277" t="s">
        <v>535</v>
      </c>
      <c r="AG61" s="277" t="s">
        <v>538</v>
      </c>
      <c r="AH61" s="277" t="s">
        <v>4699</v>
      </c>
      <c r="AI61" s="277" t="s">
        <v>4700</v>
      </c>
      <c r="AJ61" s="494">
        <f t="shared" si="0"/>
        <v>0</v>
      </c>
      <c r="AK61" s="291">
        <f t="shared" si="1"/>
        <v>0</v>
      </c>
      <c r="AL61" s="494">
        <f t="shared" si="2"/>
        <v>0</v>
      </c>
      <c r="AM61" s="291">
        <f t="shared" si="3"/>
        <v>0</v>
      </c>
      <c r="AN61" s="277" t="str">
        <f t="shared" si="4"/>
        <v>WA.2378.EBA.962.301.F.522151</v>
      </c>
      <c r="AO61" s="277" t="str">
        <f>IF(ISNUMBER(SEARCH("COVID",SP2D[[#This Row],[Akun]])),"COVID","Non COVID")</f>
        <v>Non COVID</v>
      </c>
      <c r="AP6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6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1" s="292">
        <f>SUM('PER BULAN'!BA105)</f>
        <v>0</v>
      </c>
      <c r="AS61" s="292">
        <f>SUM('PER BULAN'!BB105)</f>
        <v>0</v>
      </c>
      <c r="AT61" s="292">
        <f>SUM('PER BULAN'!BC105)</f>
        <v>0</v>
      </c>
      <c r="AU61" s="292">
        <f>SUM('PER BULAN'!BD105)</f>
        <v>0</v>
      </c>
      <c r="AV61" s="292">
        <f>SUM('PER BULAN'!BE105)</f>
        <v>0</v>
      </c>
      <c r="AW61" s="292">
        <f>SUM('PER BULAN'!BF105)</f>
        <v>0</v>
      </c>
      <c r="AX61" s="292">
        <f>SUM('PER BULAN'!BG105)</f>
        <v>0</v>
      </c>
      <c r="AY61" s="292">
        <f>SUM('PER BULAN'!BH105)</f>
        <v>0</v>
      </c>
    </row>
    <row r="62" spans="1:51" s="278" customFormat="1" x14ac:dyDescent="0.3">
      <c r="A62" s="277" t="s">
        <v>4693</v>
      </c>
      <c r="B62" s="277" t="s">
        <v>4694</v>
      </c>
      <c r="C62" s="277" t="s">
        <v>4720</v>
      </c>
      <c r="D62" s="277" t="s">
        <v>4721</v>
      </c>
      <c r="E62" s="277" t="s">
        <v>197</v>
      </c>
      <c r="F62" s="277" t="s">
        <v>4722</v>
      </c>
      <c r="G62" s="277" t="s">
        <v>4737</v>
      </c>
      <c r="H62" s="277" t="s">
        <v>4738</v>
      </c>
      <c r="I62" s="277">
        <v>962</v>
      </c>
      <c r="J62" s="277" t="s">
        <v>4743</v>
      </c>
      <c r="K62" s="277">
        <v>301</v>
      </c>
      <c r="L62" s="277" t="s">
        <v>4742</v>
      </c>
      <c r="M62" s="277" t="s">
        <v>578</v>
      </c>
      <c r="N62" s="277" t="s">
        <v>4747</v>
      </c>
      <c r="O62" s="277" t="s">
        <v>518</v>
      </c>
      <c r="P62" s="277" t="s">
        <v>4703</v>
      </c>
      <c r="Q62" s="221" cm="1">
        <f t="array" ref="Q62">SUM(_xlfn._xlws.FILTER(DIPA2[PaguRevisi],DIPA2[Akun]=SP2D[[#This Row],[Kode Akun]],0))</f>
        <v>0</v>
      </c>
      <c r="R62" s="416">
        <v>8000000</v>
      </c>
      <c r="S62" s="292">
        <f>SUM('PER BULAN'!J106:L106)</f>
        <v>0</v>
      </c>
      <c r="T62" s="292">
        <f>SUM('PER BULAN'!M106:O106)</f>
        <v>0</v>
      </c>
      <c r="U62" s="292">
        <f>SUM('PER BULAN'!P106:R106)</f>
        <v>0</v>
      </c>
      <c r="V62" s="292">
        <f>SUM('PER BULAN'!S106:U106)</f>
        <v>0</v>
      </c>
      <c r="W62" s="292">
        <f>SUM('PER BULAN'!V106:X106)</f>
        <v>0</v>
      </c>
      <c r="X62" s="292">
        <f>SUM('PER BULAN'!Y106:AA106)</f>
        <v>0</v>
      </c>
      <c r="Y62" s="292">
        <f>SUM('PER BULAN'!AB106:AD106)</f>
        <v>0</v>
      </c>
      <c r="Z62" s="292">
        <f>SUM('PER BULAN'!AE106:AG106)</f>
        <v>0</v>
      </c>
      <c r="AA62" s="292">
        <f>SUM('PER BULAN'!AH106:AJ106)</f>
        <v>0</v>
      </c>
      <c r="AB62" s="292">
        <f>SUM('PER BULAN'!AK106:AM106)</f>
        <v>0</v>
      </c>
      <c r="AC62" s="292">
        <f>SUM('PER BULAN'!AN106:AP106)</f>
        <v>0</v>
      </c>
      <c r="AD62" s="292">
        <f>SUM('PER BULAN'!AQ106:AS106)</f>
        <v>0</v>
      </c>
      <c r="AE62" s="277" t="s">
        <v>530</v>
      </c>
      <c r="AF62" s="277" t="s">
        <v>535</v>
      </c>
      <c r="AG62" s="277" t="s">
        <v>538</v>
      </c>
      <c r="AH62" s="277" t="s">
        <v>4699</v>
      </c>
      <c r="AI62" s="277" t="s">
        <v>4700</v>
      </c>
      <c r="AJ62" s="494">
        <f t="shared" si="0"/>
        <v>0</v>
      </c>
      <c r="AK62" s="291">
        <f t="shared" si="1"/>
        <v>0</v>
      </c>
      <c r="AL62" s="494">
        <f t="shared" si="2"/>
        <v>0</v>
      </c>
      <c r="AM62" s="291">
        <f t="shared" si="3"/>
        <v>0</v>
      </c>
      <c r="AN62" s="277" t="str">
        <f t="shared" si="4"/>
        <v>WA.2378.EBA.962.301.F.522192</v>
      </c>
      <c r="AO62" s="277" t="str">
        <f>IF(ISNUMBER(SEARCH("COVID",SP2D[[#This Row],[Akun]])),"COVID","Non COVID")</f>
        <v>COVID</v>
      </c>
      <c r="AP6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6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2" s="292">
        <f>SUM('PER BULAN'!BA106)</f>
        <v>0</v>
      </c>
      <c r="AS62" s="292">
        <f>SUM('PER BULAN'!BB106)</f>
        <v>0</v>
      </c>
      <c r="AT62" s="292">
        <f>SUM('PER BULAN'!BC106)</f>
        <v>0</v>
      </c>
      <c r="AU62" s="292">
        <f>SUM('PER BULAN'!BD106)</f>
        <v>0</v>
      </c>
      <c r="AV62" s="292">
        <f>SUM('PER BULAN'!BE106)</f>
        <v>0</v>
      </c>
      <c r="AW62" s="292">
        <f>SUM('PER BULAN'!BF106)</f>
        <v>0</v>
      </c>
      <c r="AX62" s="292">
        <f>SUM('PER BULAN'!BG106)</f>
        <v>0</v>
      </c>
      <c r="AY62" s="292">
        <f>SUM('PER BULAN'!BH106)</f>
        <v>0</v>
      </c>
    </row>
    <row r="63" spans="1:51" s="278" customFormat="1" x14ac:dyDescent="0.3">
      <c r="A63" s="277" t="s">
        <v>4693</v>
      </c>
      <c r="B63" s="277" t="s">
        <v>4694</v>
      </c>
      <c r="C63" s="277" t="s">
        <v>4720</v>
      </c>
      <c r="D63" s="277" t="s">
        <v>4721</v>
      </c>
      <c r="E63" s="277" t="s">
        <v>197</v>
      </c>
      <c r="F63" s="277" t="s">
        <v>4722</v>
      </c>
      <c r="G63" s="277" t="s">
        <v>4737</v>
      </c>
      <c r="H63" s="277" t="s">
        <v>4738</v>
      </c>
      <c r="I63" s="277">
        <v>962</v>
      </c>
      <c r="J63" s="277" t="s">
        <v>4743</v>
      </c>
      <c r="K63" s="277">
        <v>301</v>
      </c>
      <c r="L63" s="277" t="s">
        <v>4742</v>
      </c>
      <c r="M63" s="277" t="s">
        <v>578</v>
      </c>
      <c r="N63" s="277" t="s">
        <v>4747</v>
      </c>
      <c r="O63" s="277" t="s">
        <v>513</v>
      </c>
      <c r="P63" s="277" t="s">
        <v>4702</v>
      </c>
      <c r="Q63" s="221" cm="1">
        <f t="array" ref="Q63">SUM(_xlfn._xlws.FILTER(DIPA2[PaguRevisi],DIPA2[Akun]=SP2D[[#This Row],[Kode Akun]],0))</f>
        <v>9059000</v>
      </c>
      <c r="R63" s="416">
        <v>81859000</v>
      </c>
      <c r="S63" s="292">
        <f>SUM('PER BULAN'!J108:L108)</f>
        <v>0</v>
      </c>
      <c r="T63" s="292">
        <f>SUM('PER BULAN'!M107:O107)</f>
        <v>0</v>
      </c>
      <c r="U63" s="292">
        <f>SUM('PER BULAN'!P107:R107)</f>
        <v>0</v>
      </c>
      <c r="V63" s="292">
        <f>SUM('PER BULAN'!S107:U107)</f>
        <v>0</v>
      </c>
      <c r="W63" s="292">
        <f>SUM('PER BULAN'!V107:X107)</f>
        <v>0</v>
      </c>
      <c r="X63" s="292">
        <f>SUM('PER BULAN'!Y107:AA107)</f>
        <v>5350700</v>
      </c>
      <c r="Y63" s="292">
        <f>SUM('PER BULAN'!AB107:AD107)</f>
        <v>0</v>
      </c>
      <c r="Z63" s="292">
        <f>SUM('PER BULAN'!AE107:AG107)</f>
        <v>0</v>
      </c>
      <c r="AA63" s="292">
        <f>SUM('PER BULAN'!AH107:AJ107)</f>
        <v>0</v>
      </c>
      <c r="AB63" s="292">
        <f>SUM('PER BULAN'!AK107:AM107)</f>
        <v>0</v>
      </c>
      <c r="AC63" s="292">
        <f>SUM('PER BULAN'!AN107:AP107)</f>
        <v>0</v>
      </c>
      <c r="AD63" s="292">
        <f>SUM('PER BULAN'!AQ107:AS107)</f>
        <v>0</v>
      </c>
      <c r="AE63" s="277" t="s">
        <v>530</v>
      </c>
      <c r="AF63" s="277" t="s">
        <v>535</v>
      </c>
      <c r="AG63" s="277" t="s">
        <v>538</v>
      </c>
      <c r="AH63" s="277" t="s">
        <v>4699</v>
      </c>
      <c r="AI63" s="277" t="s">
        <v>4700</v>
      </c>
      <c r="AJ63" s="494">
        <f t="shared" si="0"/>
        <v>5350700</v>
      </c>
      <c r="AK63" s="291">
        <f t="shared" si="1"/>
        <v>59.065018213930898</v>
      </c>
      <c r="AL63" s="494">
        <f t="shared" si="2"/>
        <v>3708300</v>
      </c>
      <c r="AM63" s="291">
        <f t="shared" si="3"/>
        <v>40.934981786069102</v>
      </c>
      <c r="AN63" s="277" t="str">
        <f t="shared" si="4"/>
        <v>WA.2378.EBA.962.301.F.524111</v>
      </c>
      <c r="AO63" s="277" t="str">
        <f>IF(ISNUMBER(SEARCH("COVID",SP2D[[#This Row],[Akun]])),"COVID","Non COVID")</f>
        <v>Non COVID</v>
      </c>
      <c r="AP6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6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3" s="292">
        <f>SUM('PER BULAN'!BA107)</f>
        <v>0</v>
      </c>
      <c r="AS63" s="292">
        <f>SUM('PER BULAN'!BB107)</f>
        <v>0</v>
      </c>
      <c r="AT63" s="292">
        <f>SUM('PER BULAN'!BC107)</f>
        <v>0</v>
      </c>
      <c r="AU63" s="292">
        <f>SUM('PER BULAN'!BD107)</f>
        <v>0</v>
      </c>
      <c r="AV63" s="292">
        <f>SUM('PER BULAN'!BE107)</f>
        <v>0</v>
      </c>
      <c r="AW63" s="292">
        <f>SUM('PER BULAN'!BF107)</f>
        <v>0</v>
      </c>
      <c r="AX63" s="292">
        <f>SUM('PER BULAN'!BG107)</f>
        <v>0</v>
      </c>
      <c r="AY63" s="292">
        <f>SUM('PER BULAN'!BH107)</f>
        <v>0</v>
      </c>
    </row>
    <row r="64" spans="1:51" s="278" customFormat="1" x14ac:dyDescent="0.3">
      <c r="A64" s="277" t="s">
        <v>4693</v>
      </c>
      <c r="B64" s="277" t="s">
        <v>4694</v>
      </c>
      <c r="C64" s="277" t="s">
        <v>4720</v>
      </c>
      <c r="D64" s="277" t="s">
        <v>4721</v>
      </c>
      <c r="E64" s="277" t="s">
        <v>197</v>
      </c>
      <c r="F64" s="277" t="s">
        <v>4722</v>
      </c>
      <c r="G64" s="277" t="s">
        <v>4737</v>
      </c>
      <c r="H64" s="277" t="s">
        <v>4738</v>
      </c>
      <c r="I64" s="277">
        <v>962</v>
      </c>
      <c r="J64" s="277" t="s">
        <v>4743</v>
      </c>
      <c r="K64" s="277">
        <v>301</v>
      </c>
      <c r="L64" s="277" t="s">
        <v>4742</v>
      </c>
      <c r="M64" s="277" t="s">
        <v>579</v>
      </c>
      <c r="N64" s="277" t="s">
        <v>4748</v>
      </c>
      <c r="O64" s="277">
        <v>521211</v>
      </c>
      <c r="P64" s="277" t="s">
        <v>4698</v>
      </c>
      <c r="Q64" s="221" cm="1">
        <f t="array" ref="Q64">SUM(_xlfn._xlws.FILTER(DIPA2[PaguRevisi],DIPA2[Akun]=SP2D[[#This Row],[Kode Akun]],0))</f>
        <v>12550000</v>
      </c>
      <c r="R64" s="416">
        <v>31000000</v>
      </c>
      <c r="S64" s="292">
        <f>SUM('PER BULAN'!J109:L109)</f>
        <v>0</v>
      </c>
      <c r="T64" s="292">
        <f>SUM('PER BULAN'!M109:O109)</f>
        <v>0</v>
      </c>
      <c r="U64" s="292">
        <f>SUM('PER BULAN'!P109:R109)</f>
        <v>1200000</v>
      </c>
      <c r="V64" s="292">
        <f>SUM('PER BULAN'!S109:U109)</f>
        <v>0</v>
      </c>
      <c r="W64" s="292">
        <f>SUM('PER BULAN'!V109:X109)</f>
        <v>10342500</v>
      </c>
      <c r="X64" s="292">
        <f>SUM('PER BULAN'!Y109:AA109)</f>
        <v>0</v>
      </c>
      <c r="Y64" s="292">
        <f>SUM('PER BULAN'!AB109:AD109)</f>
        <v>0</v>
      </c>
      <c r="Z64" s="292">
        <f>SUM('PER BULAN'!AE109:AG109)</f>
        <v>0</v>
      </c>
      <c r="AA64" s="292">
        <f>SUM('PER BULAN'!AH109:AJ109)</f>
        <v>0</v>
      </c>
      <c r="AB64" s="292">
        <f>SUM('PER BULAN'!AK109:AM109)</f>
        <v>0</v>
      </c>
      <c r="AC64" s="292">
        <f>SUM('PER BULAN'!AN109:AP109)</f>
        <v>0</v>
      </c>
      <c r="AD64" s="292">
        <f>SUM('PER BULAN'!AQ109:AS109)</f>
        <v>0</v>
      </c>
      <c r="AE64" s="277" t="s">
        <v>530</v>
      </c>
      <c r="AF64" s="277" t="s">
        <v>531</v>
      </c>
      <c r="AG64" s="277" t="s">
        <v>532</v>
      </c>
      <c r="AH64" s="277" t="s">
        <v>4699</v>
      </c>
      <c r="AI64" s="277" t="s">
        <v>4700</v>
      </c>
      <c r="AJ64" s="494">
        <f t="shared" si="0"/>
        <v>11542500</v>
      </c>
      <c r="AK64" s="291">
        <f t="shared" si="1"/>
        <v>91.972111553784856</v>
      </c>
      <c r="AL64" s="494">
        <f t="shared" si="2"/>
        <v>1007500</v>
      </c>
      <c r="AM64" s="291">
        <f t="shared" si="3"/>
        <v>8.0278884462151403</v>
      </c>
      <c r="AN64" s="277" t="str">
        <f t="shared" si="4"/>
        <v>WA.2378.EBA.962.301.G.521211</v>
      </c>
      <c r="AO64" s="277" t="str">
        <f>IF(ISNUMBER(SEARCH("COVID",SP2D[[#This Row],[Akun]])),"COVID","Non COVID")</f>
        <v>Non COVID</v>
      </c>
      <c r="AP6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6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4" s="292">
        <f>SUM('PER BULAN'!BA109)</f>
        <v>0</v>
      </c>
      <c r="AS64" s="292">
        <f>SUM('PER BULAN'!BB109)</f>
        <v>1200000</v>
      </c>
      <c r="AT64" s="292">
        <f>SUM('PER BULAN'!BC109)</f>
        <v>0</v>
      </c>
      <c r="AU64" s="292">
        <f>SUM('PER BULAN'!BD109)</f>
        <v>0</v>
      </c>
      <c r="AV64" s="292">
        <f>SUM('PER BULAN'!BE109)</f>
        <v>0</v>
      </c>
      <c r="AW64" s="292">
        <f>SUM('PER BULAN'!BF109)</f>
        <v>7854000</v>
      </c>
      <c r="AX64" s="292">
        <f>SUM('PER BULAN'!BG109)</f>
        <v>2488500</v>
      </c>
      <c r="AY64" s="292">
        <f>SUM('PER BULAN'!BH109)</f>
        <v>0</v>
      </c>
    </row>
    <row r="65" spans="1:51" s="278" customFormat="1" x14ac:dyDescent="0.3">
      <c r="A65" s="277" t="s">
        <v>4693</v>
      </c>
      <c r="B65" s="277" t="s">
        <v>4694</v>
      </c>
      <c r="C65" s="277" t="s">
        <v>4720</v>
      </c>
      <c r="D65" s="277" t="s">
        <v>4721</v>
      </c>
      <c r="E65" s="277" t="s">
        <v>197</v>
      </c>
      <c r="F65" s="277" t="s">
        <v>4722</v>
      </c>
      <c r="G65" s="277" t="s">
        <v>4737</v>
      </c>
      <c r="H65" s="277" t="s">
        <v>4738</v>
      </c>
      <c r="I65" s="277">
        <v>962</v>
      </c>
      <c r="J65" s="277" t="s">
        <v>4743</v>
      </c>
      <c r="K65" s="277">
        <v>301</v>
      </c>
      <c r="L65" s="277" t="s">
        <v>4742</v>
      </c>
      <c r="M65" s="277" t="s">
        <v>579</v>
      </c>
      <c r="N65" s="277" t="s">
        <v>4748</v>
      </c>
      <c r="O65" s="277">
        <v>521219</v>
      </c>
      <c r="P65" s="277" t="s">
        <v>4711</v>
      </c>
      <c r="Q65" s="221" cm="1">
        <f t="array" ref="Q65">SUM(_xlfn._xlws.FILTER(DIPA2[PaguRevisi],DIPA2[Akun]=SP2D[[#This Row],[Kode Akun]],0))</f>
        <v>1192000</v>
      </c>
      <c r="R65" s="416">
        <v>3000000</v>
      </c>
      <c r="S65" s="292">
        <f>SUM('PER BULAN'!J110:L110)</f>
        <v>0</v>
      </c>
      <c r="T65" s="292">
        <f>SUM('PER BULAN'!M110:O110)</f>
        <v>0</v>
      </c>
      <c r="U65" s="292">
        <f>SUM('PER BULAN'!P110:R110)</f>
        <v>710207</v>
      </c>
      <c r="V65" s="292">
        <f>SUM('PER BULAN'!S110:U110)</f>
        <v>0</v>
      </c>
      <c r="W65" s="292">
        <f>SUM('PER BULAN'!V110:X110)</f>
        <v>481211</v>
      </c>
      <c r="X65" s="292">
        <f>SUM('PER BULAN'!Y110:AA110)</f>
        <v>0</v>
      </c>
      <c r="Y65" s="292">
        <f>SUM('PER BULAN'!AB110:AD110)</f>
        <v>0</v>
      </c>
      <c r="Z65" s="292">
        <f>SUM('PER BULAN'!AE110:AG110)</f>
        <v>0</v>
      </c>
      <c r="AA65" s="292">
        <f>SUM('PER BULAN'!AH110:AJ110)</f>
        <v>0</v>
      </c>
      <c r="AB65" s="292">
        <f>SUM('PER BULAN'!AK110:AM110)</f>
        <v>0</v>
      </c>
      <c r="AC65" s="292">
        <f>SUM('PER BULAN'!AN110:AP110)</f>
        <v>0</v>
      </c>
      <c r="AD65" s="292">
        <f>SUM('PER BULAN'!AQ110:AS110)</f>
        <v>0</v>
      </c>
      <c r="AE65" s="277" t="s">
        <v>530</v>
      </c>
      <c r="AF65" s="277" t="s">
        <v>531</v>
      </c>
      <c r="AG65" s="277" t="s">
        <v>532</v>
      </c>
      <c r="AH65" s="277" t="s">
        <v>4699</v>
      </c>
      <c r="AI65" s="277" t="s">
        <v>4700</v>
      </c>
      <c r="AJ65" s="494">
        <f t="shared" si="0"/>
        <v>1191418</v>
      </c>
      <c r="AK65" s="291">
        <f t="shared" si="1"/>
        <v>99.951174496644285</v>
      </c>
      <c r="AL65" s="494">
        <f t="shared" si="2"/>
        <v>582</v>
      </c>
      <c r="AM65" s="291">
        <f t="shared" si="3"/>
        <v>4.8825503355704701E-2</v>
      </c>
      <c r="AN65" s="277" t="str">
        <f t="shared" si="4"/>
        <v>WA.2378.EBA.962.301.G.521219</v>
      </c>
      <c r="AO65" s="277" t="str">
        <f>IF(ISNUMBER(SEARCH("COVID",SP2D[[#This Row],[Akun]])),"COVID","Non COVID")</f>
        <v>Non COVID</v>
      </c>
      <c r="AP6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6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5" s="292">
        <f>SUM('PER BULAN'!BA110)</f>
        <v>0</v>
      </c>
      <c r="AS65" s="292">
        <f>SUM('PER BULAN'!BB110)</f>
        <v>236994</v>
      </c>
      <c r="AT65" s="292">
        <f>SUM('PER BULAN'!BC110)</f>
        <v>473213</v>
      </c>
      <c r="AU65" s="292">
        <f>SUM('PER BULAN'!BD110)</f>
        <v>0</v>
      </c>
      <c r="AV65" s="292">
        <f>SUM('PER BULAN'!BE110)</f>
        <v>0</v>
      </c>
      <c r="AW65" s="292">
        <f>SUM('PER BULAN'!BF110)</f>
        <v>238833</v>
      </c>
      <c r="AX65" s="292">
        <f>SUM('PER BULAN'!BG110)</f>
        <v>242378</v>
      </c>
      <c r="AY65" s="292">
        <f>SUM('PER BULAN'!BH110)</f>
        <v>0</v>
      </c>
    </row>
    <row r="66" spans="1:51" s="278" customFormat="1" x14ac:dyDescent="0.3">
      <c r="A66" s="277" t="s">
        <v>4693</v>
      </c>
      <c r="B66" s="277" t="s">
        <v>4694</v>
      </c>
      <c r="C66" s="277" t="s">
        <v>4720</v>
      </c>
      <c r="D66" s="277" t="s">
        <v>4721</v>
      </c>
      <c r="E66" s="277" t="s">
        <v>197</v>
      </c>
      <c r="F66" s="277" t="s">
        <v>4722</v>
      </c>
      <c r="G66" s="277" t="s">
        <v>4737</v>
      </c>
      <c r="H66" s="277" t="s">
        <v>4738</v>
      </c>
      <c r="I66" s="277">
        <v>962</v>
      </c>
      <c r="J66" s="277" t="s">
        <v>4743</v>
      </c>
      <c r="K66" s="277">
        <v>301</v>
      </c>
      <c r="L66" s="277" t="s">
        <v>4742</v>
      </c>
      <c r="M66" s="277" t="s">
        <v>579</v>
      </c>
      <c r="N66" s="277" t="s">
        <v>4748</v>
      </c>
      <c r="O66" s="277">
        <v>522151</v>
      </c>
      <c r="P66" s="277" t="s">
        <v>4701</v>
      </c>
      <c r="Q66" s="221" cm="1">
        <f t="array" ref="Q66">SUM(_xlfn._xlws.FILTER(DIPA2[PaguRevisi],DIPA2[Akun]=SP2D[[#This Row],[Kode Akun]],0))</f>
        <v>9000000</v>
      </c>
      <c r="R66" s="416">
        <v>70000000</v>
      </c>
      <c r="S66" s="292">
        <f>SUM('PER BULAN'!J111:L111)</f>
        <v>0</v>
      </c>
      <c r="T66" s="292">
        <f>SUM('PER BULAN'!M111:O111)</f>
        <v>0</v>
      </c>
      <c r="U66" s="292">
        <f>SUM('PER BULAN'!P111:R111)</f>
        <v>1800000</v>
      </c>
      <c r="V66" s="292">
        <f>SUM('PER BULAN'!S111:U111)</f>
        <v>1000000</v>
      </c>
      <c r="W66" s="292">
        <f>SUM('PER BULAN'!V111:X111)</f>
        <v>2000000</v>
      </c>
      <c r="X66" s="292">
        <f>SUM('PER BULAN'!Y111:AA111)</f>
        <v>0</v>
      </c>
      <c r="Y66" s="292">
        <f>SUM('PER BULAN'!AB111:AD111)</f>
        <v>0</v>
      </c>
      <c r="Z66" s="292">
        <f>SUM('PER BULAN'!AE111:AG111)</f>
        <v>0</v>
      </c>
      <c r="AA66" s="292">
        <f>SUM('PER BULAN'!AH111:AJ111)</f>
        <v>0</v>
      </c>
      <c r="AB66" s="292">
        <f>SUM('PER BULAN'!AK111:AM111)</f>
        <v>0</v>
      </c>
      <c r="AC66" s="292">
        <f>SUM('PER BULAN'!AN111:AP111)</f>
        <v>0</v>
      </c>
      <c r="AD66" s="292">
        <f>SUM('PER BULAN'!AQ111:AS111)</f>
        <v>0</v>
      </c>
      <c r="AE66" s="277" t="s">
        <v>530</v>
      </c>
      <c r="AF66" s="277" t="s">
        <v>531</v>
      </c>
      <c r="AG66" s="277" t="s">
        <v>532</v>
      </c>
      <c r="AH66" s="277" t="s">
        <v>4699</v>
      </c>
      <c r="AI66" s="277" t="s">
        <v>4700</v>
      </c>
      <c r="AJ66" s="494">
        <f t="shared" si="0"/>
        <v>4800000</v>
      </c>
      <c r="AK66" s="291">
        <f t="shared" si="1"/>
        <v>53.333333333333336</v>
      </c>
      <c r="AL66" s="494">
        <f t="shared" si="2"/>
        <v>4200000</v>
      </c>
      <c r="AM66" s="291">
        <f t="shared" si="3"/>
        <v>46.666666666666664</v>
      </c>
      <c r="AN66" s="277" t="str">
        <f t="shared" si="4"/>
        <v>WA.2378.EBA.962.301.G.522151</v>
      </c>
      <c r="AO66" s="277" t="str">
        <f>IF(ISNUMBER(SEARCH("COVID",SP2D[[#This Row],[Akun]])),"COVID","Non COVID")</f>
        <v>Non COVID</v>
      </c>
      <c r="AP6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6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6" s="292">
        <f>SUM('PER BULAN'!BA111)</f>
        <v>0</v>
      </c>
      <c r="AS66" s="292">
        <f>SUM('PER BULAN'!BB111)</f>
        <v>1800000</v>
      </c>
      <c r="AT66" s="292">
        <f>SUM('PER BULAN'!BC111)</f>
        <v>0</v>
      </c>
      <c r="AU66" s="292">
        <f>SUM('PER BULAN'!BD111)</f>
        <v>0</v>
      </c>
      <c r="AV66" s="292">
        <f>SUM('PER BULAN'!BE111)</f>
        <v>0</v>
      </c>
      <c r="AW66" s="292">
        <f>SUM('PER BULAN'!BF111)</f>
        <v>0</v>
      </c>
      <c r="AX66" s="292">
        <f>SUM('PER BULAN'!BG111)</f>
        <v>2000000</v>
      </c>
      <c r="AY66" s="292">
        <f>SUM('PER BULAN'!BH111)</f>
        <v>0</v>
      </c>
    </row>
    <row r="67" spans="1:51" s="278" customFormat="1" x14ac:dyDescent="0.3">
      <c r="A67" s="277" t="s">
        <v>4693</v>
      </c>
      <c r="B67" s="277" t="s">
        <v>4694</v>
      </c>
      <c r="C67" s="277" t="s">
        <v>4720</v>
      </c>
      <c r="D67" s="277" t="s">
        <v>4721</v>
      </c>
      <c r="E67" s="277" t="s">
        <v>197</v>
      </c>
      <c r="F67" s="277" t="s">
        <v>4722</v>
      </c>
      <c r="G67" s="277" t="s">
        <v>4737</v>
      </c>
      <c r="H67" s="277" t="s">
        <v>4738</v>
      </c>
      <c r="I67" s="277">
        <v>962</v>
      </c>
      <c r="J67" s="277" t="s">
        <v>4743</v>
      </c>
      <c r="K67" s="277">
        <v>301</v>
      </c>
      <c r="L67" s="277" t="s">
        <v>4742</v>
      </c>
      <c r="M67" s="277" t="s">
        <v>579</v>
      </c>
      <c r="N67" s="277" t="s">
        <v>4748</v>
      </c>
      <c r="O67" s="277" t="s">
        <v>513</v>
      </c>
      <c r="P67" s="277" t="s">
        <v>4702</v>
      </c>
      <c r="Q67" s="221" cm="1">
        <f t="array" ref="Q67">SUM(_xlfn._xlws.FILTER(DIPA2[PaguRevisi],DIPA2[Akun]=SP2D[[#This Row],[Kode Akun]],0))</f>
        <v>60764000</v>
      </c>
      <c r="R67" s="416">
        <v>246000000</v>
      </c>
      <c r="S67" s="292">
        <f>SUM('PER BULAN'!J113:L113)</f>
        <v>0</v>
      </c>
      <c r="T67" s="292">
        <f>SUM('PER BULAN'!M112:O112)</f>
        <v>0</v>
      </c>
      <c r="U67" s="292">
        <f>SUM('PER BULAN'!P112:R112)</f>
        <v>2700000</v>
      </c>
      <c r="V67" s="292">
        <f>SUM('PER BULAN'!S112:U112)</f>
        <v>0</v>
      </c>
      <c r="W67" s="292">
        <f>SUM('PER BULAN'!V112:X112)</f>
        <v>27528345</v>
      </c>
      <c r="X67" s="292">
        <f>SUM('PER BULAN'!Y112:AA112)</f>
        <v>30535327</v>
      </c>
      <c r="Y67" s="292">
        <f>SUM('PER BULAN'!AB112:AD112)</f>
        <v>0</v>
      </c>
      <c r="Z67" s="292">
        <f>SUM('PER BULAN'!AE112:AG112)</f>
        <v>0</v>
      </c>
      <c r="AA67" s="292">
        <f>SUM('PER BULAN'!AH112:AJ112)</f>
        <v>0</v>
      </c>
      <c r="AB67" s="292">
        <f>SUM('PER BULAN'!AK112:AM112)</f>
        <v>0</v>
      </c>
      <c r="AC67" s="292">
        <f>SUM('PER BULAN'!AN112:AP112)</f>
        <v>0</v>
      </c>
      <c r="AD67" s="292">
        <f>SUM('PER BULAN'!AQ112:AS112)</f>
        <v>0</v>
      </c>
      <c r="AE67" s="277" t="s">
        <v>530</v>
      </c>
      <c r="AF67" s="277" t="s">
        <v>531</v>
      </c>
      <c r="AG67" s="277" t="s">
        <v>532</v>
      </c>
      <c r="AH67" s="277" t="s">
        <v>4699</v>
      </c>
      <c r="AI67" s="277" t="s">
        <v>4700</v>
      </c>
      <c r="AJ67" s="494">
        <f t="shared" si="0"/>
        <v>60763672</v>
      </c>
      <c r="AK67" s="291">
        <f t="shared" si="1"/>
        <v>99.999460206701343</v>
      </c>
      <c r="AL67" s="494">
        <f t="shared" si="2"/>
        <v>328</v>
      </c>
      <c r="AM67" s="291">
        <f t="shared" si="3"/>
        <v>5.3979329866368244E-4</v>
      </c>
      <c r="AN67" s="277" t="str">
        <f t="shared" si="4"/>
        <v>WA.2378.EBA.962.301.G.524111</v>
      </c>
      <c r="AO67" s="277" t="str">
        <f>IF(ISNUMBER(SEARCH("COVID",SP2D[[#This Row],[Akun]])),"COVID","Non COVID")</f>
        <v>Non COVID</v>
      </c>
      <c r="AP6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6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7" s="292">
        <f>SUM('PER BULAN'!BA112)</f>
        <v>0</v>
      </c>
      <c r="AS67" s="292">
        <f>SUM('PER BULAN'!BB112)</f>
        <v>0</v>
      </c>
      <c r="AT67" s="292">
        <f>SUM('PER BULAN'!BC112)</f>
        <v>2700000</v>
      </c>
      <c r="AU67" s="292">
        <f>SUM('PER BULAN'!BD112)</f>
        <v>0</v>
      </c>
      <c r="AV67" s="292">
        <f>SUM('PER BULAN'!BE112)</f>
        <v>0</v>
      </c>
      <c r="AW67" s="292">
        <f>SUM('PER BULAN'!BF112)</f>
        <v>0</v>
      </c>
      <c r="AX67" s="292">
        <f>SUM('PER BULAN'!BG112)</f>
        <v>8114345</v>
      </c>
      <c r="AY67" s="292">
        <f>SUM('PER BULAN'!BH112)</f>
        <v>0</v>
      </c>
    </row>
    <row r="68" spans="1:51" s="278" customFormat="1" x14ac:dyDescent="0.3">
      <c r="A68" s="277" t="s">
        <v>4693</v>
      </c>
      <c r="B68" s="277" t="s">
        <v>4694</v>
      </c>
      <c r="C68" s="277" t="s">
        <v>4720</v>
      </c>
      <c r="D68" s="277" t="s">
        <v>4721</v>
      </c>
      <c r="E68" s="277" t="s">
        <v>197</v>
      </c>
      <c r="F68" s="277" t="s">
        <v>4722</v>
      </c>
      <c r="G68" s="277" t="s">
        <v>4737</v>
      </c>
      <c r="H68" s="277" t="s">
        <v>4738</v>
      </c>
      <c r="I68" s="277">
        <v>962</v>
      </c>
      <c r="J68" s="277" t="s">
        <v>4743</v>
      </c>
      <c r="K68" s="277">
        <v>301</v>
      </c>
      <c r="L68" s="277" t="s">
        <v>4742</v>
      </c>
      <c r="M68" s="277" t="s">
        <v>580</v>
      </c>
      <c r="N68" s="277" t="s">
        <v>4749</v>
      </c>
      <c r="O68" s="277">
        <v>521211</v>
      </c>
      <c r="P68" s="277" t="s">
        <v>4698</v>
      </c>
      <c r="Q68" s="221" cm="1">
        <f t="array" ref="Q68">SUM(_xlfn._xlws.FILTER(DIPA2[PaguRevisi],DIPA2[Akun]=SP2D[[#This Row],[Kode Akun]],0))</f>
        <v>0</v>
      </c>
      <c r="R68" s="416">
        <v>118575000</v>
      </c>
      <c r="S68" s="292">
        <f>SUM('PER BULAN'!J114:L114)</f>
        <v>0</v>
      </c>
      <c r="T68" s="292">
        <f>SUM('PER BULAN'!M114:O114)</f>
        <v>0</v>
      </c>
      <c r="U68" s="292">
        <f>SUM('PER BULAN'!P114:R114)</f>
        <v>0</v>
      </c>
      <c r="V68" s="292">
        <f>SUM('PER BULAN'!S114:U114)</f>
        <v>0</v>
      </c>
      <c r="W68" s="292">
        <f>SUM('PER BULAN'!V114:X114)</f>
        <v>0</v>
      </c>
      <c r="X68" s="292">
        <f>SUM('PER BULAN'!Y114:AA114)</f>
        <v>0</v>
      </c>
      <c r="Y68" s="292">
        <f>SUM('PER BULAN'!AB114:AD114)</f>
        <v>0</v>
      </c>
      <c r="Z68" s="292">
        <f>SUM('PER BULAN'!AE114:AG114)</f>
        <v>0</v>
      </c>
      <c r="AA68" s="292">
        <f>SUM('PER BULAN'!AH114:AJ114)</f>
        <v>0</v>
      </c>
      <c r="AB68" s="292">
        <f>SUM('PER BULAN'!AK114:AM114)</f>
        <v>0</v>
      </c>
      <c r="AC68" s="292">
        <f>SUM('PER BULAN'!AN114:AP114)</f>
        <v>0</v>
      </c>
      <c r="AD68" s="292">
        <f>SUM('PER BULAN'!AQ114:AS114)</f>
        <v>0</v>
      </c>
      <c r="AE68" s="277" t="s">
        <v>530</v>
      </c>
      <c r="AF68" s="277" t="s">
        <v>531</v>
      </c>
      <c r="AG68" s="277" t="s">
        <v>534</v>
      </c>
      <c r="AH68" s="277" t="s">
        <v>4699</v>
      </c>
      <c r="AI68" s="277" t="s">
        <v>4700</v>
      </c>
      <c r="AJ68" s="494">
        <f t="shared" si="0"/>
        <v>0</v>
      </c>
      <c r="AK68" s="291">
        <f t="shared" si="1"/>
        <v>0</v>
      </c>
      <c r="AL68" s="494">
        <f t="shared" si="2"/>
        <v>0</v>
      </c>
      <c r="AM68" s="291">
        <f t="shared" si="3"/>
        <v>0</v>
      </c>
      <c r="AN68" s="277" t="str">
        <f t="shared" si="4"/>
        <v>WA.2378.EBA.962.301.H.521211</v>
      </c>
      <c r="AO68" s="277" t="str">
        <f>IF(ISNUMBER(SEARCH("COVID",SP2D[[#This Row],[Akun]])),"COVID","Non COVID")</f>
        <v>Non COVID</v>
      </c>
      <c r="AP6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6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8" s="292">
        <f>SUM('PER BULAN'!BA114)</f>
        <v>0</v>
      </c>
      <c r="AS68" s="292">
        <f>SUM('PER BULAN'!BB114)</f>
        <v>0</v>
      </c>
      <c r="AT68" s="292">
        <f>SUM('PER BULAN'!BC114)</f>
        <v>0</v>
      </c>
      <c r="AU68" s="292">
        <f>SUM('PER BULAN'!BD114)</f>
        <v>0</v>
      </c>
      <c r="AV68" s="292">
        <f>SUM('PER BULAN'!BE114)</f>
        <v>0</v>
      </c>
      <c r="AW68" s="292">
        <f>SUM('PER BULAN'!BF114)</f>
        <v>0</v>
      </c>
      <c r="AX68" s="292">
        <f>SUM('PER BULAN'!BG114)</f>
        <v>0</v>
      </c>
      <c r="AY68" s="292">
        <f>SUM('PER BULAN'!BH114)</f>
        <v>0</v>
      </c>
    </row>
    <row r="69" spans="1:51" s="278" customFormat="1" x14ac:dyDescent="0.3">
      <c r="A69" s="277" t="s">
        <v>4693</v>
      </c>
      <c r="B69" s="277" t="s">
        <v>4694</v>
      </c>
      <c r="C69" s="277" t="s">
        <v>4720</v>
      </c>
      <c r="D69" s="277" t="s">
        <v>4721</v>
      </c>
      <c r="E69" s="277" t="s">
        <v>197</v>
      </c>
      <c r="F69" s="277" t="s">
        <v>4722</v>
      </c>
      <c r="G69" s="277" t="s">
        <v>4737</v>
      </c>
      <c r="H69" s="277" t="s">
        <v>4738</v>
      </c>
      <c r="I69" s="277">
        <v>962</v>
      </c>
      <c r="J69" s="277" t="s">
        <v>4743</v>
      </c>
      <c r="K69" s="277">
        <v>301</v>
      </c>
      <c r="L69" s="277" t="s">
        <v>4742</v>
      </c>
      <c r="M69" s="277" t="s">
        <v>580</v>
      </c>
      <c r="N69" s="277" t="s">
        <v>4749</v>
      </c>
      <c r="O69" s="277">
        <v>521219</v>
      </c>
      <c r="P69" s="277" t="s">
        <v>4711</v>
      </c>
      <c r="Q69" s="221" cm="1">
        <f t="array" ref="Q69">SUM(_xlfn._xlws.FILTER(DIPA2[PaguRevisi],DIPA2[Akun]=SP2D[[#This Row],[Kode Akun]],0))</f>
        <v>0</v>
      </c>
      <c r="R69" s="416">
        <v>393200000</v>
      </c>
      <c r="S69" s="292">
        <f>SUM('PER BULAN'!J115:L115)</f>
        <v>0</v>
      </c>
      <c r="T69" s="292">
        <f>SUM('PER BULAN'!M115:O115)</f>
        <v>0</v>
      </c>
      <c r="U69" s="292">
        <f>SUM('PER BULAN'!P115:R115)</f>
        <v>0</v>
      </c>
      <c r="V69" s="292">
        <f>SUM('PER BULAN'!S115:U115)</f>
        <v>0</v>
      </c>
      <c r="W69" s="292">
        <f>SUM('PER BULAN'!V115:X115)</f>
        <v>0</v>
      </c>
      <c r="X69" s="292">
        <f>SUM('PER BULAN'!Y115:AA115)</f>
        <v>0</v>
      </c>
      <c r="Y69" s="292">
        <f>SUM('PER BULAN'!AB115:AD115)</f>
        <v>0</v>
      </c>
      <c r="Z69" s="292">
        <f>SUM('PER BULAN'!AE115:AG115)</f>
        <v>0</v>
      </c>
      <c r="AA69" s="292">
        <f>SUM('PER BULAN'!AH115:AJ115)</f>
        <v>0</v>
      </c>
      <c r="AB69" s="292">
        <f>SUM('PER BULAN'!AK115:AM115)</f>
        <v>0</v>
      </c>
      <c r="AC69" s="292">
        <f>SUM('PER BULAN'!AN115:AP115)</f>
        <v>0</v>
      </c>
      <c r="AD69" s="292">
        <f>SUM('PER BULAN'!AQ115:AS115)</f>
        <v>0</v>
      </c>
      <c r="AE69" s="277" t="s">
        <v>530</v>
      </c>
      <c r="AF69" s="277" t="s">
        <v>531</v>
      </c>
      <c r="AG69" s="277" t="s">
        <v>534</v>
      </c>
      <c r="AH69" s="277" t="s">
        <v>4699</v>
      </c>
      <c r="AI69" s="277" t="s">
        <v>4700</v>
      </c>
      <c r="AJ69" s="494">
        <f t="shared" ref="AJ69:AJ126" si="7">SUM(S69:AD69)</f>
        <v>0</v>
      </c>
      <c r="AK69" s="291">
        <f t="shared" ref="AK69:AK132" si="8">IFERROR(AJ69/Q69*100,0)</f>
        <v>0</v>
      </c>
      <c r="AL69" s="494">
        <f t="shared" ref="AL69:AL126" si="9">Q69-AJ69</f>
        <v>0</v>
      </c>
      <c r="AM69" s="291">
        <f t="shared" ref="AM69:AM132" si="10">IFERROR(AL69/Q69*100,0)</f>
        <v>0</v>
      </c>
      <c r="AN69" s="277" t="str">
        <f t="shared" ref="AN69:AN132" si="11">_xlfn.TEXTJOIN(".",TRUE,C69,E69,G69,I69,K69,M69,O69)</f>
        <v>WA.2378.EBA.962.301.H.521219</v>
      </c>
      <c r="AO69" s="277" t="str">
        <f>IF(ISNUMBER(SEARCH("COVID",SP2D[[#This Row],[Akun]])),"COVID","Non COVID")</f>
        <v>Non COVID</v>
      </c>
      <c r="AP6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6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69" s="292">
        <f>SUM('PER BULAN'!BA115)</f>
        <v>0</v>
      </c>
      <c r="AS69" s="292">
        <f>SUM('PER BULAN'!BB115)</f>
        <v>0</v>
      </c>
      <c r="AT69" s="292">
        <f>SUM('PER BULAN'!BC115)</f>
        <v>0</v>
      </c>
      <c r="AU69" s="292">
        <f>SUM('PER BULAN'!BD115)</f>
        <v>0</v>
      </c>
      <c r="AV69" s="292">
        <f>SUM('PER BULAN'!BE115)</f>
        <v>0</v>
      </c>
      <c r="AW69" s="292">
        <f>SUM('PER BULAN'!BF115)</f>
        <v>0</v>
      </c>
      <c r="AX69" s="292">
        <f>SUM('PER BULAN'!BG115)</f>
        <v>0</v>
      </c>
      <c r="AY69" s="292">
        <f>SUM('PER BULAN'!BH115)</f>
        <v>0</v>
      </c>
    </row>
    <row r="70" spans="1:51" s="278" customFormat="1" x14ac:dyDescent="0.3">
      <c r="A70" s="277" t="s">
        <v>4693</v>
      </c>
      <c r="B70" s="277" t="s">
        <v>4694</v>
      </c>
      <c r="C70" s="277" t="s">
        <v>4720</v>
      </c>
      <c r="D70" s="277" t="s">
        <v>4721</v>
      </c>
      <c r="E70" s="277" t="s">
        <v>197</v>
      </c>
      <c r="F70" s="277" t="s">
        <v>4722</v>
      </c>
      <c r="G70" s="277" t="s">
        <v>4737</v>
      </c>
      <c r="H70" s="277" t="s">
        <v>4738</v>
      </c>
      <c r="I70" s="277">
        <v>962</v>
      </c>
      <c r="J70" s="277" t="s">
        <v>4743</v>
      </c>
      <c r="K70" s="277">
        <v>301</v>
      </c>
      <c r="L70" s="277" t="s">
        <v>4742</v>
      </c>
      <c r="M70" s="277" t="s">
        <v>580</v>
      </c>
      <c r="N70" s="277" t="s">
        <v>4749</v>
      </c>
      <c r="O70" s="277">
        <v>522141</v>
      </c>
      <c r="P70" s="277" t="s">
        <v>4704</v>
      </c>
      <c r="Q70" s="221" cm="1">
        <f t="array" ref="Q70">SUM(_xlfn._xlws.FILTER(DIPA2[PaguRevisi],DIPA2[Akun]=SP2D[[#This Row],[Kode Akun]],0))</f>
        <v>0</v>
      </c>
      <c r="R70" s="416">
        <v>120000000</v>
      </c>
      <c r="S70" s="292">
        <f>SUM('PER BULAN'!J116:L116)</f>
        <v>0</v>
      </c>
      <c r="T70" s="292">
        <f>SUM('PER BULAN'!M116:O116)</f>
        <v>0</v>
      </c>
      <c r="U70" s="292">
        <f>SUM('PER BULAN'!P116:R116)</f>
        <v>0</v>
      </c>
      <c r="V70" s="292">
        <f>SUM('PER BULAN'!S116:U116)</f>
        <v>0</v>
      </c>
      <c r="W70" s="292">
        <f>SUM('PER BULAN'!V116:X116)</f>
        <v>0</v>
      </c>
      <c r="X70" s="292">
        <f>SUM('PER BULAN'!Y116:AA116)</f>
        <v>0</v>
      </c>
      <c r="Y70" s="292">
        <f>SUM('PER BULAN'!AB116:AD116)</f>
        <v>0</v>
      </c>
      <c r="Z70" s="292">
        <f>SUM('PER BULAN'!AE116:AG116)</f>
        <v>0</v>
      </c>
      <c r="AA70" s="292">
        <f>SUM('PER BULAN'!AH116:AJ116)</f>
        <v>0</v>
      </c>
      <c r="AB70" s="292">
        <f>SUM('PER BULAN'!AK116:AM116)</f>
        <v>0</v>
      </c>
      <c r="AC70" s="292">
        <f>SUM('PER BULAN'!AN116:AP116)</f>
        <v>0</v>
      </c>
      <c r="AD70" s="292">
        <f>SUM('PER BULAN'!AQ116:AS116)</f>
        <v>0</v>
      </c>
      <c r="AE70" s="277" t="s">
        <v>530</v>
      </c>
      <c r="AF70" s="277" t="s">
        <v>531</v>
      </c>
      <c r="AG70" s="277" t="s">
        <v>534</v>
      </c>
      <c r="AH70" s="277" t="s">
        <v>4699</v>
      </c>
      <c r="AI70" s="277" t="s">
        <v>4700</v>
      </c>
      <c r="AJ70" s="494">
        <f t="shared" si="7"/>
        <v>0</v>
      </c>
      <c r="AK70" s="291">
        <f t="shared" si="8"/>
        <v>0</v>
      </c>
      <c r="AL70" s="494">
        <f t="shared" si="9"/>
        <v>0</v>
      </c>
      <c r="AM70" s="291">
        <f t="shared" si="10"/>
        <v>0</v>
      </c>
      <c r="AN70" s="277" t="str">
        <f t="shared" si="11"/>
        <v>WA.2378.EBA.962.301.H.522141</v>
      </c>
      <c r="AO70" s="277" t="str">
        <f>IF(ISNUMBER(SEARCH("COVID",SP2D[[#This Row],[Akun]])),"COVID","Non COVID")</f>
        <v>Non COVID</v>
      </c>
      <c r="AP7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Q7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0" s="292">
        <f>SUM('PER BULAN'!BA116)</f>
        <v>0</v>
      </c>
      <c r="AS70" s="292">
        <f>SUM('PER BULAN'!BB116)</f>
        <v>0</v>
      </c>
      <c r="AT70" s="292">
        <f>SUM('PER BULAN'!BC116)</f>
        <v>0</v>
      </c>
      <c r="AU70" s="292">
        <f>SUM('PER BULAN'!BD116)</f>
        <v>0</v>
      </c>
      <c r="AV70" s="292">
        <f>SUM('PER BULAN'!BE116)</f>
        <v>0</v>
      </c>
      <c r="AW70" s="292">
        <f>SUM('PER BULAN'!BF116)</f>
        <v>0</v>
      </c>
      <c r="AX70" s="292">
        <f>SUM('PER BULAN'!BG116)</f>
        <v>0</v>
      </c>
      <c r="AY70" s="292">
        <f>SUM('PER BULAN'!BH116)</f>
        <v>0</v>
      </c>
    </row>
    <row r="71" spans="1:51" s="278" customFormat="1" x14ac:dyDescent="0.3">
      <c r="A71" s="277" t="s">
        <v>4693</v>
      </c>
      <c r="B71" s="277" t="s">
        <v>4694</v>
      </c>
      <c r="C71" s="277" t="s">
        <v>4720</v>
      </c>
      <c r="D71" s="277" t="s">
        <v>4721</v>
      </c>
      <c r="E71" s="277" t="s">
        <v>197</v>
      </c>
      <c r="F71" s="277" t="s">
        <v>4722</v>
      </c>
      <c r="G71" s="277" t="s">
        <v>4737</v>
      </c>
      <c r="H71" s="277" t="s">
        <v>4738</v>
      </c>
      <c r="I71" s="277">
        <v>962</v>
      </c>
      <c r="J71" s="277" t="s">
        <v>4743</v>
      </c>
      <c r="K71" s="277">
        <v>301</v>
      </c>
      <c r="L71" s="277" t="s">
        <v>4742</v>
      </c>
      <c r="M71" s="277" t="s">
        <v>580</v>
      </c>
      <c r="N71" s="277" t="s">
        <v>4749</v>
      </c>
      <c r="O71" s="277" t="s">
        <v>513</v>
      </c>
      <c r="P71" s="277" t="s">
        <v>4702</v>
      </c>
      <c r="Q71" s="221" cm="1">
        <f t="array" ref="Q71">SUM(_xlfn._xlws.FILTER(DIPA2[PaguRevisi],DIPA2[Akun]=SP2D[[#This Row],[Kode Akun]],0))</f>
        <v>0</v>
      </c>
      <c r="R71" s="416">
        <v>7962000</v>
      </c>
      <c r="S71" s="292">
        <f>SUM('PER BULAN'!J118:L118)</f>
        <v>0</v>
      </c>
      <c r="T71" s="292">
        <f>SUM('PER BULAN'!M117:O117)</f>
        <v>0</v>
      </c>
      <c r="U71" s="292">
        <f>SUM('PER BULAN'!P117:R117)</f>
        <v>0</v>
      </c>
      <c r="V71" s="292">
        <f>SUM('PER BULAN'!S117:U117)</f>
        <v>0</v>
      </c>
      <c r="W71" s="292">
        <f>SUM('PER BULAN'!V117:X117)</f>
        <v>0</v>
      </c>
      <c r="X71" s="292">
        <f>SUM('PER BULAN'!Y117:AA117)</f>
        <v>0</v>
      </c>
      <c r="Y71" s="292">
        <f>SUM('PER BULAN'!AB117:AD117)</f>
        <v>0</v>
      </c>
      <c r="Z71" s="292">
        <f>SUM('PER BULAN'!AE117:AG117)</f>
        <v>0</v>
      </c>
      <c r="AA71" s="292">
        <f>SUM('PER BULAN'!AH117:AJ117)</f>
        <v>0</v>
      </c>
      <c r="AB71" s="292">
        <f>SUM('PER BULAN'!AK117:AM117)</f>
        <v>0</v>
      </c>
      <c r="AC71" s="292">
        <f>SUM('PER BULAN'!AN117:AP117)</f>
        <v>0</v>
      </c>
      <c r="AD71" s="292">
        <f>SUM('PER BULAN'!AQ117:AS117)</f>
        <v>0</v>
      </c>
      <c r="AE71" s="277" t="s">
        <v>530</v>
      </c>
      <c r="AF71" s="277" t="s">
        <v>531</v>
      </c>
      <c r="AG71" s="277" t="s">
        <v>534</v>
      </c>
      <c r="AH71" s="277" t="s">
        <v>4699</v>
      </c>
      <c r="AI71" s="277" t="s">
        <v>4700</v>
      </c>
      <c r="AJ71" s="494">
        <f t="shared" si="7"/>
        <v>0</v>
      </c>
      <c r="AK71" s="291">
        <f t="shared" si="8"/>
        <v>0</v>
      </c>
      <c r="AL71" s="494">
        <f t="shared" si="9"/>
        <v>0</v>
      </c>
      <c r="AM71" s="291">
        <f t="shared" si="10"/>
        <v>0</v>
      </c>
      <c r="AN71" s="277" t="str">
        <f t="shared" si="11"/>
        <v>WA.2378.EBA.962.301.H.524111</v>
      </c>
      <c r="AO71" s="277" t="str">
        <f>IF(ISNUMBER(SEARCH("COVID",SP2D[[#This Row],[Akun]])),"COVID","Non COVID")</f>
        <v>Non COVID</v>
      </c>
      <c r="AP7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7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1" s="292">
        <f>SUM('PER BULAN'!BA117)</f>
        <v>0</v>
      </c>
      <c r="AS71" s="292">
        <f>SUM('PER BULAN'!BB117)</f>
        <v>0</v>
      </c>
      <c r="AT71" s="292">
        <f>SUM('PER BULAN'!BC117)</f>
        <v>0</v>
      </c>
      <c r="AU71" s="292">
        <f>SUM('PER BULAN'!BD117)</f>
        <v>0</v>
      </c>
      <c r="AV71" s="292">
        <f>SUM('PER BULAN'!BE117)</f>
        <v>0</v>
      </c>
      <c r="AW71" s="292">
        <f>SUM('PER BULAN'!BF117)</f>
        <v>0</v>
      </c>
      <c r="AX71" s="292">
        <f>SUM('PER BULAN'!BG117)</f>
        <v>0</v>
      </c>
      <c r="AY71" s="292">
        <f>SUM('PER BULAN'!BH117)</f>
        <v>0</v>
      </c>
    </row>
    <row r="72" spans="1:51" s="278" customFormat="1" x14ac:dyDescent="0.3">
      <c r="A72" s="277" t="s">
        <v>4693</v>
      </c>
      <c r="B72" s="277" t="s">
        <v>4694</v>
      </c>
      <c r="C72" s="277" t="s">
        <v>4720</v>
      </c>
      <c r="D72" s="277" t="s">
        <v>4721</v>
      </c>
      <c r="E72" s="277" t="s">
        <v>197</v>
      </c>
      <c r="F72" s="277" t="s">
        <v>4722</v>
      </c>
      <c r="G72" s="277" t="s">
        <v>4737</v>
      </c>
      <c r="H72" s="277" t="s">
        <v>4738</v>
      </c>
      <c r="I72" s="277">
        <v>962</v>
      </c>
      <c r="J72" s="277" t="s">
        <v>4743</v>
      </c>
      <c r="K72" s="277">
        <v>301</v>
      </c>
      <c r="L72" s="277" t="s">
        <v>4742</v>
      </c>
      <c r="M72" s="277" t="s">
        <v>581</v>
      </c>
      <c r="N72" s="277" t="s">
        <v>4750</v>
      </c>
      <c r="O72" s="277">
        <v>521211</v>
      </c>
      <c r="P72" s="277" t="s">
        <v>4698</v>
      </c>
      <c r="Q72" s="221" cm="1">
        <f t="array" ref="Q72">SUM(_xlfn._xlws.FILTER(DIPA2[PaguRevisi],DIPA2[Akun]=SP2D[[#This Row],[Kode Akun]],0))</f>
        <v>17550000</v>
      </c>
      <c r="R72" s="416">
        <v>17550000</v>
      </c>
      <c r="S72" s="292">
        <f>SUM('PER BULAN'!J119:L119)</f>
        <v>0</v>
      </c>
      <c r="T72" s="292">
        <f>SUM('PER BULAN'!M119:O119)</f>
        <v>0</v>
      </c>
      <c r="U72" s="292">
        <f>SUM('PER BULAN'!P119:R119)</f>
        <v>2444000</v>
      </c>
      <c r="V72" s="292">
        <f>SUM('PER BULAN'!S119:U119)</f>
        <v>0</v>
      </c>
      <c r="W72" s="292">
        <f>SUM('PER BULAN'!V119:X119)</f>
        <v>7025000</v>
      </c>
      <c r="X72" s="292">
        <f>SUM('PER BULAN'!Y119:AA119)</f>
        <v>0</v>
      </c>
      <c r="Y72" s="292">
        <f>SUM('PER BULAN'!AB119:AD119)</f>
        <v>0</v>
      </c>
      <c r="Z72" s="292">
        <f>SUM('PER BULAN'!AE119:AG119)</f>
        <v>0</v>
      </c>
      <c r="AA72" s="292">
        <f>SUM('PER BULAN'!AH119:AJ119)</f>
        <v>0</v>
      </c>
      <c r="AB72" s="292">
        <f>SUM('PER BULAN'!AK119:AM119)</f>
        <v>0</v>
      </c>
      <c r="AC72" s="292">
        <f>SUM('PER BULAN'!AN119:AP119)</f>
        <v>0</v>
      </c>
      <c r="AD72" s="292">
        <f>SUM('PER BULAN'!AQ119:AS119)</f>
        <v>0</v>
      </c>
      <c r="AE72" s="277" t="s">
        <v>530</v>
      </c>
      <c r="AF72" s="277" t="s">
        <v>531</v>
      </c>
      <c r="AG72" s="277" t="s">
        <v>534</v>
      </c>
      <c r="AH72" s="277" t="s">
        <v>4699</v>
      </c>
      <c r="AI72" s="277" t="s">
        <v>4700</v>
      </c>
      <c r="AJ72" s="494">
        <f t="shared" si="7"/>
        <v>9469000</v>
      </c>
      <c r="AK72" s="291">
        <f t="shared" si="8"/>
        <v>53.954415954415957</v>
      </c>
      <c r="AL72" s="494">
        <f t="shared" si="9"/>
        <v>8081000</v>
      </c>
      <c r="AM72" s="291">
        <f t="shared" si="10"/>
        <v>46.04558404558405</v>
      </c>
      <c r="AN72" s="277" t="str">
        <f t="shared" si="11"/>
        <v>WA.2378.EBA.962.301.I.521211</v>
      </c>
      <c r="AO72" s="277" t="str">
        <f>IF(ISNUMBER(SEARCH("COVID",SP2D[[#This Row],[Akun]])),"COVID","Non COVID")</f>
        <v>Non COVID</v>
      </c>
      <c r="AP7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7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2" s="292">
        <f>SUM('PER BULAN'!BA119)</f>
        <v>0</v>
      </c>
      <c r="AS72" s="292">
        <f>SUM('PER BULAN'!BB119)</f>
        <v>2444000</v>
      </c>
      <c r="AT72" s="292">
        <f>SUM('PER BULAN'!BC119)</f>
        <v>0</v>
      </c>
      <c r="AU72" s="292">
        <f>SUM('PER BULAN'!BD119)</f>
        <v>0</v>
      </c>
      <c r="AV72" s="292">
        <f>SUM('PER BULAN'!BE119)</f>
        <v>0</v>
      </c>
      <c r="AW72" s="292">
        <f>SUM('PER BULAN'!BF119)</f>
        <v>528000</v>
      </c>
      <c r="AX72" s="292">
        <f>SUM('PER BULAN'!BG119)</f>
        <v>6497000</v>
      </c>
      <c r="AY72" s="292">
        <f>SUM('PER BULAN'!BH119)</f>
        <v>0</v>
      </c>
    </row>
    <row r="73" spans="1:51" s="278" customFormat="1" x14ac:dyDescent="0.3">
      <c r="A73" s="277" t="s">
        <v>4693</v>
      </c>
      <c r="B73" s="277" t="s">
        <v>4694</v>
      </c>
      <c r="C73" s="277" t="s">
        <v>4720</v>
      </c>
      <c r="D73" s="277" t="s">
        <v>4721</v>
      </c>
      <c r="E73" s="277" t="s">
        <v>197</v>
      </c>
      <c r="F73" s="277" t="s">
        <v>4722</v>
      </c>
      <c r="G73" s="277" t="s">
        <v>4737</v>
      </c>
      <c r="H73" s="277" t="s">
        <v>4738</v>
      </c>
      <c r="I73" s="277">
        <v>962</v>
      </c>
      <c r="J73" s="277" t="s">
        <v>4743</v>
      </c>
      <c r="K73" s="277">
        <v>301</v>
      </c>
      <c r="L73" s="277" t="s">
        <v>4742</v>
      </c>
      <c r="M73" s="277" t="s">
        <v>581</v>
      </c>
      <c r="N73" s="277" t="s">
        <v>4750</v>
      </c>
      <c r="O73" s="277">
        <v>521219</v>
      </c>
      <c r="P73" s="277" t="s">
        <v>4711</v>
      </c>
      <c r="Q73" s="221" cm="1">
        <f t="array" ref="Q73">SUM(_xlfn._xlws.FILTER(DIPA2[PaguRevisi],DIPA2[Akun]=SP2D[[#This Row],[Kode Akun]],0))</f>
        <v>27651000</v>
      </c>
      <c r="R73" s="416">
        <v>27651000</v>
      </c>
      <c r="S73" s="292">
        <f>SUM('PER BULAN'!J120:L120)</f>
        <v>0</v>
      </c>
      <c r="T73" s="292">
        <f>SUM('PER BULAN'!M120:O120)</f>
        <v>0</v>
      </c>
      <c r="U73" s="292">
        <f>SUM('PER BULAN'!P120:R120)</f>
        <v>370000</v>
      </c>
      <c r="V73" s="292">
        <f>SUM('PER BULAN'!S120:U120)</f>
        <v>0</v>
      </c>
      <c r="W73" s="292">
        <f>SUM('PER BULAN'!V120:X120)</f>
        <v>250000</v>
      </c>
      <c r="X73" s="292">
        <f>SUM('PER BULAN'!Y120:AA120)</f>
        <v>0</v>
      </c>
      <c r="Y73" s="292">
        <f>SUM('PER BULAN'!AB120:AD120)</f>
        <v>0</v>
      </c>
      <c r="Z73" s="292">
        <f>SUM('PER BULAN'!AE120:AG120)</f>
        <v>0</v>
      </c>
      <c r="AA73" s="292">
        <f>SUM('PER BULAN'!AH120:AJ120)</f>
        <v>0</v>
      </c>
      <c r="AB73" s="292">
        <f>SUM('PER BULAN'!AK120:AM120)</f>
        <v>0</v>
      </c>
      <c r="AC73" s="292">
        <f>SUM('PER BULAN'!AN120:AP120)</f>
        <v>0</v>
      </c>
      <c r="AD73" s="292">
        <f>SUM('PER BULAN'!AQ120:AS120)</f>
        <v>0</v>
      </c>
      <c r="AE73" s="277" t="s">
        <v>530</v>
      </c>
      <c r="AF73" s="277" t="s">
        <v>531</v>
      </c>
      <c r="AG73" s="277" t="s">
        <v>534</v>
      </c>
      <c r="AH73" s="277" t="s">
        <v>4699</v>
      </c>
      <c r="AI73" s="277" t="s">
        <v>4700</v>
      </c>
      <c r="AJ73" s="494">
        <f t="shared" si="7"/>
        <v>620000</v>
      </c>
      <c r="AK73" s="291">
        <f t="shared" si="8"/>
        <v>2.2422335539401832</v>
      </c>
      <c r="AL73" s="494">
        <f t="shared" si="9"/>
        <v>27031000</v>
      </c>
      <c r="AM73" s="291">
        <f t="shared" si="10"/>
        <v>97.757766446059819</v>
      </c>
      <c r="AN73" s="277" t="str">
        <f t="shared" si="11"/>
        <v>WA.2378.EBA.962.301.I.521219</v>
      </c>
      <c r="AO73" s="277" t="str">
        <f>IF(ISNUMBER(SEARCH("COVID",SP2D[[#This Row],[Akun]])),"COVID","Non COVID")</f>
        <v>Non COVID</v>
      </c>
      <c r="AP7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7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3" s="292">
        <f>SUM('PER BULAN'!BA120)</f>
        <v>0</v>
      </c>
      <c r="AS73" s="292">
        <f>SUM('PER BULAN'!BB120)</f>
        <v>250000</v>
      </c>
      <c r="AT73" s="292">
        <f>SUM('PER BULAN'!BC120)</f>
        <v>120000</v>
      </c>
      <c r="AU73" s="292">
        <f>SUM('PER BULAN'!BD120)</f>
        <v>0</v>
      </c>
      <c r="AV73" s="292">
        <f>SUM('PER BULAN'!BE120)</f>
        <v>0</v>
      </c>
      <c r="AW73" s="292">
        <f>SUM('PER BULAN'!BF120)</f>
        <v>0</v>
      </c>
      <c r="AX73" s="292">
        <f>SUM('PER BULAN'!BG120)</f>
        <v>250000</v>
      </c>
      <c r="AY73" s="292">
        <f>SUM('PER BULAN'!BH120)</f>
        <v>0</v>
      </c>
    </row>
    <row r="74" spans="1:51" s="278" customFormat="1" x14ac:dyDescent="0.3">
      <c r="A74" s="277" t="s">
        <v>4693</v>
      </c>
      <c r="B74" s="277" t="s">
        <v>4694</v>
      </c>
      <c r="C74" s="277" t="s">
        <v>4720</v>
      </c>
      <c r="D74" s="277" t="s">
        <v>4721</v>
      </c>
      <c r="E74" s="277" t="s">
        <v>197</v>
      </c>
      <c r="F74" s="277" t="s">
        <v>4722</v>
      </c>
      <c r="G74" s="277" t="s">
        <v>4737</v>
      </c>
      <c r="H74" s="277" t="s">
        <v>4738</v>
      </c>
      <c r="I74" s="277">
        <v>962</v>
      </c>
      <c r="J74" s="277" t="s">
        <v>4743</v>
      </c>
      <c r="K74" s="277">
        <v>301</v>
      </c>
      <c r="L74" s="277" t="s">
        <v>4742</v>
      </c>
      <c r="M74" s="277" t="s">
        <v>581</v>
      </c>
      <c r="N74" s="277" t="s">
        <v>4750</v>
      </c>
      <c r="O74" s="277">
        <v>522151</v>
      </c>
      <c r="P74" s="277" t="s">
        <v>4701</v>
      </c>
      <c r="Q74" s="221" cm="1">
        <f t="array" ref="Q74">SUM(_xlfn._xlws.FILTER(DIPA2[PaguRevisi],DIPA2[Akun]=SP2D[[#This Row],[Kode Akun]],0))</f>
        <v>40000000</v>
      </c>
      <c r="R74" s="416">
        <v>40000000</v>
      </c>
      <c r="S74" s="292">
        <f>SUM('PER BULAN'!J121:L121)</f>
        <v>0</v>
      </c>
      <c r="T74" s="292">
        <f>SUM('PER BULAN'!M121:O121)</f>
        <v>0</v>
      </c>
      <c r="U74" s="292">
        <f>SUM('PER BULAN'!P121:R121)</f>
        <v>0</v>
      </c>
      <c r="V74" s="292">
        <f>SUM('PER BULAN'!S121:U121)</f>
        <v>0</v>
      </c>
      <c r="W74" s="292">
        <f>SUM('PER BULAN'!V121:X121)</f>
        <v>14000000</v>
      </c>
      <c r="X74" s="292">
        <f>SUM('PER BULAN'!Y121:AA121)</f>
        <v>0</v>
      </c>
      <c r="Y74" s="292">
        <f>SUM('PER BULAN'!AB121:AD121)</f>
        <v>0</v>
      </c>
      <c r="Z74" s="292">
        <f>SUM('PER BULAN'!AE121:AG121)</f>
        <v>0</v>
      </c>
      <c r="AA74" s="292">
        <f>SUM('PER BULAN'!AH121:AJ121)</f>
        <v>0</v>
      </c>
      <c r="AB74" s="292">
        <f>SUM('PER BULAN'!AK121:AM121)</f>
        <v>0</v>
      </c>
      <c r="AC74" s="292">
        <f>SUM('PER BULAN'!AN121:AP121)</f>
        <v>0</v>
      </c>
      <c r="AD74" s="292">
        <f>SUM('PER BULAN'!AQ121:AS121)</f>
        <v>0</v>
      </c>
      <c r="AE74" s="277" t="s">
        <v>530</v>
      </c>
      <c r="AF74" s="277" t="s">
        <v>531</v>
      </c>
      <c r="AG74" s="277" t="s">
        <v>534</v>
      </c>
      <c r="AH74" s="277" t="s">
        <v>4699</v>
      </c>
      <c r="AI74" s="277" t="s">
        <v>4700</v>
      </c>
      <c r="AJ74" s="494">
        <f t="shared" si="7"/>
        <v>14000000</v>
      </c>
      <c r="AK74" s="291">
        <f t="shared" si="8"/>
        <v>35</v>
      </c>
      <c r="AL74" s="494">
        <f t="shared" si="9"/>
        <v>26000000</v>
      </c>
      <c r="AM74" s="291">
        <f t="shared" si="10"/>
        <v>65</v>
      </c>
      <c r="AN74" s="277" t="str">
        <f t="shared" si="11"/>
        <v>WA.2378.EBA.962.301.I.522151</v>
      </c>
      <c r="AO74" s="277" t="str">
        <f>IF(ISNUMBER(SEARCH("COVID",SP2D[[#This Row],[Akun]])),"COVID","Non COVID")</f>
        <v>Non COVID</v>
      </c>
      <c r="AP7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7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4" s="292">
        <f>SUM('PER BULAN'!BA121)</f>
        <v>0</v>
      </c>
      <c r="AS74" s="292">
        <f>SUM('PER BULAN'!BB121)</f>
        <v>0</v>
      </c>
      <c r="AT74" s="292">
        <f>SUM('PER BULAN'!BC121)</f>
        <v>0</v>
      </c>
      <c r="AU74" s="292">
        <f>SUM('PER BULAN'!BD121)</f>
        <v>0</v>
      </c>
      <c r="AV74" s="292">
        <f>SUM('PER BULAN'!BE121)</f>
        <v>0</v>
      </c>
      <c r="AW74" s="292">
        <f>SUM('PER BULAN'!BF121)</f>
        <v>0</v>
      </c>
      <c r="AX74" s="292">
        <f>SUM('PER BULAN'!BG121)</f>
        <v>14000000</v>
      </c>
      <c r="AY74" s="292">
        <f>SUM('PER BULAN'!BH121)</f>
        <v>0</v>
      </c>
    </row>
    <row r="75" spans="1:51" s="278" customFormat="1" x14ac:dyDescent="0.3">
      <c r="A75" s="277" t="s">
        <v>4693</v>
      </c>
      <c r="B75" s="277" t="s">
        <v>4694</v>
      </c>
      <c r="C75" s="277" t="s">
        <v>4720</v>
      </c>
      <c r="D75" s="277" t="s">
        <v>4721</v>
      </c>
      <c r="E75" s="277" t="s">
        <v>197</v>
      </c>
      <c r="F75" s="277" t="s">
        <v>4722</v>
      </c>
      <c r="G75" s="277" t="s">
        <v>4737</v>
      </c>
      <c r="H75" s="277" t="s">
        <v>4738</v>
      </c>
      <c r="I75" s="277">
        <v>962</v>
      </c>
      <c r="J75" s="277" t="s">
        <v>4743</v>
      </c>
      <c r="K75" s="277">
        <v>301</v>
      </c>
      <c r="L75" s="277" t="s">
        <v>4742</v>
      </c>
      <c r="M75" s="277" t="s">
        <v>581</v>
      </c>
      <c r="N75" s="277" t="s">
        <v>4750</v>
      </c>
      <c r="O75" s="277" t="s">
        <v>513</v>
      </c>
      <c r="P75" s="277" t="s">
        <v>4702</v>
      </c>
      <c r="Q75" s="221" cm="1">
        <f t="array" ref="Q75">SUM(_xlfn._xlws.FILTER(DIPA2[PaguRevisi],DIPA2[Akun]=SP2D[[#This Row],[Kode Akun]],0))</f>
        <v>25062000</v>
      </c>
      <c r="R75" s="416">
        <v>25062000</v>
      </c>
      <c r="S75" s="292">
        <f>SUM('PER BULAN'!J125:L125)</f>
        <v>0</v>
      </c>
      <c r="T75" s="292">
        <f>SUM('PER BULAN'!M122:O122)</f>
        <v>0</v>
      </c>
      <c r="U75" s="292">
        <f>SUM('PER BULAN'!P122:R122)</f>
        <v>25062000</v>
      </c>
      <c r="V75" s="292">
        <f>SUM('PER BULAN'!S122:U122)</f>
        <v>0</v>
      </c>
      <c r="W75" s="292">
        <f>SUM('PER BULAN'!V122:X122)</f>
        <v>0</v>
      </c>
      <c r="X75" s="292">
        <f>SUM('PER BULAN'!Y122:AA122)</f>
        <v>0</v>
      </c>
      <c r="Y75" s="292">
        <f>SUM('PER BULAN'!AB122:AD122)</f>
        <v>0</v>
      </c>
      <c r="Z75" s="292">
        <f>SUM('PER BULAN'!AE122:AG122)</f>
        <v>0</v>
      </c>
      <c r="AA75" s="292">
        <f>SUM('PER BULAN'!AH122:AJ122)</f>
        <v>0</v>
      </c>
      <c r="AB75" s="292">
        <f>SUM('PER BULAN'!AK122:AM122)</f>
        <v>0</v>
      </c>
      <c r="AC75" s="292">
        <f>SUM('PER BULAN'!AN122:AP122)</f>
        <v>0</v>
      </c>
      <c r="AD75" s="292">
        <f>SUM('PER BULAN'!AQ122:AS122)</f>
        <v>0</v>
      </c>
      <c r="AE75" s="277" t="s">
        <v>530</v>
      </c>
      <c r="AF75" s="277" t="s">
        <v>531</v>
      </c>
      <c r="AG75" s="277" t="s">
        <v>534</v>
      </c>
      <c r="AH75" s="277" t="s">
        <v>4699</v>
      </c>
      <c r="AI75" s="277" t="s">
        <v>4700</v>
      </c>
      <c r="AJ75" s="494">
        <f t="shared" si="7"/>
        <v>25062000</v>
      </c>
      <c r="AK75" s="291">
        <f t="shared" si="8"/>
        <v>100</v>
      </c>
      <c r="AL75" s="494">
        <f t="shared" si="9"/>
        <v>0</v>
      </c>
      <c r="AM75" s="291">
        <f t="shared" si="10"/>
        <v>0</v>
      </c>
      <c r="AN75" s="277" t="str">
        <f t="shared" si="11"/>
        <v>WA.2378.EBA.962.301.I.524111</v>
      </c>
      <c r="AO75" s="277" t="str">
        <f>IF(ISNUMBER(SEARCH("COVID",SP2D[[#This Row],[Akun]])),"COVID","Non COVID")</f>
        <v>Non COVID</v>
      </c>
      <c r="AP7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7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75" s="292">
        <f>SUM('PER BULAN'!BA122)</f>
        <v>0</v>
      </c>
      <c r="AS75" s="292">
        <f>SUM('PER BULAN'!BB122)</f>
        <v>15982000</v>
      </c>
      <c r="AT75" s="292">
        <f>SUM('PER BULAN'!BC122)</f>
        <v>9080000</v>
      </c>
      <c r="AU75" s="292">
        <f>SUM('PER BULAN'!BD122)</f>
        <v>0</v>
      </c>
      <c r="AV75" s="292">
        <f>SUM('PER BULAN'!BE122)</f>
        <v>0</v>
      </c>
      <c r="AW75" s="292">
        <f>SUM('PER BULAN'!BF122)</f>
        <v>0</v>
      </c>
      <c r="AX75" s="292">
        <f>SUM('PER BULAN'!BG122)</f>
        <v>0</v>
      </c>
      <c r="AY75" s="292">
        <f>SUM('PER BULAN'!BH122)</f>
        <v>0</v>
      </c>
    </row>
    <row r="76" spans="1:51" s="278" customFormat="1" x14ac:dyDescent="0.3">
      <c r="A76" s="277" t="s">
        <v>4693</v>
      </c>
      <c r="B76" s="277" t="s">
        <v>4694</v>
      </c>
      <c r="C76" s="277" t="s">
        <v>4720</v>
      </c>
      <c r="D76" s="277" t="s">
        <v>4721</v>
      </c>
      <c r="E76" s="277" t="s">
        <v>197</v>
      </c>
      <c r="F76" s="277" t="s">
        <v>4722</v>
      </c>
      <c r="G76" s="277" t="s">
        <v>4737</v>
      </c>
      <c r="H76" s="277" t="s">
        <v>4738</v>
      </c>
      <c r="I76" s="277">
        <v>994</v>
      </c>
      <c r="J76" s="277" t="s">
        <v>6249</v>
      </c>
      <c r="K76" s="414" t="s">
        <v>557</v>
      </c>
      <c r="L76" s="277" t="s">
        <v>4654</v>
      </c>
      <c r="M76" s="277" t="s">
        <v>1807</v>
      </c>
      <c r="N76" s="277" t="s">
        <v>4752</v>
      </c>
      <c r="O76" s="277">
        <v>521111</v>
      </c>
      <c r="P76" s="277" t="s">
        <v>4753</v>
      </c>
      <c r="Q76" s="221" cm="1">
        <f t="array" ref="Q76">SUM(_xlfn._xlws.FILTER(DIPA2[PaguRevisi],DIPA2[Akun]=SP2D[[#This Row],[Kode Akun]],0))</f>
        <v>1076220000</v>
      </c>
      <c r="R76" s="416">
        <v>1076220000</v>
      </c>
      <c r="S76" s="292">
        <f>SUM('PER BULAN'!J126:L126)</f>
        <v>0</v>
      </c>
      <c r="T76" s="292">
        <f>SUM('PER BULAN'!M126:O126)</f>
        <v>63640000</v>
      </c>
      <c r="U76" s="292">
        <f>SUM('PER BULAN'!P126:R126)</f>
        <v>80776487</v>
      </c>
      <c r="V76" s="292">
        <f>SUM('PER BULAN'!S126:U126)</f>
        <v>135515096</v>
      </c>
      <c r="W76" s="292">
        <f>SUM('PER BULAN'!V126:X126)</f>
        <v>79486568</v>
      </c>
      <c r="X76" s="292">
        <f>SUM('PER BULAN'!Y126:AA126)</f>
        <v>63640000</v>
      </c>
      <c r="Y76" s="292">
        <f>SUM('PER BULAN'!AB126:AD126)</f>
        <v>0</v>
      </c>
      <c r="Z76" s="292">
        <f>SUM('PER BULAN'!AE126:AG126)</f>
        <v>0</v>
      </c>
      <c r="AA76" s="292">
        <f>SUM('PER BULAN'!AH126:AJ126)</f>
        <v>0</v>
      </c>
      <c r="AB76" s="292">
        <f>SUM('PER BULAN'!AK126:AM126)</f>
        <v>0</v>
      </c>
      <c r="AC76" s="292">
        <f>SUM('PER BULAN'!AN126:AP126)</f>
        <v>0</v>
      </c>
      <c r="AD76" s="292">
        <f>SUM('PER BULAN'!AQ126:AS126)</f>
        <v>0</v>
      </c>
      <c r="AE76" s="277" t="s">
        <v>530</v>
      </c>
      <c r="AF76" s="277" t="s">
        <v>576</v>
      </c>
      <c r="AG76" s="277" t="s">
        <v>560</v>
      </c>
      <c r="AH76" s="277" t="s">
        <v>4699</v>
      </c>
      <c r="AI76" s="277" t="s">
        <v>4700</v>
      </c>
      <c r="AJ76" s="494">
        <f t="shared" si="7"/>
        <v>423058151</v>
      </c>
      <c r="AK76" s="291">
        <f t="shared" si="8"/>
        <v>39.309634740108898</v>
      </c>
      <c r="AL76" s="494">
        <f t="shared" si="9"/>
        <v>653161849</v>
      </c>
      <c r="AM76" s="291">
        <f t="shared" si="10"/>
        <v>60.690365259891102</v>
      </c>
      <c r="AN76" s="277" t="str">
        <f t="shared" si="11"/>
        <v>WA.2378.EBA.994.002.GA.521111</v>
      </c>
      <c r="AO76" s="277" t="str">
        <f>IF(ISNUMBER(SEARCH("COVID",SP2D[[#This Row],[Akun]])),"COVID","Non COVID")</f>
        <v>Non COVID</v>
      </c>
      <c r="AP7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Q76"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76" s="292">
        <f>SUM('PER BULAN'!BA126)</f>
        <v>2178865</v>
      </c>
      <c r="AS76" s="292">
        <f>SUM('PER BULAN'!BB126)</f>
        <v>8107900</v>
      </c>
      <c r="AT76" s="292">
        <f>SUM('PER BULAN'!BC126)</f>
        <v>6849722</v>
      </c>
      <c r="AU76" s="292">
        <f>SUM('PER BULAN'!BD126)</f>
        <v>8235096</v>
      </c>
      <c r="AV76" s="292">
        <f>SUM('PER BULAN'!BE126)</f>
        <v>8616711</v>
      </c>
      <c r="AW76" s="292">
        <f>SUM('PER BULAN'!BF126)</f>
        <v>7229857</v>
      </c>
      <c r="AX76" s="292">
        <f>SUM('PER BULAN'!BG126)</f>
        <v>0</v>
      </c>
      <c r="AY76" s="292">
        <f>SUM('PER BULAN'!BH126)</f>
        <v>0</v>
      </c>
    </row>
    <row r="77" spans="1:51" s="278" customFormat="1" x14ac:dyDescent="0.3">
      <c r="A77" s="277" t="s">
        <v>4693</v>
      </c>
      <c r="B77" s="277" t="s">
        <v>4694</v>
      </c>
      <c r="C77" s="277" t="s">
        <v>4720</v>
      </c>
      <c r="D77" s="277" t="s">
        <v>4721</v>
      </c>
      <c r="E77" s="277" t="s">
        <v>197</v>
      </c>
      <c r="F77" s="277" t="s">
        <v>4722</v>
      </c>
      <c r="G77" s="277" t="s">
        <v>4737</v>
      </c>
      <c r="H77" s="277" t="s">
        <v>4738</v>
      </c>
      <c r="I77" s="277">
        <v>994</v>
      </c>
      <c r="J77" s="277" t="s">
        <v>6249</v>
      </c>
      <c r="K77" s="414" t="s">
        <v>557</v>
      </c>
      <c r="L77" s="277" t="s">
        <v>4654</v>
      </c>
      <c r="M77" s="277" t="s">
        <v>1807</v>
      </c>
      <c r="N77" s="277" t="s">
        <v>4752</v>
      </c>
      <c r="O77" s="277">
        <v>521811</v>
      </c>
      <c r="P77" s="277" t="s">
        <v>4716</v>
      </c>
      <c r="Q77" s="221" cm="1">
        <f t="array" ref="Q77">SUM(_xlfn._xlws.FILTER(DIPA2[PaguRevisi],DIPA2[Akun]=SP2D[[#This Row],[Kode Akun]],0))</f>
        <v>178160000</v>
      </c>
      <c r="R77" s="416">
        <v>178160000</v>
      </c>
      <c r="S77" s="292">
        <f>SUM('PER BULAN'!J128:L128)</f>
        <v>0</v>
      </c>
      <c r="T77" s="292">
        <f>SUM('PER BULAN'!M127:O127)</f>
        <v>0</v>
      </c>
      <c r="U77" s="292">
        <f>SUM('PER BULAN'!P127:R127)</f>
        <v>32474000</v>
      </c>
      <c r="V77" s="292">
        <f>SUM('PER BULAN'!S127:U127)</f>
        <v>8952000</v>
      </c>
      <c r="W77" s="292">
        <f>SUM('PER BULAN'!V127:X127)</f>
        <v>23282000</v>
      </c>
      <c r="X77" s="292">
        <f>SUM('PER BULAN'!Y127:AA127)</f>
        <v>0</v>
      </c>
      <c r="Y77" s="292">
        <f>SUM('PER BULAN'!AB127:AD127)</f>
        <v>0</v>
      </c>
      <c r="Z77" s="292">
        <f>SUM('PER BULAN'!AE127:AG127)</f>
        <v>0</v>
      </c>
      <c r="AA77" s="292">
        <f>SUM('PER BULAN'!AH127:AJ127)</f>
        <v>0</v>
      </c>
      <c r="AB77" s="292">
        <f>SUM('PER BULAN'!AK127:AM127)</f>
        <v>0</v>
      </c>
      <c r="AC77" s="292">
        <f>SUM('PER BULAN'!AN127:AP127)</f>
        <v>0</v>
      </c>
      <c r="AD77" s="292">
        <f>SUM('PER BULAN'!AQ127:AS127)</f>
        <v>0</v>
      </c>
      <c r="AE77" s="277" t="s">
        <v>530</v>
      </c>
      <c r="AF77" s="277" t="s">
        <v>576</v>
      </c>
      <c r="AG77" s="277" t="s">
        <v>560</v>
      </c>
      <c r="AH77" s="277" t="s">
        <v>4699</v>
      </c>
      <c r="AI77" s="277" t="s">
        <v>4700</v>
      </c>
      <c r="AJ77" s="494">
        <f t="shared" si="7"/>
        <v>64708000</v>
      </c>
      <c r="AK77" s="291">
        <f t="shared" si="8"/>
        <v>36.320161652447233</v>
      </c>
      <c r="AL77" s="494">
        <f t="shared" si="9"/>
        <v>113452000</v>
      </c>
      <c r="AM77" s="291">
        <f t="shared" si="10"/>
        <v>63.679838347552767</v>
      </c>
      <c r="AN77" s="277" t="str">
        <f t="shared" si="11"/>
        <v>WA.2378.EBA.994.002.GA.521811</v>
      </c>
      <c r="AO77" s="277" t="str">
        <f>IF(ISNUMBER(SEARCH("COVID",SP2D[[#This Row],[Akun]])),"COVID","Non COVID")</f>
        <v>Non COVID</v>
      </c>
      <c r="AP7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77"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77" s="292">
        <f>SUM('PER BULAN'!BA127)</f>
        <v>13175000</v>
      </c>
      <c r="AS77" s="292">
        <f>SUM('PER BULAN'!BB127)</f>
        <v>19299000</v>
      </c>
      <c r="AT77" s="292">
        <f>SUM('PER BULAN'!BC127)</f>
        <v>0</v>
      </c>
      <c r="AU77" s="292">
        <f>SUM('PER BULAN'!BD127)</f>
        <v>8952000</v>
      </c>
      <c r="AV77" s="292">
        <f>SUM('PER BULAN'!BE127)</f>
        <v>1680000</v>
      </c>
      <c r="AW77" s="292">
        <f>SUM('PER BULAN'!BF127)</f>
        <v>21602000</v>
      </c>
      <c r="AX77" s="292">
        <f>SUM('PER BULAN'!BG127)</f>
        <v>0</v>
      </c>
      <c r="AY77" s="292">
        <f>SUM('PER BULAN'!BH127)</f>
        <v>0</v>
      </c>
    </row>
    <row r="78" spans="1:51" s="278" customFormat="1" x14ac:dyDescent="0.3">
      <c r="A78" s="277" t="s">
        <v>4693</v>
      </c>
      <c r="B78" s="277" t="s">
        <v>4694</v>
      </c>
      <c r="C78" s="277" t="s">
        <v>4720</v>
      </c>
      <c r="D78" s="277" t="s">
        <v>4721</v>
      </c>
      <c r="E78" s="277" t="s">
        <v>197</v>
      </c>
      <c r="F78" s="277" t="s">
        <v>4722</v>
      </c>
      <c r="G78" s="277" t="s">
        <v>4737</v>
      </c>
      <c r="H78" s="277" t="s">
        <v>4738</v>
      </c>
      <c r="I78" s="277">
        <v>994</v>
      </c>
      <c r="J78" s="277" t="s">
        <v>6249</v>
      </c>
      <c r="K78" s="414" t="s">
        <v>557</v>
      </c>
      <c r="L78" s="277" t="s">
        <v>4654</v>
      </c>
      <c r="M78" s="277" t="s">
        <v>2208</v>
      </c>
      <c r="N78" s="277" t="s">
        <v>4754</v>
      </c>
      <c r="O78" s="277">
        <v>521114</v>
      </c>
      <c r="P78" s="277" t="s">
        <v>4755</v>
      </c>
      <c r="Q78" s="221" cm="1">
        <f t="array" ref="Q78">SUM(_xlfn._xlws.FILTER(DIPA2[PaguRevisi],DIPA2[Akun]=SP2D[[#This Row],[Kode Akun]],0))</f>
        <v>30000000</v>
      </c>
      <c r="R78" s="416">
        <v>30000000</v>
      </c>
      <c r="S78" s="292">
        <f>SUM('PER BULAN'!J129:L129)</f>
        <v>0</v>
      </c>
      <c r="T78" s="292">
        <f>SUM('PER BULAN'!M129:O129)</f>
        <v>0</v>
      </c>
      <c r="U78" s="292">
        <f>SUM('PER BULAN'!P129:R129)</f>
        <v>354050</v>
      </c>
      <c r="V78" s="292">
        <f>SUM('PER BULAN'!S129:U129)</f>
        <v>603000</v>
      </c>
      <c r="W78" s="292">
        <f>SUM('PER BULAN'!V129:X129)</f>
        <v>1329000</v>
      </c>
      <c r="X78" s="292">
        <f>SUM('PER BULAN'!Y129:AA129)</f>
        <v>0</v>
      </c>
      <c r="Y78" s="292">
        <f>SUM('PER BULAN'!AB129:AD129)</f>
        <v>0</v>
      </c>
      <c r="Z78" s="292">
        <f>SUM('PER BULAN'!AE129:AG129)</f>
        <v>0</v>
      </c>
      <c r="AA78" s="292">
        <f>SUM('PER BULAN'!AH129:AJ129)</f>
        <v>0</v>
      </c>
      <c r="AB78" s="292">
        <f>SUM('PER BULAN'!AK129:AM129)</f>
        <v>0</v>
      </c>
      <c r="AC78" s="292">
        <f>SUM('PER BULAN'!AN129:AP129)</f>
        <v>0</v>
      </c>
      <c r="AD78" s="292">
        <f>SUM('PER BULAN'!AQ129:AS129)</f>
        <v>0</v>
      </c>
      <c r="AE78" s="277" t="s">
        <v>530</v>
      </c>
      <c r="AF78" s="277" t="s">
        <v>576</v>
      </c>
      <c r="AG78" s="277" t="s">
        <v>560</v>
      </c>
      <c r="AH78" s="277" t="s">
        <v>4699</v>
      </c>
      <c r="AI78" s="277" t="s">
        <v>4700</v>
      </c>
      <c r="AJ78" s="494">
        <f t="shared" si="7"/>
        <v>2286050</v>
      </c>
      <c r="AK78" s="291">
        <f t="shared" si="8"/>
        <v>7.620166666666667</v>
      </c>
      <c r="AL78" s="494">
        <f t="shared" si="9"/>
        <v>27713950</v>
      </c>
      <c r="AM78" s="291">
        <f t="shared" si="10"/>
        <v>92.379833333333337</v>
      </c>
      <c r="AN78" s="277" t="str">
        <f t="shared" si="11"/>
        <v>WA.2378.EBA.994.002.GB.521114</v>
      </c>
      <c r="AO78" s="277" t="str">
        <f>IF(ISNUMBER(SEARCH("COVID",SP2D[[#This Row],[Akun]])),"COVID","Non COVID")</f>
        <v>Non COVID</v>
      </c>
      <c r="AP7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Q78"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78" s="292">
        <f>SUM('PER BULAN'!BA129)</f>
        <v>295050</v>
      </c>
      <c r="AS78" s="292">
        <f>SUM('PER BULAN'!BB129)</f>
        <v>0</v>
      </c>
      <c r="AT78" s="292">
        <f>SUM('PER BULAN'!BC129)</f>
        <v>59000</v>
      </c>
      <c r="AU78" s="292">
        <f>SUM('PER BULAN'!BD129)</f>
        <v>603000</v>
      </c>
      <c r="AV78" s="292">
        <f>SUM('PER BULAN'!BE129)</f>
        <v>276000</v>
      </c>
      <c r="AW78" s="292">
        <f>SUM('PER BULAN'!BF129)</f>
        <v>1053000</v>
      </c>
      <c r="AX78" s="292">
        <f>SUM('PER BULAN'!BG129)</f>
        <v>0</v>
      </c>
      <c r="AY78" s="292">
        <f>SUM('PER BULAN'!BH129)</f>
        <v>0</v>
      </c>
    </row>
    <row r="79" spans="1:51" s="278" customFormat="1" x14ac:dyDescent="0.3">
      <c r="A79" s="277" t="s">
        <v>4693</v>
      </c>
      <c r="B79" s="277" t="s">
        <v>4694</v>
      </c>
      <c r="C79" s="277" t="s">
        <v>4720</v>
      </c>
      <c r="D79" s="277" t="s">
        <v>4721</v>
      </c>
      <c r="E79" s="277" t="s">
        <v>197</v>
      </c>
      <c r="F79" s="277" t="s">
        <v>4722</v>
      </c>
      <c r="G79" s="277" t="s">
        <v>4737</v>
      </c>
      <c r="H79" s="277" t="s">
        <v>4738</v>
      </c>
      <c r="I79" s="277">
        <v>994</v>
      </c>
      <c r="J79" s="277" t="s">
        <v>6249</v>
      </c>
      <c r="K79" s="414" t="s">
        <v>557</v>
      </c>
      <c r="L79" s="277" t="s">
        <v>4654</v>
      </c>
      <c r="M79" s="277" t="s">
        <v>2208</v>
      </c>
      <c r="N79" s="277" t="s">
        <v>4754</v>
      </c>
      <c r="O79" s="277">
        <v>522141</v>
      </c>
      <c r="P79" s="277" t="s">
        <v>4704</v>
      </c>
      <c r="Q79" s="221" cm="1">
        <f t="array" ref="Q79">SUM(_xlfn._xlws.FILTER(DIPA2[PaguRevisi],DIPA2[Akun]=SP2D[[#This Row],[Kode Akun]],0))</f>
        <v>118852000</v>
      </c>
      <c r="R79" s="416">
        <v>118852000</v>
      </c>
      <c r="S79" s="292">
        <f>SUM('PER BULAN'!J131:L131)</f>
        <v>0</v>
      </c>
      <c r="T79" s="292">
        <f>SUM('PER BULAN'!M130:O130)</f>
        <v>0</v>
      </c>
      <c r="U79" s="292">
        <f>SUM('PER BULAN'!P130:R130)</f>
        <v>4950000</v>
      </c>
      <c r="V79" s="292">
        <f>SUM('PER BULAN'!S130:U130)</f>
        <v>9900000</v>
      </c>
      <c r="W79" s="292">
        <f>SUM('PER BULAN'!V130:X130)</f>
        <v>4950000</v>
      </c>
      <c r="X79" s="292">
        <f>SUM('PER BULAN'!Y130:AA130)</f>
        <v>0</v>
      </c>
      <c r="Y79" s="292">
        <f>SUM('PER BULAN'!AB130:AD130)</f>
        <v>0</v>
      </c>
      <c r="Z79" s="292">
        <f>SUM('PER BULAN'!AE130:AG130)</f>
        <v>0</v>
      </c>
      <c r="AA79" s="292">
        <f>SUM('PER BULAN'!AH130:AJ130)</f>
        <v>0</v>
      </c>
      <c r="AB79" s="292">
        <f>SUM('PER BULAN'!AK130:AM130)</f>
        <v>0</v>
      </c>
      <c r="AC79" s="292">
        <f>SUM('PER BULAN'!AN130:AP130)</f>
        <v>0</v>
      </c>
      <c r="AD79" s="292">
        <f>SUM('PER BULAN'!AQ130:AS130)</f>
        <v>0</v>
      </c>
      <c r="AE79" s="277" t="s">
        <v>530</v>
      </c>
      <c r="AF79" s="277" t="s">
        <v>576</v>
      </c>
      <c r="AG79" s="277" t="s">
        <v>560</v>
      </c>
      <c r="AH79" s="277" t="s">
        <v>4699</v>
      </c>
      <c r="AI79" s="277" t="s">
        <v>4700</v>
      </c>
      <c r="AJ79" s="494">
        <f t="shared" si="7"/>
        <v>19800000</v>
      </c>
      <c r="AK79" s="291">
        <f t="shared" si="8"/>
        <v>16.659374684481541</v>
      </c>
      <c r="AL79" s="494">
        <f t="shared" si="9"/>
        <v>99052000</v>
      </c>
      <c r="AM79" s="291">
        <f t="shared" si="10"/>
        <v>83.340625315518452</v>
      </c>
      <c r="AN79" s="277" t="str">
        <f t="shared" si="11"/>
        <v>WA.2378.EBA.994.002.GB.522141</v>
      </c>
      <c r="AO79" s="277" t="str">
        <f>IF(ISNUMBER(SEARCH("COVID",SP2D[[#This Row],[Akun]])),"COVID","Non COVID")</f>
        <v>Non COVID</v>
      </c>
      <c r="AP7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Q79"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79" s="292">
        <f>SUM('PER BULAN'!BA130)</f>
        <v>0</v>
      </c>
      <c r="AS79" s="292">
        <f>SUM('PER BULAN'!BB130)</f>
        <v>4950000</v>
      </c>
      <c r="AT79" s="292">
        <f>SUM('PER BULAN'!BC130)</f>
        <v>0</v>
      </c>
      <c r="AU79" s="292">
        <f>SUM('PER BULAN'!BD130)</f>
        <v>9900000</v>
      </c>
      <c r="AV79" s="292">
        <f>SUM('PER BULAN'!BE130)</f>
        <v>0</v>
      </c>
      <c r="AW79" s="292">
        <f>SUM('PER BULAN'!BF130)</f>
        <v>4950000</v>
      </c>
      <c r="AX79" s="292">
        <f>SUM('PER BULAN'!BG130)</f>
        <v>0</v>
      </c>
      <c r="AY79" s="292">
        <f>SUM('PER BULAN'!BH130)</f>
        <v>0</v>
      </c>
    </row>
    <row r="80" spans="1:51" s="278" customFormat="1" x14ac:dyDescent="0.3">
      <c r="A80" s="277" t="s">
        <v>4693</v>
      </c>
      <c r="B80" s="277" t="s">
        <v>4694</v>
      </c>
      <c r="C80" s="277" t="s">
        <v>4720</v>
      </c>
      <c r="D80" s="277" t="s">
        <v>4721</v>
      </c>
      <c r="E80" s="277" t="s">
        <v>197</v>
      </c>
      <c r="F80" s="277" t="s">
        <v>4722</v>
      </c>
      <c r="G80" s="277" t="s">
        <v>4737</v>
      </c>
      <c r="H80" s="277" t="s">
        <v>4738</v>
      </c>
      <c r="I80" s="277">
        <v>994</v>
      </c>
      <c r="J80" s="277" t="s">
        <v>6249</v>
      </c>
      <c r="K80" s="414" t="s">
        <v>557</v>
      </c>
      <c r="L80" s="277" t="s">
        <v>4654</v>
      </c>
      <c r="M80" s="277" t="s">
        <v>2219</v>
      </c>
      <c r="N80" s="277" t="s">
        <v>4756</v>
      </c>
      <c r="O80" s="277">
        <v>523121</v>
      </c>
      <c r="P80" s="277" t="s">
        <v>4757</v>
      </c>
      <c r="Q80" s="221" cm="1">
        <f t="array" ref="Q80">SUM(_xlfn._xlws.FILTER(DIPA2[PaguRevisi],DIPA2[Akun]=SP2D[[#This Row],[Kode Akun]],0))</f>
        <v>497050000</v>
      </c>
      <c r="R80" s="416">
        <v>497050000</v>
      </c>
      <c r="S80" s="292">
        <f>SUM('PER BULAN'!J132:L132)</f>
        <v>0</v>
      </c>
      <c r="T80" s="292">
        <f>SUM('PER BULAN'!M132:O132)</f>
        <v>0</v>
      </c>
      <c r="U80" s="292">
        <f>SUM('PER BULAN'!P132:R132)</f>
        <v>59591400</v>
      </c>
      <c r="V80" s="292">
        <f>SUM('PER BULAN'!S132:U132)</f>
        <v>7448700</v>
      </c>
      <c r="W80" s="292">
        <f>SUM('PER BULAN'!V132:X132)</f>
        <v>18835340</v>
      </c>
      <c r="X80" s="292">
        <f>SUM('PER BULAN'!Y132:AA132)</f>
        <v>0</v>
      </c>
      <c r="Y80" s="292">
        <f>SUM('PER BULAN'!AB132:AD132)</f>
        <v>0</v>
      </c>
      <c r="Z80" s="292">
        <f>SUM('PER BULAN'!AE132:AG132)</f>
        <v>0</v>
      </c>
      <c r="AA80" s="292">
        <f>SUM('PER BULAN'!AH132:AJ132)</f>
        <v>0</v>
      </c>
      <c r="AB80" s="292">
        <f>SUM('PER BULAN'!AK132:AM132)</f>
        <v>0</v>
      </c>
      <c r="AC80" s="292">
        <f>SUM('PER BULAN'!AN132:AP132)</f>
        <v>0</v>
      </c>
      <c r="AD80" s="292">
        <f>SUM('PER BULAN'!AQ132:AS132)</f>
        <v>0</v>
      </c>
      <c r="AE80" s="277" t="s">
        <v>530</v>
      </c>
      <c r="AF80" s="277" t="s">
        <v>576</v>
      </c>
      <c r="AG80" s="277" t="s">
        <v>560</v>
      </c>
      <c r="AH80" s="277" t="s">
        <v>4699</v>
      </c>
      <c r="AI80" s="277" t="s">
        <v>4700</v>
      </c>
      <c r="AJ80" s="494">
        <f t="shared" si="7"/>
        <v>85875440</v>
      </c>
      <c r="AK80" s="291">
        <f t="shared" si="8"/>
        <v>17.277022432350869</v>
      </c>
      <c r="AL80" s="494">
        <f t="shared" si="9"/>
        <v>411174560</v>
      </c>
      <c r="AM80" s="291">
        <f t="shared" si="10"/>
        <v>82.722977567649124</v>
      </c>
      <c r="AN80" s="277" t="str">
        <f t="shared" si="11"/>
        <v>WA.2378.EBA.994.002.GC.523121</v>
      </c>
      <c r="AO80" s="277" t="str">
        <f>IF(ISNUMBER(SEARCH("COVID",SP2D[[#This Row],[Akun]])),"COVID","Non COVID")</f>
        <v>Non COVID</v>
      </c>
      <c r="AP8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Q80"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0" s="292">
        <f>SUM('PER BULAN'!BA132)</f>
        <v>25004200</v>
      </c>
      <c r="AS80" s="292">
        <f>SUM('PER BULAN'!BB132)</f>
        <v>32727500</v>
      </c>
      <c r="AT80" s="292">
        <f>SUM('PER BULAN'!BC132)</f>
        <v>1859700</v>
      </c>
      <c r="AU80" s="292">
        <f>SUM('PER BULAN'!BD132)</f>
        <v>7448700</v>
      </c>
      <c r="AV80" s="292">
        <f>SUM('PER BULAN'!BE132)</f>
        <v>6968000</v>
      </c>
      <c r="AW80" s="292">
        <f>SUM('PER BULAN'!BF132)</f>
        <v>11867340</v>
      </c>
      <c r="AX80" s="292">
        <f>SUM('PER BULAN'!BG132)</f>
        <v>0</v>
      </c>
      <c r="AY80" s="292">
        <f>SUM('PER BULAN'!BH132)</f>
        <v>0</v>
      </c>
    </row>
    <row r="81" spans="1:51" s="278" customFormat="1" x14ac:dyDescent="0.3">
      <c r="A81" s="277" t="s">
        <v>4693</v>
      </c>
      <c r="B81" s="277" t="s">
        <v>4694</v>
      </c>
      <c r="C81" s="277" t="s">
        <v>4720</v>
      </c>
      <c r="D81" s="277" t="s">
        <v>4721</v>
      </c>
      <c r="E81" s="277" t="s">
        <v>197</v>
      </c>
      <c r="F81" s="277" t="s">
        <v>4722</v>
      </c>
      <c r="G81" s="277" t="s">
        <v>4737</v>
      </c>
      <c r="H81" s="277" t="s">
        <v>4738</v>
      </c>
      <c r="I81" s="277">
        <v>994</v>
      </c>
      <c r="J81" s="277" t="s">
        <v>6249</v>
      </c>
      <c r="K81" s="414" t="s">
        <v>557</v>
      </c>
      <c r="L81" s="277" t="s">
        <v>4654</v>
      </c>
      <c r="M81" s="277" t="s">
        <v>2219</v>
      </c>
      <c r="N81" s="277" t="s">
        <v>4756</v>
      </c>
      <c r="O81" s="277">
        <v>523199</v>
      </c>
      <c r="P81" s="277" t="s">
        <v>4758</v>
      </c>
      <c r="Q81" s="221" cm="1">
        <f t="array" ref="Q81">SUM(_xlfn._xlws.FILTER(DIPA2[PaguRevisi],DIPA2[Akun]=SP2D[[#This Row],[Kode Akun]],0))</f>
        <v>36000000</v>
      </c>
      <c r="R81" s="416">
        <v>36000000</v>
      </c>
      <c r="S81" s="292">
        <f>SUM('PER BULAN'!J134:L134)</f>
        <v>0</v>
      </c>
      <c r="T81" s="292">
        <f>SUM('PER BULAN'!M133:O133)</f>
        <v>0</v>
      </c>
      <c r="U81" s="292">
        <f>SUM('PER BULAN'!P133:R133)</f>
        <v>6000000</v>
      </c>
      <c r="V81" s="292">
        <f>SUM('PER BULAN'!S133:U133)</f>
        <v>0</v>
      </c>
      <c r="W81" s="292">
        <f>SUM('PER BULAN'!V133:X133)</f>
        <v>3000000</v>
      </c>
      <c r="X81" s="292">
        <f>SUM('PER BULAN'!Y133:AA133)</f>
        <v>0</v>
      </c>
      <c r="Y81" s="292">
        <f>SUM('PER BULAN'!AB133:AD133)</f>
        <v>0</v>
      </c>
      <c r="Z81" s="292">
        <f>SUM('PER BULAN'!AE133:AG133)</f>
        <v>0</v>
      </c>
      <c r="AA81" s="292">
        <f>SUM('PER BULAN'!AH133:AJ133)</f>
        <v>0</v>
      </c>
      <c r="AB81" s="292">
        <f>SUM('PER BULAN'!AK133:AM133)</f>
        <v>0</v>
      </c>
      <c r="AC81" s="292">
        <f>SUM('PER BULAN'!AN133:AP133)</f>
        <v>0</v>
      </c>
      <c r="AD81" s="292">
        <f>SUM('PER BULAN'!AQ133:AS133)</f>
        <v>0</v>
      </c>
      <c r="AE81" s="277" t="s">
        <v>530</v>
      </c>
      <c r="AF81" s="277" t="s">
        <v>576</v>
      </c>
      <c r="AG81" s="277" t="s">
        <v>560</v>
      </c>
      <c r="AH81" s="277" t="s">
        <v>4699</v>
      </c>
      <c r="AI81" s="277" t="s">
        <v>4700</v>
      </c>
      <c r="AJ81" s="494">
        <f t="shared" si="7"/>
        <v>9000000</v>
      </c>
      <c r="AK81" s="291">
        <f t="shared" si="8"/>
        <v>25</v>
      </c>
      <c r="AL81" s="494">
        <f t="shared" si="9"/>
        <v>27000000</v>
      </c>
      <c r="AM81" s="291">
        <f t="shared" si="10"/>
        <v>75</v>
      </c>
      <c r="AN81" s="277" t="str">
        <f t="shared" si="11"/>
        <v>WA.2378.EBA.994.002.GC.523199</v>
      </c>
      <c r="AO81" s="277" t="str">
        <f>IF(ISNUMBER(SEARCH("COVID",SP2D[[#This Row],[Akun]])),"COVID","Non COVID")</f>
        <v>Non COVID</v>
      </c>
      <c r="AP8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Q81"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1" s="292">
        <f>SUM('PER BULAN'!BA133)</f>
        <v>0</v>
      </c>
      <c r="AS81" s="292">
        <f>SUM('PER BULAN'!BB133)</f>
        <v>6000000</v>
      </c>
      <c r="AT81" s="292">
        <f>SUM('PER BULAN'!BC133)</f>
        <v>0</v>
      </c>
      <c r="AU81" s="292">
        <f>SUM('PER BULAN'!BD133)</f>
        <v>0</v>
      </c>
      <c r="AV81" s="292">
        <f>SUM('PER BULAN'!BE133)</f>
        <v>3000000</v>
      </c>
      <c r="AW81" s="292">
        <f>SUM('PER BULAN'!BF133)</f>
        <v>0</v>
      </c>
      <c r="AX81" s="292">
        <f>SUM('PER BULAN'!BG133)</f>
        <v>0</v>
      </c>
      <c r="AY81" s="292">
        <f>SUM('PER BULAN'!BH133)</f>
        <v>0</v>
      </c>
    </row>
    <row r="82" spans="1:51" s="278" customFormat="1" x14ac:dyDescent="0.3">
      <c r="A82" s="277" t="s">
        <v>4693</v>
      </c>
      <c r="B82" s="277" t="s">
        <v>4694</v>
      </c>
      <c r="C82" s="277" t="s">
        <v>4720</v>
      </c>
      <c r="D82" s="277" t="s">
        <v>4721</v>
      </c>
      <c r="E82" s="277" t="s">
        <v>197</v>
      </c>
      <c r="F82" s="277" t="s">
        <v>4722</v>
      </c>
      <c r="G82" s="277" t="s">
        <v>4737</v>
      </c>
      <c r="H82" s="277" t="s">
        <v>4738</v>
      </c>
      <c r="I82" s="277">
        <v>994</v>
      </c>
      <c r="J82" s="277" t="s">
        <v>6249</v>
      </c>
      <c r="K82" s="414" t="s">
        <v>557</v>
      </c>
      <c r="L82" s="277" t="s">
        <v>4654</v>
      </c>
      <c r="M82" s="277" t="s">
        <v>2239</v>
      </c>
      <c r="N82" s="277" t="s">
        <v>4759</v>
      </c>
      <c r="O82" s="277">
        <v>521111</v>
      </c>
      <c r="P82" s="277" t="s">
        <v>4753</v>
      </c>
      <c r="Q82" s="221" cm="1">
        <f t="array" ref="Q82">SUM(_xlfn._xlws.FILTER(DIPA2[PaguRevisi],DIPA2[Akun]=SP2D[[#This Row],[Kode Akun]],0))</f>
        <v>101040000</v>
      </c>
      <c r="R82" s="416">
        <v>101040000</v>
      </c>
      <c r="S82" s="292">
        <f>SUM('PER BULAN'!J135:L135)</f>
        <v>0</v>
      </c>
      <c r="T82" s="292">
        <f>SUM('PER BULAN'!M135:O135)</f>
        <v>0</v>
      </c>
      <c r="U82" s="292">
        <f>SUM('PER BULAN'!P135:R135)</f>
        <v>0</v>
      </c>
      <c r="V82" s="292">
        <f>SUM('PER BULAN'!S135:U135)</f>
        <v>0</v>
      </c>
      <c r="W82" s="292">
        <f>SUM('PER BULAN'!V135:X135)</f>
        <v>44410000</v>
      </c>
      <c r="X82" s="292">
        <f>SUM('PER BULAN'!Y135:AA135)</f>
        <v>0</v>
      </c>
      <c r="Y82" s="292">
        <f>SUM('PER BULAN'!AB135:AD135)</f>
        <v>0</v>
      </c>
      <c r="Z82" s="292">
        <f>SUM('PER BULAN'!AE135:AG135)</f>
        <v>0</v>
      </c>
      <c r="AA82" s="292">
        <f>SUM('PER BULAN'!AH135:AJ135)</f>
        <v>0</v>
      </c>
      <c r="AB82" s="292">
        <f>SUM('PER BULAN'!AK135:AM135)</f>
        <v>0</v>
      </c>
      <c r="AC82" s="292">
        <f>SUM('PER BULAN'!AN135:AP135)</f>
        <v>0</v>
      </c>
      <c r="AD82" s="292">
        <f>SUM('PER BULAN'!AQ135:AS135)</f>
        <v>0</v>
      </c>
      <c r="AE82" s="277" t="s">
        <v>530</v>
      </c>
      <c r="AF82" s="277" t="s">
        <v>576</v>
      </c>
      <c r="AG82" s="277" t="s">
        <v>560</v>
      </c>
      <c r="AH82" s="277" t="s">
        <v>4699</v>
      </c>
      <c r="AI82" s="277" t="s">
        <v>4700</v>
      </c>
      <c r="AJ82" s="494">
        <f t="shared" si="7"/>
        <v>44410000</v>
      </c>
      <c r="AK82" s="291">
        <f t="shared" si="8"/>
        <v>43.952889944576405</v>
      </c>
      <c r="AL82" s="494">
        <f t="shared" si="9"/>
        <v>56630000</v>
      </c>
      <c r="AM82" s="291">
        <f t="shared" si="10"/>
        <v>56.047110055423602</v>
      </c>
      <c r="AN82" s="277" t="str">
        <f t="shared" si="11"/>
        <v>WA.2378.EBA.994.002.GD.521111</v>
      </c>
      <c r="AO82" s="277" t="str">
        <f>IF(ISNUMBER(SEARCH("COVID",SP2D[[#This Row],[Akun]])),"COVID","Non COVID")</f>
        <v>Non COVID</v>
      </c>
      <c r="AP8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Q82"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2" s="292">
        <f>SUM('PER BULAN'!BA135)</f>
        <v>0</v>
      </c>
      <c r="AS82" s="292">
        <f>SUM('PER BULAN'!BB135)</f>
        <v>0</v>
      </c>
      <c r="AT82" s="292">
        <f>SUM('PER BULAN'!BC135)</f>
        <v>0</v>
      </c>
      <c r="AU82" s="292">
        <f>SUM('PER BULAN'!BD135)</f>
        <v>0</v>
      </c>
      <c r="AV82" s="292">
        <f>SUM('PER BULAN'!BE135)</f>
        <v>44410000</v>
      </c>
      <c r="AW82" s="292">
        <f>SUM('PER BULAN'!BF135)</f>
        <v>0</v>
      </c>
      <c r="AX82" s="292">
        <f>SUM('PER BULAN'!BG135)</f>
        <v>0</v>
      </c>
      <c r="AY82" s="292">
        <f>SUM('PER BULAN'!BH135)</f>
        <v>0</v>
      </c>
    </row>
    <row r="83" spans="1:51" s="278" customFormat="1" x14ac:dyDescent="0.3">
      <c r="A83" s="277" t="s">
        <v>4693</v>
      </c>
      <c r="B83" s="277" t="s">
        <v>4694</v>
      </c>
      <c r="C83" s="277" t="s">
        <v>4720</v>
      </c>
      <c r="D83" s="277" t="s">
        <v>4721</v>
      </c>
      <c r="E83" s="277" t="s">
        <v>197</v>
      </c>
      <c r="F83" s="277" t="s">
        <v>4722</v>
      </c>
      <c r="G83" s="277" t="s">
        <v>4737</v>
      </c>
      <c r="H83" s="277" t="s">
        <v>4738</v>
      </c>
      <c r="I83" s="277">
        <v>994</v>
      </c>
      <c r="J83" s="277" t="s">
        <v>6249</v>
      </c>
      <c r="K83" s="414" t="s">
        <v>557</v>
      </c>
      <c r="L83" s="277" t="s">
        <v>4654</v>
      </c>
      <c r="M83" s="277" t="s">
        <v>2239</v>
      </c>
      <c r="N83" s="277" t="s">
        <v>4759</v>
      </c>
      <c r="O83" s="277">
        <v>521115</v>
      </c>
      <c r="P83" s="277" t="s">
        <v>4760</v>
      </c>
      <c r="Q83" s="221" cm="1">
        <f t="array" ref="Q83">SUM(_xlfn._xlws.FILTER(DIPA2[PaguRevisi],DIPA2[Akun]=SP2D[[#This Row],[Kode Akun]],0))</f>
        <v>58336000</v>
      </c>
      <c r="R83" s="416">
        <v>58336000</v>
      </c>
      <c r="S83" s="292">
        <f>SUM('PER BULAN'!J137:L137)</f>
        <v>0</v>
      </c>
      <c r="T83" s="292">
        <f>SUM('PER BULAN'!M136:O136)</f>
        <v>0</v>
      </c>
      <c r="U83" s="292">
        <f>SUM('PER BULAN'!P136:R136)</f>
        <v>9456000</v>
      </c>
      <c r="V83" s="292">
        <f>SUM('PER BULAN'!S136:U136)</f>
        <v>0</v>
      </c>
      <c r="W83" s="292">
        <f>SUM('PER BULAN'!V136:X136)</f>
        <v>4728000</v>
      </c>
      <c r="X83" s="292">
        <f>SUM('PER BULAN'!Y136:AA136)</f>
        <v>0</v>
      </c>
      <c r="Y83" s="292">
        <f>SUM('PER BULAN'!AB136:AD136)</f>
        <v>0</v>
      </c>
      <c r="Z83" s="292">
        <f>SUM('PER BULAN'!AE136:AG136)</f>
        <v>0</v>
      </c>
      <c r="AA83" s="292">
        <f>SUM('PER BULAN'!AH136:AJ136)</f>
        <v>0</v>
      </c>
      <c r="AB83" s="292">
        <f>SUM('PER BULAN'!AK136:AM136)</f>
        <v>0</v>
      </c>
      <c r="AC83" s="292">
        <f>SUM('PER BULAN'!AN136:AP136)</f>
        <v>0</v>
      </c>
      <c r="AD83" s="292">
        <f>SUM('PER BULAN'!AQ136:AS136)</f>
        <v>0</v>
      </c>
      <c r="AE83" s="277" t="s">
        <v>530</v>
      </c>
      <c r="AF83" s="277" t="s">
        <v>576</v>
      </c>
      <c r="AG83" s="277" t="s">
        <v>560</v>
      </c>
      <c r="AH83" s="277" t="s">
        <v>4699</v>
      </c>
      <c r="AI83" s="277" t="s">
        <v>4700</v>
      </c>
      <c r="AJ83" s="494">
        <f t="shared" si="7"/>
        <v>14184000</v>
      </c>
      <c r="AK83" s="291">
        <f t="shared" si="8"/>
        <v>24.314317059791552</v>
      </c>
      <c r="AL83" s="494">
        <f t="shared" si="9"/>
        <v>44152000</v>
      </c>
      <c r="AM83" s="291">
        <f t="shared" si="10"/>
        <v>75.685682940208437</v>
      </c>
      <c r="AN83" s="277" t="str">
        <f t="shared" si="11"/>
        <v>WA.2378.EBA.994.002.GD.521115</v>
      </c>
      <c r="AO83" s="277" t="str">
        <f>IF(ISNUMBER(SEARCH("COVID",SP2D[[#This Row],[Akun]])),"COVID","Non COVID")</f>
        <v>Non COVID</v>
      </c>
      <c r="AP8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Q83"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3" s="292">
        <f>SUM('PER BULAN'!BA136)</f>
        <v>0</v>
      </c>
      <c r="AS83" s="292">
        <f>SUM('PER BULAN'!BB136)</f>
        <v>9456000</v>
      </c>
      <c r="AT83" s="292">
        <f>SUM('PER BULAN'!BC136)</f>
        <v>0</v>
      </c>
      <c r="AU83" s="292">
        <f>SUM('PER BULAN'!BD136)</f>
        <v>0</v>
      </c>
      <c r="AV83" s="292">
        <f>SUM('PER BULAN'!BE136)</f>
        <v>0</v>
      </c>
      <c r="AW83" s="292">
        <f>SUM('PER BULAN'!BF136)</f>
        <v>4728000</v>
      </c>
      <c r="AX83" s="292">
        <f>SUM('PER BULAN'!BG136)</f>
        <v>0</v>
      </c>
      <c r="AY83" s="292">
        <f>SUM('PER BULAN'!BH136)</f>
        <v>0</v>
      </c>
    </row>
    <row r="84" spans="1:51" s="278" customFormat="1" x14ac:dyDescent="0.3">
      <c r="A84" s="277" t="s">
        <v>4693</v>
      </c>
      <c r="B84" s="277" t="s">
        <v>4694</v>
      </c>
      <c r="C84" s="277" t="s">
        <v>4720</v>
      </c>
      <c r="D84" s="277" t="s">
        <v>4721</v>
      </c>
      <c r="E84" s="277" t="s">
        <v>197</v>
      </c>
      <c r="F84" s="277" t="s">
        <v>4722</v>
      </c>
      <c r="G84" s="277" t="s">
        <v>4737</v>
      </c>
      <c r="H84" s="277" t="s">
        <v>4738</v>
      </c>
      <c r="I84" s="277">
        <v>994</v>
      </c>
      <c r="J84" s="277" t="s">
        <v>6249</v>
      </c>
      <c r="K84" s="414" t="s">
        <v>557</v>
      </c>
      <c r="L84" s="277" t="s">
        <v>4654</v>
      </c>
      <c r="M84" s="277" t="s">
        <v>4224</v>
      </c>
      <c r="N84" s="277" t="s">
        <v>4761</v>
      </c>
      <c r="O84" s="277">
        <v>521111</v>
      </c>
      <c r="P84" s="277" t="s">
        <v>4753</v>
      </c>
      <c r="Q84" s="221" cm="1">
        <f t="array" ref="Q84">SUM(_xlfn._xlws.FILTER(DIPA2[PaguRevisi],DIPA2[Akun]=SP2D[[#This Row],[Kode Akun]],0))</f>
        <v>0</v>
      </c>
      <c r="R84" s="416">
        <v>45000000</v>
      </c>
      <c r="S84" s="292">
        <f>SUM('PER BULAN'!J138:L138)</f>
        <v>0</v>
      </c>
      <c r="T84" s="292">
        <f>SUM('PER BULAN'!M138:O138)</f>
        <v>0</v>
      </c>
      <c r="U84" s="292">
        <f>SUM('PER BULAN'!P138:R138)</f>
        <v>0</v>
      </c>
      <c r="V84" s="292">
        <f>SUM('PER BULAN'!S138:U138)</f>
        <v>0</v>
      </c>
      <c r="W84" s="292">
        <f>SUM('PER BULAN'!V138:X138)</f>
        <v>0</v>
      </c>
      <c r="X84" s="292">
        <f>SUM('PER BULAN'!Y138:AA138)</f>
        <v>0</v>
      </c>
      <c r="Y84" s="292">
        <f>SUM('PER BULAN'!AB138:AD138)</f>
        <v>0</v>
      </c>
      <c r="Z84" s="292">
        <f>SUM('PER BULAN'!AE138:AG138)</f>
        <v>0</v>
      </c>
      <c r="AA84" s="292">
        <f>SUM('PER BULAN'!AH138:AJ138)</f>
        <v>0</v>
      </c>
      <c r="AB84" s="292">
        <f>SUM('PER BULAN'!AK138:AM138)</f>
        <v>0</v>
      </c>
      <c r="AC84" s="292">
        <f>SUM('PER BULAN'!AN138:AP138)</f>
        <v>0</v>
      </c>
      <c r="AD84" s="292">
        <f>SUM('PER BULAN'!AQ138:AS138)</f>
        <v>0</v>
      </c>
      <c r="AE84" s="277" t="s">
        <v>530</v>
      </c>
      <c r="AF84" s="277" t="s">
        <v>576</v>
      </c>
      <c r="AG84" s="277" t="s">
        <v>560</v>
      </c>
      <c r="AH84" s="277" t="s">
        <v>4699</v>
      </c>
      <c r="AI84" s="277" t="s">
        <v>4700</v>
      </c>
      <c r="AJ84" s="494">
        <f t="shared" si="7"/>
        <v>0</v>
      </c>
      <c r="AK84" s="291">
        <f t="shared" si="8"/>
        <v>0</v>
      </c>
      <c r="AL84" s="494">
        <f t="shared" si="9"/>
        <v>0</v>
      </c>
      <c r="AM84" s="291">
        <f t="shared" si="10"/>
        <v>0</v>
      </c>
      <c r="AN84" s="277" t="str">
        <f t="shared" si="11"/>
        <v>WA.2378.EBA.994.002.GE.521111</v>
      </c>
      <c r="AO84" s="277" t="str">
        <f>IF(ISNUMBER(SEARCH("COVID",SP2D[[#This Row],[Akun]])),"COVID","Non COVID")</f>
        <v>Non COVID</v>
      </c>
      <c r="AP8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Q84"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4" s="292">
        <f>SUM('PER BULAN'!BA138)</f>
        <v>0</v>
      </c>
      <c r="AS84" s="292">
        <f>SUM('PER BULAN'!BB138)</f>
        <v>0</v>
      </c>
      <c r="AT84" s="292">
        <f>SUM('PER BULAN'!BC138)</f>
        <v>0</v>
      </c>
      <c r="AU84" s="292">
        <f>SUM('PER BULAN'!BD138)</f>
        <v>0</v>
      </c>
      <c r="AV84" s="292">
        <f>SUM('PER BULAN'!BE138)</f>
        <v>0</v>
      </c>
      <c r="AW84" s="292">
        <f>SUM('PER BULAN'!BF138)</f>
        <v>0</v>
      </c>
      <c r="AX84" s="292">
        <f>SUM('PER BULAN'!BG138)</f>
        <v>0</v>
      </c>
      <c r="AY84" s="292">
        <f>SUM('PER BULAN'!BH138)</f>
        <v>0</v>
      </c>
    </row>
    <row r="85" spans="1:51" s="278" customFormat="1" x14ac:dyDescent="0.3">
      <c r="A85" s="277" t="s">
        <v>4693</v>
      </c>
      <c r="B85" s="277" t="s">
        <v>4694</v>
      </c>
      <c r="C85" s="277" t="s">
        <v>4720</v>
      </c>
      <c r="D85" s="277" t="s">
        <v>4721</v>
      </c>
      <c r="E85" s="277" t="s">
        <v>197</v>
      </c>
      <c r="F85" s="277" t="s">
        <v>4722</v>
      </c>
      <c r="G85" s="277" t="s">
        <v>4737</v>
      </c>
      <c r="H85" s="277" t="s">
        <v>4738</v>
      </c>
      <c r="I85" s="277">
        <v>994</v>
      </c>
      <c r="J85" s="277" t="s">
        <v>6249</v>
      </c>
      <c r="K85" s="414" t="s">
        <v>557</v>
      </c>
      <c r="L85" s="277" t="s">
        <v>4654</v>
      </c>
      <c r="M85" s="277" t="s">
        <v>4224</v>
      </c>
      <c r="N85" s="277" t="s">
        <v>4761</v>
      </c>
      <c r="O85" s="277">
        <v>521811</v>
      </c>
      <c r="P85" s="277" t="s">
        <v>4716</v>
      </c>
      <c r="Q85" s="221" cm="1">
        <f t="array" ref="Q85">SUM(_xlfn._xlws.FILTER(DIPA2[PaguRevisi],DIPA2[Akun]=SP2D[[#This Row],[Kode Akun]],0))</f>
        <v>0</v>
      </c>
      <c r="R85" s="416">
        <v>26000000</v>
      </c>
      <c r="S85" s="292">
        <f>SUM('PER BULAN'!J139:L139)</f>
        <v>0</v>
      </c>
      <c r="T85" s="292">
        <f>SUM('PER BULAN'!M139:O139)</f>
        <v>0</v>
      </c>
      <c r="U85" s="292">
        <f>SUM('PER BULAN'!P139:R139)</f>
        <v>0</v>
      </c>
      <c r="V85" s="292">
        <f>SUM('PER BULAN'!S139:U139)</f>
        <v>0</v>
      </c>
      <c r="W85" s="292">
        <f>SUM('PER BULAN'!V139:X139)</f>
        <v>0</v>
      </c>
      <c r="X85" s="292">
        <f>SUM('PER BULAN'!Y139:AA139)</f>
        <v>0</v>
      </c>
      <c r="Y85" s="292">
        <f>SUM('PER BULAN'!AB139:AD139)</f>
        <v>0</v>
      </c>
      <c r="Z85" s="292">
        <f>SUM('PER BULAN'!AE139:AG139)</f>
        <v>0</v>
      </c>
      <c r="AA85" s="292">
        <f>SUM('PER BULAN'!AH139:AJ139)</f>
        <v>0</v>
      </c>
      <c r="AB85" s="292">
        <f>SUM('PER BULAN'!AK139:AM139)</f>
        <v>0</v>
      </c>
      <c r="AC85" s="292">
        <f>SUM('PER BULAN'!AN139:AP139)</f>
        <v>0</v>
      </c>
      <c r="AD85" s="292">
        <f>SUM('PER BULAN'!AQ139:AS139)</f>
        <v>0</v>
      </c>
      <c r="AE85" s="277" t="s">
        <v>530</v>
      </c>
      <c r="AF85" s="277" t="s">
        <v>576</v>
      </c>
      <c r="AG85" s="277" t="s">
        <v>560</v>
      </c>
      <c r="AH85" s="277" t="s">
        <v>4699</v>
      </c>
      <c r="AI85" s="277" t="s">
        <v>4700</v>
      </c>
      <c r="AJ85" s="494">
        <f t="shared" si="7"/>
        <v>0</v>
      </c>
      <c r="AK85" s="291">
        <f t="shared" si="8"/>
        <v>0</v>
      </c>
      <c r="AL85" s="494">
        <f t="shared" si="9"/>
        <v>0</v>
      </c>
      <c r="AM85" s="291">
        <f t="shared" si="10"/>
        <v>0</v>
      </c>
      <c r="AN85" s="277" t="str">
        <f t="shared" si="11"/>
        <v>WA.2378.EBA.994.002.GE.521811</v>
      </c>
      <c r="AO85" s="277" t="str">
        <f>IF(ISNUMBER(SEARCH("COVID",SP2D[[#This Row],[Akun]])),"COVID","Non COVID")</f>
        <v>Non COVID</v>
      </c>
      <c r="AP8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85"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5" s="292">
        <f>SUM('PER BULAN'!BA139)</f>
        <v>0</v>
      </c>
      <c r="AS85" s="292">
        <f>SUM('PER BULAN'!BB139)</f>
        <v>0</v>
      </c>
      <c r="AT85" s="292">
        <f>SUM('PER BULAN'!BC139)</f>
        <v>0</v>
      </c>
      <c r="AU85" s="292">
        <f>SUM('PER BULAN'!BD139)</f>
        <v>0</v>
      </c>
      <c r="AV85" s="292">
        <f>SUM('PER BULAN'!BE139)</f>
        <v>0</v>
      </c>
      <c r="AW85" s="292">
        <f>SUM('PER BULAN'!BF139)</f>
        <v>0</v>
      </c>
      <c r="AX85" s="292">
        <f>SUM('PER BULAN'!BG139)</f>
        <v>0</v>
      </c>
      <c r="AY85" s="292">
        <f>SUM('PER BULAN'!BH139)</f>
        <v>0</v>
      </c>
    </row>
    <row r="86" spans="1:51" s="278" customFormat="1" x14ac:dyDescent="0.3">
      <c r="A86" s="277" t="s">
        <v>4693</v>
      </c>
      <c r="B86" s="277" t="s">
        <v>4694</v>
      </c>
      <c r="C86" s="277" t="s">
        <v>4720</v>
      </c>
      <c r="D86" s="277" t="s">
        <v>4721</v>
      </c>
      <c r="E86" s="277" t="s">
        <v>197</v>
      </c>
      <c r="F86" s="277" t="s">
        <v>4722</v>
      </c>
      <c r="G86" s="277" t="s">
        <v>4737</v>
      </c>
      <c r="H86" s="277" t="s">
        <v>4738</v>
      </c>
      <c r="I86" s="277">
        <v>994</v>
      </c>
      <c r="J86" s="277" t="s">
        <v>6249</v>
      </c>
      <c r="K86" s="414" t="s">
        <v>557</v>
      </c>
      <c r="L86" s="277" t="s">
        <v>4654</v>
      </c>
      <c r="M86" s="277" t="s">
        <v>4224</v>
      </c>
      <c r="N86" s="277" t="s">
        <v>4761</v>
      </c>
      <c r="O86" s="277">
        <v>523121</v>
      </c>
      <c r="P86" s="277" t="s">
        <v>4757</v>
      </c>
      <c r="Q86" s="221" cm="1">
        <f t="array" ref="Q86">SUM(_xlfn._xlws.FILTER(DIPA2[PaguRevisi],DIPA2[Akun]=SP2D[[#This Row],[Kode Akun]],0))</f>
        <v>0</v>
      </c>
      <c r="R86" s="416">
        <v>29000000</v>
      </c>
      <c r="S86" s="292">
        <f>SUM('PER BULAN'!J144:L144)</f>
        <v>0</v>
      </c>
      <c r="T86" s="292">
        <f>SUM('PER BULAN'!M140:O140)</f>
        <v>0</v>
      </c>
      <c r="U86" s="292">
        <f>SUM('PER BULAN'!P140:R140)</f>
        <v>0</v>
      </c>
      <c r="V86" s="292">
        <f>SUM('PER BULAN'!S140:U140)</f>
        <v>0</v>
      </c>
      <c r="W86" s="292">
        <f>SUM('PER BULAN'!V140:X140)</f>
        <v>0</v>
      </c>
      <c r="X86" s="292">
        <f>SUM('PER BULAN'!Y140:AA140)</f>
        <v>0</v>
      </c>
      <c r="Y86" s="292">
        <f>SUM('PER BULAN'!AB140:AD140)</f>
        <v>0</v>
      </c>
      <c r="Z86" s="292">
        <f>SUM('PER BULAN'!AE140:AG140)</f>
        <v>0</v>
      </c>
      <c r="AA86" s="292">
        <f>SUM('PER BULAN'!AH140:AJ140)</f>
        <v>0</v>
      </c>
      <c r="AB86" s="292">
        <f>SUM('PER BULAN'!AK140:AM140)</f>
        <v>0</v>
      </c>
      <c r="AC86" s="292">
        <f>SUM('PER BULAN'!AN140:AP140)</f>
        <v>0</v>
      </c>
      <c r="AD86" s="292">
        <f>SUM('PER BULAN'!AQ140:AS140)</f>
        <v>0</v>
      </c>
      <c r="AE86" s="277" t="s">
        <v>530</v>
      </c>
      <c r="AF86" s="277" t="s">
        <v>576</v>
      </c>
      <c r="AG86" s="277" t="s">
        <v>560</v>
      </c>
      <c r="AH86" s="277" t="s">
        <v>4699</v>
      </c>
      <c r="AI86" s="277" t="s">
        <v>4700</v>
      </c>
      <c r="AJ86" s="494">
        <f t="shared" si="7"/>
        <v>0</v>
      </c>
      <c r="AK86" s="291">
        <f t="shared" si="8"/>
        <v>0</v>
      </c>
      <c r="AL86" s="494">
        <f t="shared" si="9"/>
        <v>0</v>
      </c>
      <c r="AM86" s="291">
        <f t="shared" si="10"/>
        <v>0</v>
      </c>
      <c r="AN86" s="277" t="str">
        <f t="shared" si="11"/>
        <v>WA.2378.EBA.994.002.GE.523121</v>
      </c>
      <c r="AO86" s="277" t="str">
        <f>IF(ISNUMBER(SEARCH("COVID",SP2D[[#This Row],[Akun]])),"COVID","Non COVID")</f>
        <v>Non COVID</v>
      </c>
      <c r="AP8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Q86" s="277"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R86" s="292">
        <f>SUM('PER BULAN'!BA140)</f>
        <v>0</v>
      </c>
      <c r="AS86" s="292">
        <f>SUM('PER BULAN'!BB140)</f>
        <v>0</v>
      </c>
      <c r="AT86" s="292">
        <f>SUM('PER BULAN'!BC140)</f>
        <v>0</v>
      </c>
      <c r="AU86" s="292">
        <f>SUM('PER BULAN'!BD140)</f>
        <v>0</v>
      </c>
      <c r="AV86" s="292">
        <f>SUM('PER BULAN'!BE140)</f>
        <v>0</v>
      </c>
      <c r="AW86" s="292">
        <f>SUM('PER BULAN'!BF140)</f>
        <v>0</v>
      </c>
      <c r="AX86" s="292">
        <f>SUM('PER BULAN'!BG140)</f>
        <v>0</v>
      </c>
      <c r="AY86" s="292">
        <f>SUM('PER BULAN'!BH140)</f>
        <v>0</v>
      </c>
    </row>
    <row r="87" spans="1:51" s="278" customFormat="1" x14ac:dyDescent="0.3">
      <c r="A87" s="277" t="s">
        <v>4693</v>
      </c>
      <c r="B87" s="277" t="s">
        <v>4694</v>
      </c>
      <c r="C87" s="277" t="s">
        <v>4720</v>
      </c>
      <c r="D87" s="277" t="s">
        <v>4721</v>
      </c>
      <c r="E87" s="277" t="s">
        <v>197</v>
      </c>
      <c r="F87" s="277" t="s">
        <v>4722</v>
      </c>
      <c r="G87" s="277" t="s">
        <v>4762</v>
      </c>
      <c r="H87" s="277" t="s">
        <v>4763</v>
      </c>
      <c r="I87" s="277">
        <v>951</v>
      </c>
      <c r="J87" s="277" t="s">
        <v>4764</v>
      </c>
      <c r="K87" s="277">
        <v>301</v>
      </c>
      <c r="L87" s="277" t="s">
        <v>4765</v>
      </c>
      <c r="M87" s="277" t="s">
        <v>8</v>
      </c>
      <c r="N87" s="277" t="s">
        <v>4766</v>
      </c>
      <c r="O87" s="277">
        <v>532111</v>
      </c>
      <c r="P87" s="277" t="s">
        <v>4705</v>
      </c>
      <c r="Q87" s="221" cm="1">
        <f t="array" ref="Q87">SUM(_xlfn._xlws.FILTER(DIPA2[PaguRevisi],DIPA2[Akun]=SP2D[[#This Row],[Kode Akun]],0))</f>
        <v>540000000</v>
      </c>
      <c r="R87" s="416">
        <v>540934000</v>
      </c>
      <c r="S87" s="292">
        <f>SUM('PER BULAN'!J149:L149)</f>
        <v>0</v>
      </c>
      <c r="T87" s="292">
        <f>SUM('PER BULAN'!M145:O145)</f>
        <v>0</v>
      </c>
      <c r="U87" s="292">
        <f>SUM('PER BULAN'!P145:R145)</f>
        <v>0</v>
      </c>
      <c r="V87" s="292">
        <f>SUM('PER BULAN'!S145:U145)</f>
        <v>0</v>
      </c>
      <c r="W87" s="292">
        <f>SUM('PER BULAN'!V145:X145)</f>
        <v>540000000</v>
      </c>
      <c r="X87" s="292">
        <f>SUM('PER BULAN'!Y145:AA145)</f>
        <v>0</v>
      </c>
      <c r="Y87" s="292">
        <f>SUM('PER BULAN'!AB145:AD145)</f>
        <v>0</v>
      </c>
      <c r="Z87" s="292">
        <f>SUM('PER BULAN'!AE145:AG145)</f>
        <v>0</v>
      </c>
      <c r="AA87" s="292">
        <f>SUM('PER BULAN'!AH145:AJ145)</f>
        <v>0</v>
      </c>
      <c r="AB87" s="292">
        <f>SUM('PER BULAN'!AK145:AM145)</f>
        <v>0</v>
      </c>
      <c r="AC87" s="292">
        <f>SUM('PER BULAN'!AN145:AP145)</f>
        <v>0</v>
      </c>
      <c r="AD87" s="292">
        <f>SUM('PER BULAN'!AQ145:AS145)</f>
        <v>0</v>
      </c>
      <c r="AE87" s="277" t="s">
        <v>530</v>
      </c>
      <c r="AF87" s="277" t="s">
        <v>576</v>
      </c>
      <c r="AG87" s="277" t="s">
        <v>560</v>
      </c>
      <c r="AH87" s="277">
        <v>53</v>
      </c>
      <c r="AI87" s="277" t="s">
        <v>4700</v>
      </c>
      <c r="AJ87" s="494">
        <f t="shared" si="7"/>
        <v>540000000</v>
      </c>
      <c r="AK87" s="291">
        <f t="shared" si="8"/>
        <v>100</v>
      </c>
      <c r="AL87" s="494">
        <f t="shared" si="9"/>
        <v>0</v>
      </c>
      <c r="AM87" s="291">
        <f t="shared" si="10"/>
        <v>0</v>
      </c>
      <c r="AN87" s="277" t="str">
        <f t="shared" si="11"/>
        <v>WA.2378.EBB.951.301.A.532111</v>
      </c>
      <c r="AO87" s="277" t="str">
        <f>IF(ISNUMBER(SEARCH("COVID",SP2D[[#This Row],[Akun]])),"COVID","Non COVID")</f>
        <v>Non COVID</v>
      </c>
      <c r="AP8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Q87" s="277" t="str">
        <f>IF(AND(ISNUMBER(SEARCH("OPERASIONAL",SP2D[[#This Row],[Komponen]])),ISNUMBER(SEARCH("LAYANAN PERKANTORAN",SP2D[[#This Row],[SubOutput]]))),"Belanja Barang Operasional",IF(LEFT(SP2D[[#This Row],[kdakun]],2)="53","Belanja Modal",IF(LEFT(SP2D[[#This Row],[kdakun]],2)="51","Belanja Pegawai","Belanja Barang Non Operasional")))</f>
        <v>Belanja Modal</v>
      </c>
      <c r="AR87" s="292">
        <f>SUM('PER BULAN'!BA145)</f>
        <v>0</v>
      </c>
      <c r="AS87" s="292">
        <f>SUM('PER BULAN'!BB145)</f>
        <v>0</v>
      </c>
      <c r="AT87" s="292">
        <f>SUM('PER BULAN'!BC145)</f>
        <v>0</v>
      </c>
      <c r="AU87" s="292">
        <f>SUM('PER BULAN'!BD145)</f>
        <v>0</v>
      </c>
      <c r="AV87" s="292">
        <f>SUM('PER BULAN'!BE145)</f>
        <v>0</v>
      </c>
      <c r="AW87" s="292">
        <f>SUM('PER BULAN'!BF145)</f>
        <v>0</v>
      </c>
      <c r="AX87" s="292">
        <f>SUM('PER BULAN'!BG145)</f>
        <v>0</v>
      </c>
      <c r="AY87" s="292">
        <f>SUM('PER BULAN'!BH145)</f>
        <v>0</v>
      </c>
    </row>
    <row r="88" spans="1:51" s="278" customFormat="1" x14ac:dyDescent="0.3">
      <c r="A88" s="277" t="s">
        <v>4693</v>
      </c>
      <c r="B88" s="277" t="s">
        <v>4694</v>
      </c>
      <c r="C88" s="277" t="s">
        <v>4720</v>
      </c>
      <c r="D88" s="277" t="s">
        <v>4721</v>
      </c>
      <c r="E88" s="277" t="s">
        <v>197</v>
      </c>
      <c r="F88" s="277" t="s">
        <v>4722</v>
      </c>
      <c r="G88" s="277" t="s">
        <v>4767</v>
      </c>
      <c r="H88" s="277" t="s">
        <v>4768</v>
      </c>
      <c r="I88" s="277">
        <v>952</v>
      </c>
      <c r="J88" s="277" t="s">
        <v>4769</v>
      </c>
      <c r="K88" s="277">
        <v>301</v>
      </c>
      <c r="L88" s="277" t="s">
        <v>4770</v>
      </c>
      <c r="M88" s="277" t="s">
        <v>8</v>
      </c>
      <c r="N88" s="277" t="s">
        <v>4771</v>
      </c>
      <c r="O88" s="277">
        <v>521211</v>
      </c>
      <c r="P88" s="277" t="s">
        <v>4698</v>
      </c>
      <c r="Q88" s="221" cm="1">
        <f t="array" ref="Q88">SUM(_xlfn._xlws.FILTER(DIPA2[PaguRevisi],DIPA2[Akun]=SP2D[[#This Row],[Kode Akun]],0))</f>
        <v>6000000</v>
      </c>
      <c r="R88" s="416">
        <v>22650000</v>
      </c>
      <c r="S88" s="292">
        <f>SUM('PER BULAN'!J150:L150)</f>
        <v>0</v>
      </c>
      <c r="T88" s="292">
        <f>SUM('PER BULAN'!M150:O150)</f>
        <v>0</v>
      </c>
      <c r="U88" s="292">
        <f>SUM('PER BULAN'!P150:R150)</f>
        <v>1498000</v>
      </c>
      <c r="V88" s="292">
        <f>SUM('PER BULAN'!S150:U150)</f>
        <v>0</v>
      </c>
      <c r="W88" s="292">
        <f>SUM('PER BULAN'!V150:X150)</f>
        <v>1493000</v>
      </c>
      <c r="X88" s="292">
        <f>SUM('PER BULAN'!Y150:AA150)</f>
        <v>0</v>
      </c>
      <c r="Y88" s="292">
        <f>SUM('PER BULAN'!AB150:AD150)</f>
        <v>0</v>
      </c>
      <c r="Z88" s="292">
        <f>SUM('PER BULAN'!AE150:AG150)</f>
        <v>0</v>
      </c>
      <c r="AA88" s="292">
        <f>SUM('PER BULAN'!AH150:AJ150)</f>
        <v>0</v>
      </c>
      <c r="AB88" s="292">
        <f>SUM('PER BULAN'!AK150:AM150)</f>
        <v>0</v>
      </c>
      <c r="AC88" s="292">
        <f>SUM('PER BULAN'!AN150:AP150)</f>
        <v>0</v>
      </c>
      <c r="AD88" s="292">
        <f>SUM('PER BULAN'!AQ150:AS150)</f>
        <v>0</v>
      </c>
      <c r="AE88" s="277" t="s">
        <v>530</v>
      </c>
      <c r="AF88" s="277" t="s">
        <v>542</v>
      </c>
      <c r="AG88" s="277" t="s">
        <v>543</v>
      </c>
      <c r="AH88" s="277" t="s">
        <v>4699</v>
      </c>
      <c r="AI88" s="277" t="s">
        <v>4700</v>
      </c>
      <c r="AJ88" s="494">
        <f t="shared" si="7"/>
        <v>2991000</v>
      </c>
      <c r="AK88" s="291">
        <f t="shared" si="8"/>
        <v>49.85</v>
      </c>
      <c r="AL88" s="494">
        <f t="shared" si="9"/>
        <v>3009000</v>
      </c>
      <c r="AM88" s="291">
        <f t="shared" si="10"/>
        <v>50.149999999999991</v>
      </c>
      <c r="AN88" s="277" t="str">
        <f t="shared" si="11"/>
        <v>WA.2378.EBD.952.301.A.521211</v>
      </c>
      <c r="AO88" s="277" t="str">
        <f>IF(ISNUMBER(SEARCH("COVID",SP2D[[#This Row],[Akun]])),"COVID","Non COVID")</f>
        <v>Non COVID</v>
      </c>
      <c r="AP8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8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88" s="292">
        <f>SUM('PER BULAN'!BA150)</f>
        <v>0</v>
      </c>
      <c r="AS88" s="292">
        <f>SUM('PER BULAN'!BB150)</f>
        <v>1498000</v>
      </c>
      <c r="AT88" s="292">
        <f>SUM('PER BULAN'!BC150)</f>
        <v>0</v>
      </c>
      <c r="AU88" s="292">
        <f>SUM('PER BULAN'!BD150)</f>
        <v>0</v>
      </c>
      <c r="AV88" s="292">
        <f>SUM('PER BULAN'!BE150)</f>
        <v>0</v>
      </c>
      <c r="AW88" s="292">
        <f>SUM('PER BULAN'!BF150)</f>
        <v>0</v>
      </c>
      <c r="AX88" s="292">
        <f>SUM('PER BULAN'!BG150)</f>
        <v>1493000</v>
      </c>
      <c r="AY88" s="292">
        <f>SUM('PER BULAN'!BH150)</f>
        <v>0</v>
      </c>
    </row>
    <row r="89" spans="1:51" s="278" customFormat="1" x14ac:dyDescent="0.3">
      <c r="A89" s="277" t="s">
        <v>4693</v>
      </c>
      <c r="B89" s="277" t="s">
        <v>4694</v>
      </c>
      <c r="C89" s="277" t="s">
        <v>4720</v>
      </c>
      <c r="D89" s="277" t="s">
        <v>4721</v>
      </c>
      <c r="E89" s="277" t="s">
        <v>197</v>
      </c>
      <c r="F89" s="277" t="s">
        <v>4722</v>
      </c>
      <c r="G89" s="277" t="s">
        <v>4767</v>
      </c>
      <c r="H89" s="277" t="s">
        <v>4768</v>
      </c>
      <c r="I89" s="277">
        <v>952</v>
      </c>
      <c r="J89" s="277" t="s">
        <v>4769</v>
      </c>
      <c r="K89" s="277">
        <v>301</v>
      </c>
      <c r="L89" s="277" t="s">
        <v>4770</v>
      </c>
      <c r="M89" s="277" t="s">
        <v>8</v>
      </c>
      <c r="N89" s="277" t="s">
        <v>4771</v>
      </c>
      <c r="O89" s="277">
        <v>521219</v>
      </c>
      <c r="P89" s="277" t="s">
        <v>4711</v>
      </c>
      <c r="Q89" s="221" cm="1">
        <f t="array" ref="Q89">SUM(_xlfn._xlws.FILTER(DIPA2[PaguRevisi],DIPA2[Akun]=SP2D[[#This Row],[Kode Akun]],0))</f>
        <v>1000000</v>
      </c>
      <c r="R89" s="416">
        <v>1000000</v>
      </c>
      <c r="S89" s="292">
        <f>SUM('PER BULAN'!J151:L151)</f>
        <v>0</v>
      </c>
      <c r="T89" s="292">
        <f>SUM('PER BULAN'!M151:O151)</f>
        <v>0</v>
      </c>
      <c r="U89" s="292">
        <f>SUM('PER BULAN'!P151:R151)</f>
        <v>346915</v>
      </c>
      <c r="V89" s="292">
        <f>SUM('PER BULAN'!S151:U151)</f>
        <v>0</v>
      </c>
      <c r="W89" s="292">
        <f>SUM('PER BULAN'!V151:X151)</f>
        <v>355980</v>
      </c>
      <c r="X89" s="292">
        <f>SUM('PER BULAN'!Y151:AA151)</f>
        <v>0</v>
      </c>
      <c r="Y89" s="292">
        <f>SUM('PER BULAN'!AB151:AD151)</f>
        <v>0</v>
      </c>
      <c r="Z89" s="292">
        <f>SUM('PER BULAN'!AE151:AG151)</f>
        <v>0</v>
      </c>
      <c r="AA89" s="292">
        <f>SUM('PER BULAN'!AH151:AJ151)</f>
        <v>0</v>
      </c>
      <c r="AB89" s="292">
        <f>SUM('PER BULAN'!AK151:AM151)</f>
        <v>0</v>
      </c>
      <c r="AC89" s="292">
        <f>SUM('PER BULAN'!AN151:AP151)</f>
        <v>0</v>
      </c>
      <c r="AD89" s="292">
        <f>SUM('PER BULAN'!AQ151:AS151)</f>
        <v>0</v>
      </c>
      <c r="AE89" s="277" t="s">
        <v>530</v>
      </c>
      <c r="AF89" s="277" t="s">
        <v>542</v>
      </c>
      <c r="AG89" s="277" t="s">
        <v>543</v>
      </c>
      <c r="AH89" s="277" t="s">
        <v>4699</v>
      </c>
      <c r="AI89" s="277" t="s">
        <v>4700</v>
      </c>
      <c r="AJ89" s="494">
        <f t="shared" si="7"/>
        <v>702895</v>
      </c>
      <c r="AK89" s="291">
        <f t="shared" si="8"/>
        <v>70.289500000000004</v>
      </c>
      <c r="AL89" s="494">
        <f t="shared" si="9"/>
        <v>297105</v>
      </c>
      <c r="AM89" s="291">
        <f t="shared" si="10"/>
        <v>29.7105</v>
      </c>
      <c r="AN89" s="277" t="str">
        <f t="shared" si="11"/>
        <v>WA.2378.EBD.952.301.A.521219</v>
      </c>
      <c r="AO89" s="277" t="str">
        <f>IF(ISNUMBER(SEARCH("COVID",SP2D[[#This Row],[Akun]])),"COVID","Non COVID")</f>
        <v>Non COVID</v>
      </c>
      <c r="AP8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8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89" s="292">
        <f>SUM('PER BULAN'!BA151)</f>
        <v>0</v>
      </c>
      <c r="AS89" s="292">
        <f>SUM('PER BULAN'!BB151)</f>
        <v>346915</v>
      </c>
      <c r="AT89" s="292">
        <f>SUM('PER BULAN'!BC151)</f>
        <v>0</v>
      </c>
      <c r="AU89" s="292">
        <f>SUM('PER BULAN'!BD151)</f>
        <v>0</v>
      </c>
      <c r="AV89" s="292">
        <f>SUM('PER BULAN'!BE151)</f>
        <v>0</v>
      </c>
      <c r="AW89" s="292">
        <f>SUM('PER BULAN'!BF151)</f>
        <v>0</v>
      </c>
      <c r="AX89" s="292">
        <f>SUM('PER BULAN'!BG151)</f>
        <v>355980</v>
      </c>
      <c r="AY89" s="292">
        <f>SUM('PER BULAN'!BH151)</f>
        <v>0</v>
      </c>
    </row>
    <row r="90" spans="1:51" s="278" customFormat="1" x14ac:dyDescent="0.3">
      <c r="A90" s="277" t="s">
        <v>4693</v>
      </c>
      <c r="B90" s="277" t="s">
        <v>4694</v>
      </c>
      <c r="C90" s="277" t="s">
        <v>4720</v>
      </c>
      <c r="D90" s="277" t="s">
        <v>4721</v>
      </c>
      <c r="E90" s="277" t="s">
        <v>197</v>
      </c>
      <c r="F90" s="277" t="s">
        <v>4722</v>
      </c>
      <c r="G90" s="277" t="s">
        <v>4767</v>
      </c>
      <c r="H90" s="277" t="s">
        <v>4768</v>
      </c>
      <c r="I90" s="277">
        <v>952</v>
      </c>
      <c r="J90" s="277" t="s">
        <v>4769</v>
      </c>
      <c r="K90" s="277">
        <v>301</v>
      </c>
      <c r="L90" s="277" t="s">
        <v>4770</v>
      </c>
      <c r="M90" s="277" t="s">
        <v>8</v>
      </c>
      <c r="N90" s="277" t="s">
        <v>4771</v>
      </c>
      <c r="O90" s="277">
        <v>521811</v>
      </c>
      <c r="P90" s="277" t="s">
        <v>4716</v>
      </c>
      <c r="Q90" s="221" cm="1">
        <f t="array" ref="Q90">SUM(_xlfn._xlws.FILTER(DIPA2[PaguRevisi],DIPA2[Akun]=SP2D[[#This Row],[Kode Akun]],0))</f>
        <v>10000000</v>
      </c>
      <c r="R90" s="416">
        <v>15000000</v>
      </c>
      <c r="S90" s="292">
        <f>SUM('PER BULAN'!J152:L152)</f>
        <v>0</v>
      </c>
      <c r="T90" s="292">
        <f>SUM('PER BULAN'!M152:O152)</f>
        <v>0</v>
      </c>
      <c r="U90" s="292">
        <f>SUM('PER BULAN'!P152:R152)</f>
        <v>2459000</v>
      </c>
      <c r="V90" s="292">
        <f>SUM('PER BULAN'!S152:U152)</f>
        <v>0</v>
      </c>
      <c r="W90" s="292">
        <f>SUM('PER BULAN'!V152:X152)</f>
        <v>2390000</v>
      </c>
      <c r="X90" s="292">
        <f>SUM('PER BULAN'!Y152:AA152)</f>
        <v>0</v>
      </c>
      <c r="Y90" s="292">
        <f>SUM('PER BULAN'!AB152:AD152)</f>
        <v>0</v>
      </c>
      <c r="Z90" s="292">
        <f>SUM('PER BULAN'!AE152:AG152)</f>
        <v>0</v>
      </c>
      <c r="AA90" s="292">
        <f>SUM('PER BULAN'!AH152:AJ152)</f>
        <v>0</v>
      </c>
      <c r="AB90" s="292">
        <f>SUM('PER BULAN'!AK152:AM152)</f>
        <v>0</v>
      </c>
      <c r="AC90" s="292">
        <f>SUM('PER BULAN'!AN152:AP152)</f>
        <v>0</v>
      </c>
      <c r="AD90" s="292">
        <f>SUM('PER BULAN'!AQ152:AS152)</f>
        <v>0</v>
      </c>
      <c r="AE90" s="277" t="s">
        <v>530</v>
      </c>
      <c r="AF90" s="277" t="s">
        <v>542</v>
      </c>
      <c r="AG90" s="277" t="s">
        <v>543</v>
      </c>
      <c r="AH90" s="277" t="s">
        <v>4699</v>
      </c>
      <c r="AI90" s="277" t="s">
        <v>4700</v>
      </c>
      <c r="AJ90" s="494">
        <f t="shared" si="7"/>
        <v>4849000</v>
      </c>
      <c r="AK90" s="291">
        <f t="shared" si="8"/>
        <v>48.49</v>
      </c>
      <c r="AL90" s="494">
        <f t="shared" si="9"/>
        <v>5151000</v>
      </c>
      <c r="AM90" s="291">
        <f t="shared" si="10"/>
        <v>51.51</v>
      </c>
      <c r="AN90" s="277" t="str">
        <f t="shared" si="11"/>
        <v>WA.2378.EBD.952.301.A.521811</v>
      </c>
      <c r="AO90" s="277" t="str">
        <f>IF(ISNUMBER(SEARCH("COVID",SP2D[[#This Row],[Akun]])),"COVID","Non COVID")</f>
        <v>Non COVID</v>
      </c>
      <c r="AP9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9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0" s="292">
        <f>SUM('PER BULAN'!BA152)</f>
        <v>0</v>
      </c>
      <c r="AS90" s="292">
        <f>SUM('PER BULAN'!BB152)</f>
        <v>2459000</v>
      </c>
      <c r="AT90" s="292">
        <f>SUM('PER BULAN'!BC152)</f>
        <v>0</v>
      </c>
      <c r="AU90" s="292">
        <f>SUM('PER BULAN'!BD152)</f>
        <v>0</v>
      </c>
      <c r="AV90" s="292">
        <f>SUM('PER BULAN'!BE152)</f>
        <v>0</v>
      </c>
      <c r="AW90" s="292">
        <f>SUM('PER BULAN'!BF152)</f>
        <v>0</v>
      </c>
      <c r="AX90" s="292">
        <f>SUM('PER BULAN'!BG152)</f>
        <v>2390000</v>
      </c>
      <c r="AY90" s="292">
        <f>SUM('PER BULAN'!BH152)</f>
        <v>0</v>
      </c>
    </row>
    <row r="91" spans="1:51" s="278" customFormat="1" x14ac:dyDescent="0.3">
      <c r="A91" s="277" t="s">
        <v>4693</v>
      </c>
      <c r="B91" s="277" t="s">
        <v>4694</v>
      </c>
      <c r="C91" s="277" t="s">
        <v>4720</v>
      </c>
      <c r="D91" s="277" t="s">
        <v>4721</v>
      </c>
      <c r="E91" s="277" t="s">
        <v>197</v>
      </c>
      <c r="F91" s="277" t="s">
        <v>4722</v>
      </c>
      <c r="G91" s="277" t="s">
        <v>4767</v>
      </c>
      <c r="H91" s="277" t="s">
        <v>4768</v>
      </c>
      <c r="I91" s="277">
        <v>952</v>
      </c>
      <c r="J91" s="277" t="s">
        <v>4769</v>
      </c>
      <c r="K91" s="277">
        <v>301</v>
      </c>
      <c r="L91" s="277" t="s">
        <v>4770</v>
      </c>
      <c r="M91" s="277" t="s">
        <v>8</v>
      </c>
      <c r="N91" s="277" t="s">
        <v>4771</v>
      </c>
      <c r="O91" s="277">
        <v>524111</v>
      </c>
      <c r="P91" s="277" t="s">
        <v>4702</v>
      </c>
      <c r="Q91" s="221" cm="1">
        <f t="array" ref="Q91">SUM(_xlfn._xlws.FILTER(DIPA2[PaguRevisi],DIPA2[Akun]=SP2D[[#This Row],[Kode Akun]],0))</f>
        <v>5164000</v>
      </c>
      <c r="R91" s="416">
        <v>62400000</v>
      </c>
      <c r="S91" s="292">
        <f>SUM('PER BULAN'!J154:L154)</f>
        <v>0</v>
      </c>
      <c r="T91" s="292">
        <f>SUM('PER BULAN'!M153:O153)</f>
        <v>1010000</v>
      </c>
      <c r="U91" s="292">
        <f>SUM('PER BULAN'!P153:R153)</f>
        <v>2805000</v>
      </c>
      <c r="V91" s="292">
        <f>SUM('PER BULAN'!S153:U153)</f>
        <v>0</v>
      </c>
      <c r="W91" s="292">
        <f>SUM('PER BULAN'!V153:X153)</f>
        <v>1348500</v>
      </c>
      <c r="X91" s="292">
        <f>SUM('PER BULAN'!Y153:AA153)</f>
        <v>0</v>
      </c>
      <c r="Y91" s="292">
        <f>SUM('PER BULAN'!AB153:AD153)</f>
        <v>0</v>
      </c>
      <c r="Z91" s="292">
        <f>SUM('PER BULAN'!AE153:AG153)</f>
        <v>0</v>
      </c>
      <c r="AA91" s="292">
        <f>SUM('PER BULAN'!AH153:AJ153)</f>
        <v>0</v>
      </c>
      <c r="AB91" s="292">
        <f>SUM('PER BULAN'!AK153:AM153)</f>
        <v>0</v>
      </c>
      <c r="AC91" s="292">
        <f>SUM('PER BULAN'!AN153:AP153)</f>
        <v>0</v>
      </c>
      <c r="AD91" s="292">
        <f>SUM('PER BULAN'!AQ153:AS153)</f>
        <v>0</v>
      </c>
      <c r="AE91" s="277" t="s">
        <v>530</v>
      </c>
      <c r="AF91" s="277" t="s">
        <v>542</v>
      </c>
      <c r="AG91" s="277" t="s">
        <v>543</v>
      </c>
      <c r="AH91" s="277" t="s">
        <v>4699</v>
      </c>
      <c r="AI91" s="277" t="s">
        <v>4700</v>
      </c>
      <c r="AJ91" s="494">
        <f t="shared" si="7"/>
        <v>5163500</v>
      </c>
      <c r="AK91" s="291">
        <f t="shared" si="8"/>
        <v>99.990317583268791</v>
      </c>
      <c r="AL91" s="494">
        <f t="shared" si="9"/>
        <v>500</v>
      </c>
      <c r="AM91" s="291">
        <f t="shared" si="10"/>
        <v>9.6824167312161129E-3</v>
      </c>
      <c r="AN91" s="277" t="str">
        <f t="shared" si="11"/>
        <v>WA.2378.EBD.952.301.A.524111</v>
      </c>
      <c r="AO91" s="277" t="str">
        <f>IF(ISNUMBER(SEARCH("COVID",SP2D[[#This Row],[Akun]])),"COVID","Non COVID")</f>
        <v>Non COVID</v>
      </c>
      <c r="AP9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9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1" s="292">
        <f>SUM('PER BULAN'!BA153)</f>
        <v>0</v>
      </c>
      <c r="AS91" s="292">
        <f>SUM('PER BULAN'!BB153)</f>
        <v>0</v>
      </c>
      <c r="AT91" s="292">
        <f>SUM('PER BULAN'!BC153)</f>
        <v>2805000</v>
      </c>
      <c r="AU91" s="292">
        <f>SUM('PER BULAN'!BD153)</f>
        <v>0</v>
      </c>
      <c r="AV91" s="292">
        <f>SUM('PER BULAN'!BE153)</f>
        <v>0</v>
      </c>
      <c r="AW91" s="292">
        <f>SUM('PER BULAN'!BF153)</f>
        <v>0</v>
      </c>
      <c r="AX91" s="292">
        <f>SUM('PER BULAN'!BG153)</f>
        <v>0</v>
      </c>
      <c r="AY91" s="292">
        <f>SUM('PER BULAN'!BH153)</f>
        <v>0</v>
      </c>
    </row>
    <row r="92" spans="1:51" s="278" customFormat="1" x14ac:dyDescent="0.3">
      <c r="A92" s="277" t="s">
        <v>4693</v>
      </c>
      <c r="B92" s="277" t="s">
        <v>4694</v>
      </c>
      <c r="C92" s="277" t="s">
        <v>4720</v>
      </c>
      <c r="D92" s="277" t="s">
        <v>4721</v>
      </c>
      <c r="E92" s="277" t="s">
        <v>197</v>
      </c>
      <c r="F92" s="277" t="s">
        <v>4722</v>
      </c>
      <c r="G92" s="277" t="s">
        <v>4767</v>
      </c>
      <c r="H92" s="277" t="s">
        <v>4768</v>
      </c>
      <c r="I92" s="277">
        <v>952</v>
      </c>
      <c r="J92" s="277" t="s">
        <v>4769</v>
      </c>
      <c r="K92" s="277">
        <v>301</v>
      </c>
      <c r="L92" s="277" t="s">
        <v>4770</v>
      </c>
      <c r="M92" s="277" t="s">
        <v>511</v>
      </c>
      <c r="N92" s="277" t="s">
        <v>4772</v>
      </c>
      <c r="O92" s="277">
        <v>521211</v>
      </c>
      <c r="P92" s="277" t="s">
        <v>4698</v>
      </c>
      <c r="Q92" s="221" cm="1">
        <f t="array" ref="Q92">SUM(_xlfn._xlws.FILTER(DIPA2[PaguRevisi],DIPA2[Akun]=SP2D[[#This Row],[Kode Akun]],0))</f>
        <v>12000000</v>
      </c>
      <c r="R92" s="416">
        <v>49300000</v>
      </c>
      <c r="S92" s="292">
        <f>SUM('PER BULAN'!J155:L155)</f>
        <v>0</v>
      </c>
      <c r="T92" s="292">
        <f>SUM('PER BULAN'!M155:O155)</f>
        <v>0</v>
      </c>
      <c r="U92" s="292">
        <f>SUM('PER BULAN'!P155:R155)</f>
        <v>2964000</v>
      </c>
      <c r="V92" s="292">
        <f>SUM('PER BULAN'!S155:U155)</f>
        <v>0</v>
      </c>
      <c r="W92" s="292">
        <f>SUM('PER BULAN'!V155:X155)</f>
        <v>2975000</v>
      </c>
      <c r="X92" s="292">
        <f>SUM('PER BULAN'!Y155:AA155)</f>
        <v>0</v>
      </c>
      <c r="Y92" s="292">
        <f>SUM('PER BULAN'!AB155:AD155)</f>
        <v>0</v>
      </c>
      <c r="Z92" s="292">
        <f>SUM('PER BULAN'!AE155:AG155)</f>
        <v>0</v>
      </c>
      <c r="AA92" s="292">
        <f>SUM('PER BULAN'!AH155:AJ155)</f>
        <v>0</v>
      </c>
      <c r="AB92" s="292">
        <f>SUM('PER BULAN'!AK155:AM155)</f>
        <v>0</v>
      </c>
      <c r="AC92" s="292">
        <f>SUM('PER BULAN'!AN155:AP155)</f>
        <v>0</v>
      </c>
      <c r="AD92" s="292">
        <f>SUM('PER BULAN'!AQ155:AS155)</f>
        <v>0</v>
      </c>
      <c r="AE92" s="277" t="s">
        <v>530</v>
      </c>
      <c r="AF92" s="277" t="s">
        <v>542</v>
      </c>
      <c r="AG92" s="277" t="s">
        <v>543</v>
      </c>
      <c r="AH92" s="277" t="s">
        <v>4699</v>
      </c>
      <c r="AI92" s="277" t="s">
        <v>4700</v>
      </c>
      <c r="AJ92" s="494">
        <f t="shared" si="7"/>
        <v>5939000</v>
      </c>
      <c r="AK92" s="291">
        <f t="shared" si="8"/>
        <v>49.491666666666667</v>
      </c>
      <c r="AL92" s="494">
        <f t="shared" si="9"/>
        <v>6061000</v>
      </c>
      <c r="AM92" s="291">
        <f t="shared" si="10"/>
        <v>50.508333333333333</v>
      </c>
      <c r="AN92" s="277" t="str">
        <f t="shared" si="11"/>
        <v>WA.2378.EBD.952.301.B.521211</v>
      </c>
      <c r="AO92" s="277" t="str">
        <f>IF(ISNUMBER(SEARCH("COVID",SP2D[[#This Row],[Akun]])),"COVID","Non COVID")</f>
        <v>Non COVID</v>
      </c>
      <c r="AP9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9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2" s="292">
        <f>SUM('PER BULAN'!BA155)</f>
        <v>0</v>
      </c>
      <c r="AS92" s="292">
        <f>SUM('PER BULAN'!BB155)</f>
        <v>2964000</v>
      </c>
      <c r="AT92" s="292">
        <f>SUM('PER BULAN'!BC155)</f>
        <v>0</v>
      </c>
      <c r="AU92" s="292">
        <f>SUM('PER BULAN'!BD155)</f>
        <v>0</v>
      </c>
      <c r="AV92" s="292">
        <f>SUM('PER BULAN'!BE155)</f>
        <v>0</v>
      </c>
      <c r="AW92" s="292">
        <f>SUM('PER BULAN'!BF155)</f>
        <v>0</v>
      </c>
      <c r="AX92" s="292">
        <f>SUM('PER BULAN'!BG155)</f>
        <v>2975000</v>
      </c>
      <c r="AY92" s="292">
        <f>SUM('PER BULAN'!BH155)</f>
        <v>0</v>
      </c>
    </row>
    <row r="93" spans="1:51" s="278" customFormat="1" x14ac:dyDescent="0.3">
      <c r="A93" s="277" t="s">
        <v>4693</v>
      </c>
      <c r="B93" s="277" t="s">
        <v>4694</v>
      </c>
      <c r="C93" s="277" t="s">
        <v>4720</v>
      </c>
      <c r="D93" s="277" t="s">
        <v>4721</v>
      </c>
      <c r="E93" s="277" t="s">
        <v>197</v>
      </c>
      <c r="F93" s="277" t="s">
        <v>4722</v>
      </c>
      <c r="G93" s="277" t="s">
        <v>4767</v>
      </c>
      <c r="H93" s="277" t="s">
        <v>4768</v>
      </c>
      <c r="I93" s="277">
        <v>952</v>
      </c>
      <c r="J93" s="277" t="s">
        <v>4769</v>
      </c>
      <c r="K93" s="277">
        <v>301</v>
      </c>
      <c r="L93" s="277" t="s">
        <v>4770</v>
      </c>
      <c r="M93" s="277" t="s">
        <v>511</v>
      </c>
      <c r="N93" s="277" t="s">
        <v>4772</v>
      </c>
      <c r="O93" s="277">
        <v>521219</v>
      </c>
      <c r="P93" s="277" t="s">
        <v>4711</v>
      </c>
      <c r="Q93" s="221" cm="1">
        <f t="array" ref="Q93">SUM(_xlfn._xlws.FILTER(DIPA2[PaguRevisi],DIPA2[Akun]=SP2D[[#This Row],[Kode Akun]],0))</f>
        <v>1000000</v>
      </c>
      <c r="R93" s="416">
        <v>1000000</v>
      </c>
      <c r="S93" s="292">
        <f>SUM('PER BULAN'!J156:L156)</f>
        <v>0</v>
      </c>
      <c r="T93" s="292">
        <f>SUM('PER BULAN'!M156:O156)</f>
        <v>0</v>
      </c>
      <c r="U93" s="292">
        <f>SUM('PER BULAN'!P156:R156)</f>
        <v>0</v>
      </c>
      <c r="V93" s="292">
        <f>SUM('PER BULAN'!S156:U156)</f>
        <v>0</v>
      </c>
      <c r="W93" s="292">
        <f>SUM('PER BULAN'!V156:X156)</f>
        <v>0</v>
      </c>
      <c r="X93" s="292">
        <f>SUM('PER BULAN'!Y156:AA156)</f>
        <v>0</v>
      </c>
      <c r="Y93" s="292">
        <f>SUM('PER BULAN'!AB156:AD156)</f>
        <v>0</v>
      </c>
      <c r="Z93" s="292">
        <f>SUM('PER BULAN'!AE156:AG156)</f>
        <v>0</v>
      </c>
      <c r="AA93" s="292">
        <f>SUM('PER BULAN'!AH156:AJ156)</f>
        <v>0</v>
      </c>
      <c r="AB93" s="292">
        <f>SUM('PER BULAN'!AK156:AM156)</f>
        <v>0</v>
      </c>
      <c r="AC93" s="292">
        <f>SUM('PER BULAN'!AN156:AP156)</f>
        <v>0</v>
      </c>
      <c r="AD93" s="292">
        <f>SUM('PER BULAN'!AQ156:AS156)</f>
        <v>0</v>
      </c>
      <c r="AE93" s="277" t="s">
        <v>530</v>
      </c>
      <c r="AF93" s="277" t="s">
        <v>542</v>
      </c>
      <c r="AG93" s="277" t="s">
        <v>543</v>
      </c>
      <c r="AH93" s="277" t="s">
        <v>4699</v>
      </c>
      <c r="AI93" s="277" t="s">
        <v>4700</v>
      </c>
      <c r="AJ93" s="494">
        <f t="shared" si="7"/>
        <v>0</v>
      </c>
      <c r="AK93" s="291">
        <f t="shared" si="8"/>
        <v>0</v>
      </c>
      <c r="AL93" s="494">
        <f t="shared" si="9"/>
        <v>1000000</v>
      </c>
      <c r="AM93" s="291">
        <f t="shared" si="10"/>
        <v>100</v>
      </c>
      <c r="AN93" s="277" t="str">
        <f t="shared" si="11"/>
        <v>WA.2378.EBD.952.301.B.521219</v>
      </c>
      <c r="AO93" s="277" t="str">
        <f>IF(ISNUMBER(SEARCH("COVID",SP2D[[#This Row],[Akun]])),"COVID","Non COVID")</f>
        <v>Non COVID</v>
      </c>
      <c r="AP9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9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3" s="292">
        <f>SUM('PER BULAN'!BA156)</f>
        <v>0</v>
      </c>
      <c r="AS93" s="292">
        <f>SUM('PER BULAN'!BB156)</f>
        <v>0</v>
      </c>
      <c r="AT93" s="292">
        <f>SUM('PER BULAN'!BC156)</f>
        <v>0</v>
      </c>
      <c r="AU93" s="292">
        <f>SUM('PER BULAN'!BD156)</f>
        <v>0</v>
      </c>
      <c r="AV93" s="292">
        <f>SUM('PER BULAN'!BE156)</f>
        <v>0</v>
      </c>
      <c r="AW93" s="292">
        <f>SUM('PER BULAN'!BF156)</f>
        <v>0</v>
      </c>
      <c r="AX93" s="292">
        <f>SUM('PER BULAN'!BG156)</f>
        <v>0</v>
      </c>
      <c r="AY93" s="292">
        <f>SUM('PER BULAN'!BH156)</f>
        <v>0</v>
      </c>
    </row>
    <row r="94" spans="1:51" s="278" customFormat="1" x14ac:dyDescent="0.3">
      <c r="A94" s="277" t="s">
        <v>4693</v>
      </c>
      <c r="B94" s="277" t="s">
        <v>4694</v>
      </c>
      <c r="C94" s="277" t="s">
        <v>4720</v>
      </c>
      <c r="D94" s="277" t="s">
        <v>4721</v>
      </c>
      <c r="E94" s="277" t="s">
        <v>197</v>
      </c>
      <c r="F94" s="277" t="s">
        <v>4722</v>
      </c>
      <c r="G94" s="277" t="s">
        <v>4767</v>
      </c>
      <c r="H94" s="277" t="s">
        <v>4768</v>
      </c>
      <c r="I94" s="277">
        <v>952</v>
      </c>
      <c r="J94" s="277" t="s">
        <v>4769</v>
      </c>
      <c r="K94" s="277">
        <v>301</v>
      </c>
      <c r="L94" s="277" t="s">
        <v>4770</v>
      </c>
      <c r="M94" s="277" t="s">
        <v>511</v>
      </c>
      <c r="N94" s="277" t="s">
        <v>4772</v>
      </c>
      <c r="O94" s="277">
        <v>521811</v>
      </c>
      <c r="P94" s="277" t="s">
        <v>4716</v>
      </c>
      <c r="Q94" s="221" cm="1">
        <f t="array" ref="Q94">SUM(_xlfn._xlws.FILTER(DIPA2[PaguRevisi],DIPA2[Akun]=SP2D[[#This Row],[Kode Akun]],0))</f>
        <v>20000000</v>
      </c>
      <c r="R94" s="416">
        <v>25000000</v>
      </c>
      <c r="S94" s="292">
        <f>SUM('PER BULAN'!J157:L157)</f>
        <v>0</v>
      </c>
      <c r="T94" s="292">
        <f>SUM('PER BULAN'!M157:O157)</f>
        <v>0</v>
      </c>
      <c r="U94" s="292">
        <f>SUM('PER BULAN'!P157:R157)</f>
        <v>4910000</v>
      </c>
      <c r="V94" s="292">
        <f>SUM('PER BULAN'!S157:U157)</f>
        <v>0</v>
      </c>
      <c r="W94" s="292">
        <f>SUM('PER BULAN'!V157:X157)</f>
        <v>4873000</v>
      </c>
      <c r="X94" s="292">
        <f>SUM('PER BULAN'!Y157:AA157)</f>
        <v>0</v>
      </c>
      <c r="Y94" s="292">
        <f>SUM('PER BULAN'!AB157:AD157)</f>
        <v>0</v>
      </c>
      <c r="Z94" s="292">
        <f>SUM('PER BULAN'!AE157:AG157)</f>
        <v>0</v>
      </c>
      <c r="AA94" s="292">
        <f>SUM('PER BULAN'!AH157:AJ157)</f>
        <v>0</v>
      </c>
      <c r="AB94" s="292">
        <f>SUM('PER BULAN'!AK157:AM157)</f>
        <v>0</v>
      </c>
      <c r="AC94" s="292">
        <f>SUM('PER BULAN'!AN157:AP157)</f>
        <v>0</v>
      </c>
      <c r="AD94" s="292">
        <f>SUM('PER BULAN'!AQ157:AS157)</f>
        <v>0</v>
      </c>
      <c r="AE94" s="277" t="s">
        <v>530</v>
      </c>
      <c r="AF94" s="277" t="s">
        <v>542</v>
      </c>
      <c r="AG94" s="277" t="s">
        <v>543</v>
      </c>
      <c r="AH94" s="277" t="s">
        <v>4699</v>
      </c>
      <c r="AI94" s="277" t="s">
        <v>4700</v>
      </c>
      <c r="AJ94" s="494">
        <f t="shared" si="7"/>
        <v>9783000</v>
      </c>
      <c r="AK94" s="291">
        <f t="shared" si="8"/>
        <v>48.914999999999999</v>
      </c>
      <c r="AL94" s="494">
        <f t="shared" si="9"/>
        <v>10217000</v>
      </c>
      <c r="AM94" s="291">
        <f t="shared" si="10"/>
        <v>51.085000000000001</v>
      </c>
      <c r="AN94" s="277" t="str">
        <f t="shared" si="11"/>
        <v>WA.2378.EBD.952.301.B.521811</v>
      </c>
      <c r="AO94" s="277" t="str">
        <f>IF(ISNUMBER(SEARCH("COVID",SP2D[[#This Row],[Akun]])),"COVID","Non COVID")</f>
        <v>Non COVID</v>
      </c>
      <c r="AP9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9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4" s="292">
        <f>SUM('PER BULAN'!BA157)</f>
        <v>0</v>
      </c>
      <c r="AS94" s="292">
        <f>SUM('PER BULAN'!BB157)</f>
        <v>4910000</v>
      </c>
      <c r="AT94" s="292">
        <f>SUM('PER BULAN'!BC157)</f>
        <v>0</v>
      </c>
      <c r="AU94" s="292">
        <f>SUM('PER BULAN'!BD157)</f>
        <v>0</v>
      </c>
      <c r="AV94" s="292">
        <f>SUM('PER BULAN'!BE157)</f>
        <v>0</v>
      </c>
      <c r="AW94" s="292">
        <f>SUM('PER BULAN'!BF157)</f>
        <v>0</v>
      </c>
      <c r="AX94" s="292">
        <f>SUM('PER BULAN'!BG157)</f>
        <v>4873000</v>
      </c>
      <c r="AY94" s="292">
        <f>SUM('PER BULAN'!BH157)</f>
        <v>0</v>
      </c>
    </row>
    <row r="95" spans="1:51" s="278" customFormat="1" x14ac:dyDescent="0.3">
      <c r="A95" s="277" t="s">
        <v>4693</v>
      </c>
      <c r="B95" s="277" t="s">
        <v>4694</v>
      </c>
      <c r="C95" s="277" t="s">
        <v>4720</v>
      </c>
      <c r="D95" s="277" t="s">
        <v>4721</v>
      </c>
      <c r="E95" s="277" t="s">
        <v>197</v>
      </c>
      <c r="F95" s="277" t="s">
        <v>4722</v>
      </c>
      <c r="G95" s="277" t="s">
        <v>4767</v>
      </c>
      <c r="H95" s="277" t="s">
        <v>4768</v>
      </c>
      <c r="I95" s="277">
        <v>952</v>
      </c>
      <c r="J95" s="277" t="s">
        <v>4769</v>
      </c>
      <c r="K95" s="277">
        <v>301</v>
      </c>
      <c r="L95" s="277" t="s">
        <v>4770</v>
      </c>
      <c r="M95" s="277" t="s">
        <v>511</v>
      </c>
      <c r="N95" s="277" t="s">
        <v>4772</v>
      </c>
      <c r="O95" s="277">
        <v>522151</v>
      </c>
      <c r="P95" s="277" t="s">
        <v>4701</v>
      </c>
      <c r="Q95" s="221" cm="1">
        <f t="array" ref="Q95">SUM(_xlfn._xlws.FILTER(DIPA2[PaguRevisi],DIPA2[Akun]=SP2D[[#This Row],[Kode Akun]],0))</f>
        <v>0</v>
      </c>
      <c r="R95" s="416">
        <v>12000000</v>
      </c>
      <c r="S95" s="292">
        <f>SUM('PER BULAN'!J158:L158)</f>
        <v>0</v>
      </c>
      <c r="T95" s="292">
        <f>SUM('PER BULAN'!M158:O158)</f>
        <v>0</v>
      </c>
      <c r="U95" s="292">
        <f>SUM('PER BULAN'!P158:R158)</f>
        <v>0</v>
      </c>
      <c r="V95" s="292">
        <f>SUM('PER BULAN'!S158:U158)</f>
        <v>0</v>
      </c>
      <c r="W95" s="292">
        <f>SUM('PER BULAN'!V158:X158)</f>
        <v>0</v>
      </c>
      <c r="X95" s="292">
        <f>SUM('PER BULAN'!Y158:AA158)</f>
        <v>0</v>
      </c>
      <c r="Y95" s="292">
        <f>SUM('PER BULAN'!AB158:AD158)</f>
        <v>0</v>
      </c>
      <c r="Z95" s="292">
        <f>SUM('PER BULAN'!AE158:AG158)</f>
        <v>0</v>
      </c>
      <c r="AA95" s="292">
        <f>SUM('PER BULAN'!AH158:AJ158)</f>
        <v>0</v>
      </c>
      <c r="AB95" s="292">
        <f>SUM('PER BULAN'!AK158:AM158)</f>
        <v>0</v>
      </c>
      <c r="AC95" s="292">
        <f>SUM('PER BULAN'!AN158:AP158)</f>
        <v>0</v>
      </c>
      <c r="AD95" s="292">
        <f>SUM('PER BULAN'!AQ158:AS158)</f>
        <v>0</v>
      </c>
      <c r="AE95" s="277" t="s">
        <v>530</v>
      </c>
      <c r="AF95" s="277" t="s">
        <v>542</v>
      </c>
      <c r="AG95" s="277" t="s">
        <v>543</v>
      </c>
      <c r="AH95" s="277" t="s">
        <v>4699</v>
      </c>
      <c r="AI95" s="277" t="s">
        <v>4700</v>
      </c>
      <c r="AJ95" s="494">
        <f t="shared" si="7"/>
        <v>0</v>
      </c>
      <c r="AK95" s="291">
        <f t="shared" si="8"/>
        <v>0</v>
      </c>
      <c r="AL95" s="494">
        <f t="shared" si="9"/>
        <v>0</v>
      </c>
      <c r="AM95" s="291">
        <f t="shared" si="10"/>
        <v>0</v>
      </c>
      <c r="AN95" s="277" t="str">
        <f t="shared" si="11"/>
        <v>WA.2378.EBD.952.301.B.522151</v>
      </c>
      <c r="AO95" s="277" t="str">
        <f>IF(ISNUMBER(SEARCH("COVID",SP2D[[#This Row],[Akun]])),"COVID","Non COVID")</f>
        <v>Non COVID</v>
      </c>
      <c r="AP9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9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5" s="292">
        <f>SUM('PER BULAN'!BA158)</f>
        <v>0</v>
      </c>
      <c r="AS95" s="292">
        <f>SUM('PER BULAN'!BB158)</f>
        <v>0</v>
      </c>
      <c r="AT95" s="292">
        <f>SUM('PER BULAN'!BC158)</f>
        <v>0</v>
      </c>
      <c r="AU95" s="292">
        <f>SUM('PER BULAN'!BD158)</f>
        <v>0</v>
      </c>
      <c r="AV95" s="292">
        <f>SUM('PER BULAN'!BE158)</f>
        <v>0</v>
      </c>
      <c r="AW95" s="292">
        <f>SUM('PER BULAN'!BF158)</f>
        <v>0</v>
      </c>
      <c r="AX95" s="292">
        <f>SUM('PER BULAN'!BG158)</f>
        <v>0</v>
      </c>
      <c r="AY95" s="292">
        <f>SUM('PER BULAN'!BH158)</f>
        <v>0</v>
      </c>
    </row>
    <row r="96" spans="1:51" s="278" customFormat="1" x14ac:dyDescent="0.3">
      <c r="A96" s="277" t="s">
        <v>4693</v>
      </c>
      <c r="B96" s="277" t="s">
        <v>4694</v>
      </c>
      <c r="C96" s="277" t="s">
        <v>4720</v>
      </c>
      <c r="D96" s="277" t="s">
        <v>4721</v>
      </c>
      <c r="E96" s="277" t="s">
        <v>197</v>
      </c>
      <c r="F96" s="277" t="s">
        <v>4722</v>
      </c>
      <c r="G96" s="277" t="s">
        <v>4767</v>
      </c>
      <c r="H96" s="277" t="s">
        <v>4768</v>
      </c>
      <c r="I96" s="277">
        <v>952</v>
      </c>
      <c r="J96" s="277" t="s">
        <v>4769</v>
      </c>
      <c r="K96" s="277">
        <v>301</v>
      </c>
      <c r="L96" s="277" t="s">
        <v>4770</v>
      </c>
      <c r="M96" s="277" t="s">
        <v>511</v>
      </c>
      <c r="N96" s="277" t="s">
        <v>4772</v>
      </c>
      <c r="O96" s="277">
        <v>524111</v>
      </c>
      <c r="P96" s="277" t="s">
        <v>4702</v>
      </c>
      <c r="Q96" s="221" cm="1">
        <f t="array" ref="Q96">SUM(_xlfn._xlws.FILTER(DIPA2[PaguRevisi],DIPA2[Akun]=SP2D[[#This Row],[Kode Akun]],0))</f>
        <v>45000000</v>
      </c>
      <c r="R96" s="416">
        <v>258688000</v>
      </c>
      <c r="S96" s="292">
        <f>SUM('PER BULAN'!J160:L160)</f>
        <v>0</v>
      </c>
      <c r="T96" s="292">
        <f>SUM('PER BULAN'!M159:O159)</f>
        <v>0</v>
      </c>
      <c r="U96" s="292">
        <f>SUM('PER BULAN'!P159:R159)</f>
        <v>0</v>
      </c>
      <c r="V96" s="292">
        <f>SUM('PER BULAN'!S159:U159)</f>
        <v>205000</v>
      </c>
      <c r="W96" s="292">
        <f>SUM('PER BULAN'!V159:X159)</f>
        <v>4224000</v>
      </c>
      <c r="X96" s="292">
        <f>SUM('PER BULAN'!Y159:AA159)</f>
        <v>0</v>
      </c>
      <c r="Y96" s="292">
        <f>SUM('PER BULAN'!AB159:AD159)</f>
        <v>0</v>
      </c>
      <c r="Z96" s="292">
        <f>SUM('PER BULAN'!AE159:AG159)</f>
        <v>0</v>
      </c>
      <c r="AA96" s="292">
        <f>SUM('PER BULAN'!AH159:AJ159)</f>
        <v>0</v>
      </c>
      <c r="AB96" s="292">
        <f>SUM('PER BULAN'!AK159:AM159)</f>
        <v>0</v>
      </c>
      <c r="AC96" s="292">
        <f>SUM('PER BULAN'!AN159:AP159)</f>
        <v>0</v>
      </c>
      <c r="AD96" s="292">
        <f>SUM('PER BULAN'!AQ159:AS159)</f>
        <v>0</v>
      </c>
      <c r="AE96" s="277" t="s">
        <v>530</v>
      </c>
      <c r="AF96" s="277" t="s">
        <v>542</v>
      </c>
      <c r="AG96" s="277" t="s">
        <v>543</v>
      </c>
      <c r="AH96" s="277" t="s">
        <v>4699</v>
      </c>
      <c r="AI96" s="277" t="s">
        <v>4700</v>
      </c>
      <c r="AJ96" s="494">
        <f t="shared" si="7"/>
        <v>4429000</v>
      </c>
      <c r="AK96" s="291">
        <f t="shared" si="8"/>
        <v>9.8422222222222224</v>
      </c>
      <c r="AL96" s="494">
        <f t="shared" si="9"/>
        <v>40571000</v>
      </c>
      <c r="AM96" s="291">
        <f t="shared" si="10"/>
        <v>90.157777777777781</v>
      </c>
      <c r="AN96" s="277" t="str">
        <f t="shared" si="11"/>
        <v>WA.2378.EBD.952.301.B.524111</v>
      </c>
      <c r="AO96" s="277" t="str">
        <f>IF(ISNUMBER(SEARCH("COVID",SP2D[[#This Row],[Akun]])),"COVID","Non COVID")</f>
        <v>Non COVID</v>
      </c>
      <c r="AP9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9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6" s="292">
        <f>SUM('PER BULAN'!BA159)</f>
        <v>0</v>
      </c>
      <c r="AS96" s="292">
        <f>SUM('PER BULAN'!BB159)</f>
        <v>0</v>
      </c>
      <c r="AT96" s="292">
        <f>SUM('PER BULAN'!BC159)</f>
        <v>0</v>
      </c>
      <c r="AU96" s="292">
        <f>SUM('PER BULAN'!BD159)</f>
        <v>0</v>
      </c>
      <c r="AV96" s="292">
        <f>SUM('PER BULAN'!BE159)</f>
        <v>0</v>
      </c>
      <c r="AW96" s="292">
        <f>SUM('PER BULAN'!BF159)</f>
        <v>0</v>
      </c>
      <c r="AX96" s="292">
        <f>SUM('PER BULAN'!BG159)</f>
        <v>0</v>
      </c>
      <c r="AY96" s="292">
        <f>SUM('PER BULAN'!BH159)</f>
        <v>0</v>
      </c>
    </row>
    <row r="97" spans="1:51" s="278" customFormat="1" x14ac:dyDescent="0.3">
      <c r="A97" s="277" t="s">
        <v>4693</v>
      </c>
      <c r="B97" s="277" t="s">
        <v>4694</v>
      </c>
      <c r="C97" s="277" t="s">
        <v>4720</v>
      </c>
      <c r="D97" s="277" t="s">
        <v>4721</v>
      </c>
      <c r="E97" s="277" t="s">
        <v>197</v>
      </c>
      <c r="F97" s="277" t="s">
        <v>4722</v>
      </c>
      <c r="G97" s="277" t="s">
        <v>4767</v>
      </c>
      <c r="H97" s="277" t="s">
        <v>4768</v>
      </c>
      <c r="I97" s="277">
        <v>952</v>
      </c>
      <c r="J97" s="277" t="s">
        <v>4769</v>
      </c>
      <c r="K97" s="277">
        <v>301</v>
      </c>
      <c r="L97" s="277" t="s">
        <v>4770</v>
      </c>
      <c r="M97" s="277" t="s">
        <v>512</v>
      </c>
      <c r="N97" s="277" t="s">
        <v>4773</v>
      </c>
      <c r="O97" s="277">
        <v>521211</v>
      </c>
      <c r="P97" s="277" t="s">
        <v>4698</v>
      </c>
      <c r="Q97" s="221" cm="1">
        <f t="array" ref="Q97">SUM(_xlfn._xlws.FILTER(DIPA2[PaguRevisi],DIPA2[Akun]=SP2D[[#This Row],[Kode Akun]],0))</f>
        <v>21000000</v>
      </c>
      <c r="R97" s="416">
        <v>39500000</v>
      </c>
      <c r="S97" s="292">
        <f>SUM('PER BULAN'!J161:L161)</f>
        <v>0</v>
      </c>
      <c r="T97" s="292">
        <f>SUM('PER BULAN'!M161:O161)</f>
        <v>0</v>
      </c>
      <c r="U97" s="292">
        <f>SUM('PER BULAN'!P161:R161)</f>
        <v>2955000</v>
      </c>
      <c r="V97" s="292">
        <f>SUM('PER BULAN'!S161:U161)</f>
        <v>0</v>
      </c>
      <c r="W97" s="292">
        <f>SUM('PER BULAN'!V161:X161)</f>
        <v>2933500</v>
      </c>
      <c r="X97" s="292">
        <f>SUM('PER BULAN'!Y161:AA161)</f>
        <v>10500000</v>
      </c>
      <c r="Y97" s="292">
        <f>SUM('PER BULAN'!AB161:AD161)</f>
        <v>0</v>
      </c>
      <c r="Z97" s="292">
        <f>SUM('PER BULAN'!AE161:AG161)</f>
        <v>0</v>
      </c>
      <c r="AA97" s="292">
        <f>SUM('PER BULAN'!AH161:AJ161)</f>
        <v>0</v>
      </c>
      <c r="AB97" s="292">
        <f>SUM('PER BULAN'!AK161:AM161)</f>
        <v>0</v>
      </c>
      <c r="AC97" s="292">
        <f>SUM('PER BULAN'!AN161:AP161)</f>
        <v>0</v>
      </c>
      <c r="AD97" s="292">
        <f>SUM('PER BULAN'!AQ161:AS161)</f>
        <v>0</v>
      </c>
      <c r="AE97" s="277" t="s">
        <v>530</v>
      </c>
      <c r="AF97" s="277" t="s">
        <v>542</v>
      </c>
      <c r="AG97" s="277" t="s">
        <v>543</v>
      </c>
      <c r="AH97" s="277" t="s">
        <v>4699</v>
      </c>
      <c r="AI97" s="277" t="s">
        <v>4700</v>
      </c>
      <c r="AJ97" s="494">
        <f t="shared" si="7"/>
        <v>16388500</v>
      </c>
      <c r="AK97" s="291">
        <f t="shared" si="8"/>
        <v>78.040476190476198</v>
      </c>
      <c r="AL97" s="494">
        <f t="shared" si="9"/>
        <v>4611500</v>
      </c>
      <c r="AM97" s="291">
        <f t="shared" si="10"/>
        <v>21.959523809523809</v>
      </c>
      <c r="AN97" s="277" t="str">
        <f t="shared" si="11"/>
        <v>WA.2378.EBD.952.301.C.521211</v>
      </c>
      <c r="AO97" s="277" t="str">
        <f>IF(ISNUMBER(SEARCH("COVID",SP2D[[#This Row],[Akun]])),"COVID","Non COVID")</f>
        <v>Non COVID</v>
      </c>
      <c r="AP9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9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7" s="292">
        <f>SUM('PER BULAN'!BA161)</f>
        <v>0</v>
      </c>
      <c r="AS97" s="292">
        <f>SUM('PER BULAN'!BB161)</f>
        <v>2955000</v>
      </c>
      <c r="AT97" s="292">
        <f>SUM('PER BULAN'!BC161)</f>
        <v>0</v>
      </c>
      <c r="AU97" s="292">
        <f>SUM('PER BULAN'!BD161)</f>
        <v>0</v>
      </c>
      <c r="AV97" s="292">
        <f>SUM('PER BULAN'!BE161)</f>
        <v>0</v>
      </c>
      <c r="AW97" s="292">
        <f>SUM('PER BULAN'!BF161)</f>
        <v>0</v>
      </c>
      <c r="AX97" s="292">
        <f>SUM('PER BULAN'!BG161)</f>
        <v>2933500</v>
      </c>
      <c r="AY97" s="292">
        <f>SUM('PER BULAN'!BH161)</f>
        <v>0</v>
      </c>
    </row>
    <row r="98" spans="1:51" s="278" customFormat="1" x14ac:dyDescent="0.3">
      <c r="A98" s="277" t="s">
        <v>4693</v>
      </c>
      <c r="B98" s="277" t="s">
        <v>4694</v>
      </c>
      <c r="C98" s="277" t="s">
        <v>4720</v>
      </c>
      <c r="D98" s="277" t="s">
        <v>4721</v>
      </c>
      <c r="E98" s="277" t="s">
        <v>197</v>
      </c>
      <c r="F98" s="277" t="s">
        <v>4722</v>
      </c>
      <c r="G98" s="277" t="s">
        <v>4767</v>
      </c>
      <c r="H98" s="277" t="s">
        <v>4768</v>
      </c>
      <c r="I98" s="277">
        <v>952</v>
      </c>
      <c r="J98" s="277" t="s">
        <v>4769</v>
      </c>
      <c r="K98" s="277">
        <v>301</v>
      </c>
      <c r="L98" s="277" t="s">
        <v>4770</v>
      </c>
      <c r="M98" s="277" t="s">
        <v>512</v>
      </c>
      <c r="N98" s="277" t="s">
        <v>4773</v>
      </c>
      <c r="O98" s="277">
        <v>521811</v>
      </c>
      <c r="P98" s="277" t="s">
        <v>4716</v>
      </c>
      <c r="Q98" s="221" cm="1">
        <f t="array" ref="Q98">SUM(_xlfn._xlws.FILTER(DIPA2[PaguRevisi],DIPA2[Akun]=SP2D[[#This Row],[Kode Akun]],0))</f>
        <v>17500000</v>
      </c>
      <c r="R98" s="416">
        <v>25000000</v>
      </c>
      <c r="S98" s="292">
        <f>SUM('PER BULAN'!J162:L162)</f>
        <v>0</v>
      </c>
      <c r="T98" s="292">
        <f>SUM('PER BULAN'!M162:O162)</f>
        <v>0</v>
      </c>
      <c r="U98" s="292">
        <f>SUM('PER BULAN'!P162:R162)</f>
        <v>4947750</v>
      </c>
      <c r="V98" s="292">
        <f>SUM('PER BULAN'!S162:U162)</f>
        <v>0</v>
      </c>
      <c r="W98" s="292">
        <f>SUM('PER BULAN'!V162:X162)</f>
        <v>4878000</v>
      </c>
      <c r="X98" s="292">
        <f>SUM('PER BULAN'!Y162:AA162)</f>
        <v>0</v>
      </c>
      <c r="Y98" s="292">
        <f>SUM('PER BULAN'!AB162:AD162)</f>
        <v>0</v>
      </c>
      <c r="Z98" s="292">
        <f>SUM('PER BULAN'!AE162:AG162)</f>
        <v>0</v>
      </c>
      <c r="AA98" s="292">
        <f>SUM('PER BULAN'!AH162:AJ162)</f>
        <v>0</v>
      </c>
      <c r="AB98" s="292">
        <f>SUM('PER BULAN'!AK162:AM162)</f>
        <v>0</v>
      </c>
      <c r="AC98" s="292">
        <f>SUM('PER BULAN'!AN162:AP162)</f>
        <v>0</v>
      </c>
      <c r="AD98" s="292">
        <f>SUM('PER BULAN'!AQ162:AS162)</f>
        <v>0</v>
      </c>
      <c r="AE98" s="277" t="s">
        <v>530</v>
      </c>
      <c r="AF98" s="277" t="s">
        <v>542</v>
      </c>
      <c r="AG98" s="277" t="s">
        <v>543</v>
      </c>
      <c r="AH98" s="277" t="s">
        <v>4699</v>
      </c>
      <c r="AI98" s="277" t="s">
        <v>4700</v>
      </c>
      <c r="AJ98" s="494">
        <f t="shared" si="7"/>
        <v>9825750</v>
      </c>
      <c r="AK98" s="291">
        <f t="shared" si="8"/>
        <v>56.14714285714286</v>
      </c>
      <c r="AL98" s="494">
        <f t="shared" si="9"/>
        <v>7674250</v>
      </c>
      <c r="AM98" s="291">
        <f t="shared" si="10"/>
        <v>43.852857142857147</v>
      </c>
      <c r="AN98" s="277" t="str">
        <f t="shared" si="11"/>
        <v>WA.2378.EBD.952.301.C.521811</v>
      </c>
      <c r="AO98" s="277" t="str">
        <f>IF(ISNUMBER(SEARCH("COVID",SP2D[[#This Row],[Akun]])),"COVID","Non COVID")</f>
        <v>Non COVID</v>
      </c>
      <c r="AP9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9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8" s="292">
        <f>SUM('PER BULAN'!BA162)</f>
        <v>0</v>
      </c>
      <c r="AS98" s="292">
        <f>SUM('PER BULAN'!BB162)</f>
        <v>4947750</v>
      </c>
      <c r="AT98" s="292">
        <f>SUM('PER BULAN'!BC162)</f>
        <v>0</v>
      </c>
      <c r="AU98" s="292">
        <f>SUM('PER BULAN'!BD162)</f>
        <v>0</v>
      </c>
      <c r="AV98" s="292">
        <f>SUM('PER BULAN'!BE162)</f>
        <v>0</v>
      </c>
      <c r="AW98" s="292">
        <f>SUM('PER BULAN'!BF162)</f>
        <v>0</v>
      </c>
      <c r="AX98" s="292">
        <f>SUM('PER BULAN'!BG162)</f>
        <v>4878000</v>
      </c>
      <c r="AY98" s="292">
        <f>SUM('PER BULAN'!BH162)</f>
        <v>0</v>
      </c>
    </row>
    <row r="99" spans="1:51" s="278" customFormat="1" x14ac:dyDescent="0.3">
      <c r="A99" s="277" t="s">
        <v>4693</v>
      </c>
      <c r="B99" s="277" t="s">
        <v>4694</v>
      </c>
      <c r="C99" s="277" t="s">
        <v>4720</v>
      </c>
      <c r="D99" s="277" t="s">
        <v>4721</v>
      </c>
      <c r="E99" s="277" t="s">
        <v>197</v>
      </c>
      <c r="F99" s="277" t="s">
        <v>4722</v>
      </c>
      <c r="G99" s="277" t="s">
        <v>4767</v>
      </c>
      <c r="H99" s="277" t="s">
        <v>4768</v>
      </c>
      <c r="I99" s="277">
        <v>952</v>
      </c>
      <c r="J99" s="277" t="s">
        <v>4769</v>
      </c>
      <c r="K99" s="277">
        <v>301</v>
      </c>
      <c r="L99" s="277" t="s">
        <v>4770</v>
      </c>
      <c r="M99" s="277" t="s">
        <v>512</v>
      </c>
      <c r="N99" s="277" t="s">
        <v>4773</v>
      </c>
      <c r="O99" s="277">
        <v>522151</v>
      </c>
      <c r="P99" s="277" t="s">
        <v>4701</v>
      </c>
      <c r="Q99" s="221" cm="1">
        <f t="array" ref="Q99">SUM(_xlfn._xlws.FILTER(DIPA2[PaguRevisi],DIPA2[Akun]=SP2D[[#This Row],[Kode Akun]],0))</f>
        <v>0</v>
      </c>
      <c r="R99" s="416">
        <v>10000000</v>
      </c>
      <c r="S99" s="292">
        <f>SUM('PER BULAN'!J163:L163)</f>
        <v>0</v>
      </c>
      <c r="T99" s="292">
        <f>SUM('PER BULAN'!M163:O163)</f>
        <v>0</v>
      </c>
      <c r="U99" s="292">
        <f>SUM('PER BULAN'!P163:R163)</f>
        <v>0</v>
      </c>
      <c r="V99" s="292">
        <f>SUM('PER BULAN'!S163:U163)</f>
        <v>0</v>
      </c>
      <c r="W99" s="292">
        <f>SUM('PER BULAN'!V163:X163)</f>
        <v>0</v>
      </c>
      <c r="X99" s="292">
        <f>SUM('PER BULAN'!Y163:AA163)</f>
        <v>0</v>
      </c>
      <c r="Y99" s="292">
        <f>SUM('PER BULAN'!AB163:AD163)</f>
        <v>0</v>
      </c>
      <c r="Z99" s="292">
        <f>SUM('PER BULAN'!AE163:AG163)</f>
        <v>0</v>
      </c>
      <c r="AA99" s="292">
        <f>SUM('PER BULAN'!AH163:AJ163)</f>
        <v>0</v>
      </c>
      <c r="AB99" s="292">
        <f>SUM('PER BULAN'!AK163:AM163)</f>
        <v>0</v>
      </c>
      <c r="AC99" s="292">
        <f>SUM('PER BULAN'!AN163:AP163)</f>
        <v>0</v>
      </c>
      <c r="AD99" s="292">
        <f>SUM('PER BULAN'!AQ163:AS163)</f>
        <v>0</v>
      </c>
      <c r="AE99" s="277" t="s">
        <v>530</v>
      </c>
      <c r="AF99" s="277" t="s">
        <v>542</v>
      </c>
      <c r="AG99" s="277" t="s">
        <v>543</v>
      </c>
      <c r="AH99" s="277" t="s">
        <v>4699</v>
      </c>
      <c r="AI99" s="277" t="s">
        <v>4700</v>
      </c>
      <c r="AJ99" s="494">
        <f t="shared" si="7"/>
        <v>0</v>
      </c>
      <c r="AK99" s="291">
        <f t="shared" si="8"/>
        <v>0</v>
      </c>
      <c r="AL99" s="494">
        <f t="shared" si="9"/>
        <v>0</v>
      </c>
      <c r="AM99" s="291">
        <f t="shared" si="10"/>
        <v>0</v>
      </c>
      <c r="AN99" s="277" t="str">
        <f t="shared" si="11"/>
        <v>WA.2378.EBD.952.301.C.522151</v>
      </c>
      <c r="AO99" s="277" t="str">
        <f>IF(ISNUMBER(SEARCH("COVID",SP2D[[#This Row],[Akun]])),"COVID","Non COVID")</f>
        <v>Non COVID</v>
      </c>
      <c r="AP9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9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99" s="292">
        <f>SUM('PER BULAN'!BA163)</f>
        <v>0</v>
      </c>
      <c r="AS99" s="292">
        <f>SUM('PER BULAN'!BB163)</f>
        <v>0</v>
      </c>
      <c r="AT99" s="292">
        <f>SUM('PER BULAN'!BC163)</f>
        <v>0</v>
      </c>
      <c r="AU99" s="292">
        <f>SUM('PER BULAN'!BD163)</f>
        <v>0</v>
      </c>
      <c r="AV99" s="292">
        <f>SUM('PER BULAN'!BE163)</f>
        <v>0</v>
      </c>
      <c r="AW99" s="292">
        <f>SUM('PER BULAN'!BF163)</f>
        <v>0</v>
      </c>
      <c r="AX99" s="292">
        <f>SUM('PER BULAN'!BG163)</f>
        <v>0</v>
      </c>
      <c r="AY99" s="292">
        <f>SUM('PER BULAN'!BH163)</f>
        <v>0</v>
      </c>
    </row>
    <row r="100" spans="1:51" s="278" customFormat="1" x14ac:dyDescent="0.3">
      <c r="A100" s="277" t="s">
        <v>4693</v>
      </c>
      <c r="B100" s="277" t="s">
        <v>4694</v>
      </c>
      <c r="C100" s="277" t="s">
        <v>4720</v>
      </c>
      <c r="D100" s="277" t="s">
        <v>4721</v>
      </c>
      <c r="E100" s="277" t="s">
        <v>197</v>
      </c>
      <c r="F100" s="277" t="s">
        <v>4722</v>
      </c>
      <c r="G100" s="277" t="s">
        <v>4767</v>
      </c>
      <c r="H100" s="277" t="s">
        <v>4768</v>
      </c>
      <c r="I100" s="277">
        <v>952</v>
      </c>
      <c r="J100" s="277" t="s">
        <v>4769</v>
      </c>
      <c r="K100" s="277">
        <v>301</v>
      </c>
      <c r="L100" s="277" t="s">
        <v>4770</v>
      </c>
      <c r="M100" s="277" t="s">
        <v>512</v>
      </c>
      <c r="N100" s="277" t="s">
        <v>4773</v>
      </c>
      <c r="O100" s="277">
        <v>524111</v>
      </c>
      <c r="P100" s="277" t="s">
        <v>4702</v>
      </c>
      <c r="Q100" s="221" cm="1">
        <f t="array" ref="Q100">SUM(_xlfn._xlws.FILTER(DIPA2[PaguRevisi],DIPA2[Akun]=SP2D[[#This Row],[Kode Akun]],0))</f>
        <v>41908000</v>
      </c>
      <c r="R100" s="416">
        <v>93600000</v>
      </c>
      <c r="S100" s="292">
        <f>SUM('PER BULAN'!J167:L167)</f>
        <v>0</v>
      </c>
      <c r="T100" s="292">
        <f>SUM('PER BULAN'!M164:O164)</f>
        <v>9587800</v>
      </c>
      <c r="U100" s="292">
        <f>SUM('PER BULAN'!P164:R164)</f>
        <v>22390000</v>
      </c>
      <c r="V100" s="292">
        <f>SUM('PER BULAN'!S164:U164)</f>
        <v>6330000</v>
      </c>
      <c r="W100" s="292">
        <f>SUM('PER BULAN'!V164:X164)</f>
        <v>3600000</v>
      </c>
      <c r="X100" s="292">
        <f>SUM('PER BULAN'!Y164:AA164)</f>
        <v>0</v>
      </c>
      <c r="Y100" s="292">
        <f>SUM('PER BULAN'!AB164:AD164)</f>
        <v>0</v>
      </c>
      <c r="Z100" s="292">
        <f>SUM('PER BULAN'!AE164:AG164)</f>
        <v>0</v>
      </c>
      <c r="AA100" s="292">
        <f>SUM('PER BULAN'!AH164:AJ164)</f>
        <v>0</v>
      </c>
      <c r="AB100" s="292">
        <f>SUM('PER BULAN'!AK164:AM164)</f>
        <v>0</v>
      </c>
      <c r="AC100" s="292">
        <f>SUM('PER BULAN'!AN164:AP164)</f>
        <v>0</v>
      </c>
      <c r="AD100" s="292">
        <f>SUM('PER BULAN'!AQ164:AS164)</f>
        <v>0</v>
      </c>
      <c r="AE100" s="277" t="s">
        <v>530</v>
      </c>
      <c r="AF100" s="277" t="s">
        <v>542</v>
      </c>
      <c r="AG100" s="277" t="s">
        <v>543</v>
      </c>
      <c r="AH100" s="277" t="s">
        <v>4699</v>
      </c>
      <c r="AI100" s="277" t="s">
        <v>4700</v>
      </c>
      <c r="AJ100" s="494">
        <f t="shared" si="7"/>
        <v>41907800</v>
      </c>
      <c r="AK100" s="291">
        <f t="shared" si="8"/>
        <v>99.999522764150043</v>
      </c>
      <c r="AL100" s="494">
        <f t="shared" si="9"/>
        <v>200</v>
      </c>
      <c r="AM100" s="291">
        <f t="shared" si="10"/>
        <v>4.7723584995704876E-4</v>
      </c>
      <c r="AN100" s="277" t="str">
        <f t="shared" si="11"/>
        <v>WA.2378.EBD.952.301.C.524111</v>
      </c>
      <c r="AO100" s="277" t="str">
        <f>IF(ISNUMBER(SEARCH("COVID",SP2D[[#This Row],[Akun]])),"COVID","Non COVID")</f>
        <v>Non COVID</v>
      </c>
      <c r="AP10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0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0" s="292">
        <f>SUM('PER BULAN'!BA164)</f>
        <v>0</v>
      </c>
      <c r="AS100" s="292">
        <f>SUM('PER BULAN'!BB164)</f>
        <v>17350000</v>
      </c>
      <c r="AT100" s="292">
        <f>SUM('PER BULAN'!BC164)</f>
        <v>5040000</v>
      </c>
      <c r="AU100" s="292">
        <f>SUM('PER BULAN'!BD164)</f>
        <v>0</v>
      </c>
      <c r="AV100" s="292">
        <f>SUM('PER BULAN'!BE164)</f>
        <v>0</v>
      </c>
      <c r="AW100" s="292">
        <f>SUM('PER BULAN'!BF164)</f>
        <v>0</v>
      </c>
      <c r="AX100" s="292">
        <f>SUM('PER BULAN'!BG164)</f>
        <v>0</v>
      </c>
      <c r="AY100" s="292">
        <f>SUM('PER BULAN'!BH164)</f>
        <v>0</v>
      </c>
    </row>
    <row r="101" spans="1:51" s="278" customFormat="1" x14ac:dyDescent="0.3">
      <c r="A101" s="277" t="s">
        <v>4693</v>
      </c>
      <c r="B101" s="277" t="s">
        <v>4694</v>
      </c>
      <c r="C101" s="277" t="s">
        <v>4720</v>
      </c>
      <c r="D101" s="277" t="s">
        <v>4721</v>
      </c>
      <c r="E101" s="277" t="s">
        <v>197</v>
      </c>
      <c r="F101" s="277" t="s">
        <v>4722</v>
      </c>
      <c r="G101" s="277" t="s">
        <v>4767</v>
      </c>
      <c r="H101" s="277" t="s">
        <v>4768</v>
      </c>
      <c r="I101" s="277">
        <v>953</v>
      </c>
      <c r="J101" s="277" t="s">
        <v>4775</v>
      </c>
      <c r="K101" s="277">
        <v>301</v>
      </c>
      <c r="L101" s="277" t="s">
        <v>4774</v>
      </c>
      <c r="M101" s="277" t="s">
        <v>8</v>
      </c>
      <c r="N101" s="277" t="s">
        <v>4726</v>
      </c>
      <c r="O101" s="277">
        <v>521211</v>
      </c>
      <c r="P101" s="277" t="s">
        <v>4698</v>
      </c>
      <c r="Q101" s="221" cm="1">
        <f t="array" ref="Q101">SUM(_xlfn._xlws.FILTER(DIPA2[PaguRevisi],DIPA2[Akun]=SP2D[[#This Row],[Kode Akun]],0))</f>
        <v>23250000</v>
      </c>
      <c r="R101" s="416">
        <v>46000000</v>
      </c>
      <c r="S101" s="292">
        <f>SUM('PER BULAN'!J168:L168)</f>
        <v>0</v>
      </c>
      <c r="T101" s="292">
        <f>SUM('PER BULAN'!M168:O168)</f>
        <v>0</v>
      </c>
      <c r="U101" s="292">
        <f>SUM('PER BULAN'!P168:R168)</f>
        <v>0</v>
      </c>
      <c r="V101" s="292">
        <f>SUM('PER BULAN'!S168:U168)</f>
        <v>0</v>
      </c>
      <c r="W101" s="292">
        <f>SUM('PER BULAN'!V168:X168)</f>
        <v>6278500</v>
      </c>
      <c r="X101" s="292">
        <f>SUM('PER BULAN'!Y168:AA168)</f>
        <v>0</v>
      </c>
      <c r="Y101" s="292">
        <f>SUM('PER BULAN'!AB168:AD168)</f>
        <v>0</v>
      </c>
      <c r="Z101" s="292">
        <f>SUM('PER BULAN'!AE168:AG168)</f>
        <v>0</v>
      </c>
      <c r="AA101" s="292">
        <f>SUM('PER BULAN'!AH168:AJ168)</f>
        <v>0</v>
      </c>
      <c r="AB101" s="292">
        <f>SUM('PER BULAN'!AK168:AM168)</f>
        <v>0</v>
      </c>
      <c r="AC101" s="292">
        <f>SUM('PER BULAN'!AN168:AP168)</f>
        <v>0</v>
      </c>
      <c r="AD101" s="292">
        <f>SUM('PER BULAN'!AQ168:AS168)</f>
        <v>0</v>
      </c>
      <c r="AE101" s="277" t="s">
        <v>530</v>
      </c>
      <c r="AF101" s="277" t="s">
        <v>542</v>
      </c>
      <c r="AG101" s="277" t="s">
        <v>591</v>
      </c>
      <c r="AH101" s="277" t="s">
        <v>4699</v>
      </c>
      <c r="AI101" s="277" t="s">
        <v>4700</v>
      </c>
      <c r="AJ101" s="494">
        <f t="shared" si="7"/>
        <v>6278500</v>
      </c>
      <c r="AK101" s="291">
        <f t="shared" si="8"/>
        <v>27.004301075268817</v>
      </c>
      <c r="AL101" s="494">
        <f t="shared" si="9"/>
        <v>16971500</v>
      </c>
      <c r="AM101" s="291">
        <f t="shared" si="10"/>
        <v>72.995698924731172</v>
      </c>
      <c r="AN101" s="277" t="str">
        <f t="shared" si="11"/>
        <v>WA.2378.EBD.953.301.A.521211</v>
      </c>
      <c r="AO101" s="277" t="str">
        <f>IF(ISNUMBER(SEARCH("COVID",SP2D[[#This Row],[Akun]])),"COVID","Non COVID")</f>
        <v>Non COVID</v>
      </c>
      <c r="AP10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0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1" s="292">
        <f>SUM('PER BULAN'!BA168)</f>
        <v>0</v>
      </c>
      <c r="AS101" s="292">
        <f>SUM('PER BULAN'!BB168)</f>
        <v>0</v>
      </c>
      <c r="AT101" s="292">
        <f>SUM('PER BULAN'!BC168)</f>
        <v>0</v>
      </c>
      <c r="AU101" s="292">
        <f>SUM('PER BULAN'!BD168)</f>
        <v>0</v>
      </c>
      <c r="AV101" s="292">
        <f>SUM('PER BULAN'!BE168)</f>
        <v>0</v>
      </c>
      <c r="AW101" s="292">
        <f>SUM('PER BULAN'!BF168)</f>
        <v>0</v>
      </c>
      <c r="AX101" s="292">
        <f>SUM('PER BULAN'!BG168)</f>
        <v>6278500</v>
      </c>
      <c r="AY101" s="292">
        <f>SUM('PER BULAN'!BH168)</f>
        <v>0</v>
      </c>
    </row>
    <row r="102" spans="1:51" s="278" customFormat="1" x14ac:dyDescent="0.3">
      <c r="A102" s="277" t="s">
        <v>4693</v>
      </c>
      <c r="B102" s="277" t="s">
        <v>4694</v>
      </c>
      <c r="C102" s="277" t="s">
        <v>4720</v>
      </c>
      <c r="D102" s="277" t="s">
        <v>4721</v>
      </c>
      <c r="E102" s="277" t="s">
        <v>197</v>
      </c>
      <c r="F102" s="277" t="s">
        <v>4722</v>
      </c>
      <c r="G102" s="277" t="s">
        <v>4767</v>
      </c>
      <c r="H102" s="277" t="s">
        <v>4768</v>
      </c>
      <c r="I102" s="277">
        <v>953</v>
      </c>
      <c r="J102" s="277" t="s">
        <v>4775</v>
      </c>
      <c r="K102" s="277">
        <v>301</v>
      </c>
      <c r="L102" s="277" t="s">
        <v>4774</v>
      </c>
      <c r="M102" s="277" t="s">
        <v>8</v>
      </c>
      <c r="N102" s="277" t="s">
        <v>4726</v>
      </c>
      <c r="O102" s="277">
        <v>521219</v>
      </c>
      <c r="P102" s="277" t="s">
        <v>4711</v>
      </c>
      <c r="Q102" s="221" cm="1">
        <f t="array" ref="Q102">SUM(_xlfn._xlws.FILTER(DIPA2[PaguRevisi],DIPA2[Akun]=SP2D[[#This Row],[Kode Akun]],0))</f>
        <v>2000000</v>
      </c>
      <c r="R102" s="416">
        <v>2000000</v>
      </c>
      <c r="S102" s="292">
        <f>SUM('PER BULAN'!J169:L169)</f>
        <v>0</v>
      </c>
      <c r="T102" s="292">
        <f>SUM('PER BULAN'!M169:O169)</f>
        <v>0</v>
      </c>
      <c r="U102" s="292">
        <f>SUM('PER BULAN'!P169:R169)</f>
        <v>499528</v>
      </c>
      <c r="V102" s="292">
        <f>SUM('PER BULAN'!S169:U169)</f>
        <v>0</v>
      </c>
      <c r="W102" s="292">
        <f>SUM('PER BULAN'!V169:X169)</f>
        <v>0</v>
      </c>
      <c r="X102" s="292">
        <f>SUM('PER BULAN'!Y169:AA169)</f>
        <v>0</v>
      </c>
      <c r="Y102" s="292">
        <f>SUM('PER BULAN'!AB169:AD169)</f>
        <v>0</v>
      </c>
      <c r="Z102" s="292">
        <f>SUM('PER BULAN'!AE169:AG169)</f>
        <v>0</v>
      </c>
      <c r="AA102" s="292">
        <f>SUM('PER BULAN'!AH169:AJ169)</f>
        <v>0</v>
      </c>
      <c r="AB102" s="292">
        <f>SUM('PER BULAN'!AK169:AM169)</f>
        <v>0</v>
      </c>
      <c r="AC102" s="292">
        <f>SUM('PER BULAN'!AN169:AP169)</f>
        <v>0</v>
      </c>
      <c r="AD102" s="292">
        <f>SUM('PER BULAN'!AQ169:AS169)</f>
        <v>0</v>
      </c>
      <c r="AE102" s="277" t="s">
        <v>530</v>
      </c>
      <c r="AF102" s="277" t="s">
        <v>542</v>
      </c>
      <c r="AG102" s="277" t="s">
        <v>591</v>
      </c>
      <c r="AH102" s="277" t="s">
        <v>4699</v>
      </c>
      <c r="AI102" s="277" t="s">
        <v>4700</v>
      </c>
      <c r="AJ102" s="494">
        <f t="shared" si="7"/>
        <v>499528</v>
      </c>
      <c r="AK102" s="291">
        <f t="shared" si="8"/>
        <v>24.976400000000002</v>
      </c>
      <c r="AL102" s="494">
        <f t="shared" si="9"/>
        <v>1500472</v>
      </c>
      <c r="AM102" s="291">
        <f t="shared" si="10"/>
        <v>75.023600000000002</v>
      </c>
      <c r="AN102" s="277" t="str">
        <f t="shared" si="11"/>
        <v>WA.2378.EBD.953.301.A.521219</v>
      </c>
      <c r="AO102" s="277" t="str">
        <f>IF(ISNUMBER(SEARCH("COVID",SP2D[[#This Row],[Akun]])),"COVID","Non COVID")</f>
        <v>Non COVID</v>
      </c>
      <c r="AP10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0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2" s="292">
        <f>SUM('PER BULAN'!BA169)</f>
        <v>0</v>
      </c>
      <c r="AS102" s="292">
        <f>SUM('PER BULAN'!BB169)</f>
        <v>499528</v>
      </c>
      <c r="AT102" s="292">
        <f>SUM('PER BULAN'!BC169)</f>
        <v>0</v>
      </c>
      <c r="AU102" s="292">
        <f>SUM('PER BULAN'!BD169)</f>
        <v>0</v>
      </c>
      <c r="AV102" s="292">
        <f>SUM('PER BULAN'!BE169)</f>
        <v>0</v>
      </c>
      <c r="AW102" s="292">
        <f>SUM('PER BULAN'!BF169)</f>
        <v>0</v>
      </c>
      <c r="AX102" s="292">
        <f>SUM('PER BULAN'!BG169)</f>
        <v>0</v>
      </c>
      <c r="AY102" s="292">
        <f>SUM('PER BULAN'!BH169)</f>
        <v>0</v>
      </c>
    </row>
    <row r="103" spans="1:51" s="278" customFormat="1" x14ac:dyDescent="0.3">
      <c r="A103" s="277" t="s">
        <v>4693</v>
      </c>
      <c r="B103" s="277" t="s">
        <v>4694</v>
      </c>
      <c r="C103" s="277" t="s">
        <v>4720</v>
      </c>
      <c r="D103" s="277" t="s">
        <v>4721</v>
      </c>
      <c r="E103" s="277" t="s">
        <v>197</v>
      </c>
      <c r="F103" s="277" t="s">
        <v>4722</v>
      </c>
      <c r="G103" s="277" t="s">
        <v>4767</v>
      </c>
      <c r="H103" s="277" t="s">
        <v>4768</v>
      </c>
      <c r="I103" s="277">
        <v>953</v>
      </c>
      <c r="J103" s="277" t="s">
        <v>4775</v>
      </c>
      <c r="K103" s="277">
        <v>301</v>
      </c>
      <c r="L103" s="277" t="s">
        <v>4774</v>
      </c>
      <c r="M103" s="277" t="s">
        <v>8</v>
      </c>
      <c r="N103" s="277" t="s">
        <v>4726</v>
      </c>
      <c r="O103" s="277">
        <v>524111</v>
      </c>
      <c r="P103" s="277" t="s">
        <v>4702</v>
      </c>
      <c r="Q103" s="221" cm="1">
        <f t="array" ref="Q103">SUM(_xlfn._xlws.FILTER(DIPA2[PaguRevisi],DIPA2[Akun]=SP2D[[#This Row],[Kode Akun]],0))</f>
        <v>18539000</v>
      </c>
      <c r="R103" s="416">
        <v>247200000</v>
      </c>
      <c r="S103" s="292">
        <f>SUM('PER BULAN'!J171:L171)</f>
        <v>0</v>
      </c>
      <c r="T103" s="292">
        <f>SUM('PER BULAN'!M170:O170)</f>
        <v>0</v>
      </c>
      <c r="U103" s="292">
        <f>SUM('PER BULAN'!P170:R170)</f>
        <v>0</v>
      </c>
      <c r="V103" s="292">
        <f>SUM('PER BULAN'!S170:U170)</f>
        <v>0</v>
      </c>
      <c r="W103" s="292">
        <f>SUM('PER BULAN'!V170:X170)</f>
        <v>0</v>
      </c>
      <c r="X103" s="292">
        <f>SUM('PER BULAN'!Y170:AA170)</f>
        <v>0</v>
      </c>
      <c r="Y103" s="292">
        <f>SUM('PER BULAN'!AB170:AD170)</f>
        <v>0</v>
      </c>
      <c r="Z103" s="292">
        <f>SUM('PER BULAN'!AE170:AG170)</f>
        <v>0</v>
      </c>
      <c r="AA103" s="292">
        <f>SUM('PER BULAN'!AH170:AJ170)</f>
        <v>0</v>
      </c>
      <c r="AB103" s="292">
        <f>SUM('PER BULAN'!AK170:AM170)</f>
        <v>0</v>
      </c>
      <c r="AC103" s="292">
        <f>SUM('PER BULAN'!AN170:AP170)</f>
        <v>0</v>
      </c>
      <c r="AD103" s="292">
        <f>SUM('PER BULAN'!AQ170:AS170)</f>
        <v>0</v>
      </c>
      <c r="AE103" s="277" t="s">
        <v>530</v>
      </c>
      <c r="AF103" s="277" t="s">
        <v>542</v>
      </c>
      <c r="AG103" s="277" t="s">
        <v>591</v>
      </c>
      <c r="AH103" s="277" t="s">
        <v>4699</v>
      </c>
      <c r="AI103" s="277" t="s">
        <v>4700</v>
      </c>
      <c r="AJ103" s="494">
        <f t="shared" si="7"/>
        <v>0</v>
      </c>
      <c r="AK103" s="291">
        <f t="shared" si="8"/>
        <v>0</v>
      </c>
      <c r="AL103" s="494">
        <f t="shared" si="9"/>
        <v>18539000</v>
      </c>
      <c r="AM103" s="291">
        <f t="shared" si="10"/>
        <v>100</v>
      </c>
      <c r="AN103" s="277" t="str">
        <f t="shared" si="11"/>
        <v>WA.2378.EBD.953.301.A.524111</v>
      </c>
      <c r="AO103" s="277" t="str">
        <f>IF(ISNUMBER(SEARCH("COVID",SP2D[[#This Row],[Akun]])),"COVID","Non COVID")</f>
        <v>Non COVID</v>
      </c>
      <c r="AP10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0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3" s="292">
        <f>SUM('PER BULAN'!BA170)</f>
        <v>0</v>
      </c>
      <c r="AS103" s="292">
        <f>SUM('PER BULAN'!BB170)</f>
        <v>0</v>
      </c>
      <c r="AT103" s="292">
        <f>SUM('PER BULAN'!BC170)</f>
        <v>0</v>
      </c>
      <c r="AU103" s="292">
        <f>SUM('PER BULAN'!BD170)</f>
        <v>0</v>
      </c>
      <c r="AV103" s="292">
        <f>SUM('PER BULAN'!BE170)</f>
        <v>0</v>
      </c>
      <c r="AW103" s="292">
        <f>SUM('PER BULAN'!BF170)</f>
        <v>0</v>
      </c>
      <c r="AX103" s="292">
        <f>SUM('PER BULAN'!BG170)</f>
        <v>0</v>
      </c>
      <c r="AY103" s="292">
        <f>SUM('PER BULAN'!BH170)</f>
        <v>0</v>
      </c>
    </row>
    <row r="104" spans="1:51" s="278" customFormat="1" x14ac:dyDescent="0.3">
      <c r="A104" s="277" t="s">
        <v>4693</v>
      </c>
      <c r="B104" s="277" t="s">
        <v>4694</v>
      </c>
      <c r="C104" s="277" t="s">
        <v>4720</v>
      </c>
      <c r="D104" s="277" t="s">
        <v>4721</v>
      </c>
      <c r="E104" s="277" t="s">
        <v>197</v>
      </c>
      <c r="F104" s="277" t="s">
        <v>4722</v>
      </c>
      <c r="G104" s="277" t="s">
        <v>4767</v>
      </c>
      <c r="H104" s="277" t="s">
        <v>4768</v>
      </c>
      <c r="I104" s="277">
        <v>953</v>
      </c>
      <c r="J104" s="277" t="s">
        <v>4775</v>
      </c>
      <c r="K104" s="277">
        <v>301</v>
      </c>
      <c r="L104" s="277" t="s">
        <v>4774</v>
      </c>
      <c r="M104" s="277" t="s">
        <v>511</v>
      </c>
      <c r="N104" s="277" t="s">
        <v>4727</v>
      </c>
      <c r="O104" s="277">
        <v>521211</v>
      </c>
      <c r="P104" s="277" t="s">
        <v>4698</v>
      </c>
      <c r="Q104" s="221" cm="1">
        <f t="array" ref="Q104">SUM(_xlfn._xlws.FILTER(DIPA2[PaguRevisi],DIPA2[Akun]=SP2D[[#This Row],[Kode Akun]],0))</f>
        <v>13525000</v>
      </c>
      <c r="R104" s="416">
        <v>41000000</v>
      </c>
      <c r="S104" s="292">
        <f>SUM('PER BULAN'!J172:L172)</f>
        <v>0</v>
      </c>
      <c r="T104" s="292">
        <f>SUM('PER BULAN'!M172:O172)</f>
        <v>0</v>
      </c>
      <c r="U104" s="292">
        <f>SUM('PER BULAN'!P172:R172)</f>
        <v>3379000</v>
      </c>
      <c r="V104" s="292">
        <f>SUM('PER BULAN'!S172:U172)</f>
        <v>0</v>
      </c>
      <c r="W104" s="292">
        <f>SUM('PER BULAN'!V172:X172)</f>
        <v>3500000</v>
      </c>
      <c r="X104" s="292">
        <f>SUM('PER BULAN'!Y172:AA172)</f>
        <v>2640000</v>
      </c>
      <c r="Y104" s="292">
        <f>SUM('PER BULAN'!AB172:AD172)</f>
        <v>0</v>
      </c>
      <c r="Z104" s="292">
        <f>SUM('PER BULAN'!AE172:AG172)</f>
        <v>0</v>
      </c>
      <c r="AA104" s="292">
        <f>SUM('PER BULAN'!AH172:AJ172)</f>
        <v>0</v>
      </c>
      <c r="AB104" s="292">
        <f>SUM('PER BULAN'!AK172:AM172)</f>
        <v>0</v>
      </c>
      <c r="AC104" s="292">
        <f>SUM('PER BULAN'!AN172:AP172)</f>
        <v>0</v>
      </c>
      <c r="AD104" s="292">
        <f>SUM('PER BULAN'!AQ172:AS172)</f>
        <v>0</v>
      </c>
      <c r="AE104" s="277" t="s">
        <v>530</v>
      </c>
      <c r="AF104" s="277" t="s">
        <v>542</v>
      </c>
      <c r="AG104" s="277" t="s">
        <v>591</v>
      </c>
      <c r="AH104" s="277" t="s">
        <v>4699</v>
      </c>
      <c r="AI104" s="277" t="s">
        <v>4700</v>
      </c>
      <c r="AJ104" s="494">
        <f t="shared" si="7"/>
        <v>9519000</v>
      </c>
      <c r="AK104" s="291">
        <f t="shared" si="8"/>
        <v>70.380776340110913</v>
      </c>
      <c r="AL104" s="494">
        <f t="shared" si="9"/>
        <v>4006000</v>
      </c>
      <c r="AM104" s="291">
        <f t="shared" si="10"/>
        <v>29.619223659889094</v>
      </c>
      <c r="AN104" s="277" t="str">
        <f t="shared" si="11"/>
        <v>WA.2378.EBD.953.301.B.521211</v>
      </c>
      <c r="AO104" s="277" t="str">
        <f>IF(ISNUMBER(SEARCH("COVID",SP2D[[#This Row],[Akun]])),"COVID","Non COVID")</f>
        <v>Non COVID</v>
      </c>
      <c r="AP10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0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4" s="292">
        <f>SUM('PER BULAN'!BA172)</f>
        <v>0</v>
      </c>
      <c r="AS104" s="292">
        <f>SUM('PER BULAN'!BB172)</f>
        <v>2499000</v>
      </c>
      <c r="AT104" s="292">
        <f>SUM('PER BULAN'!BC172)</f>
        <v>880000</v>
      </c>
      <c r="AU104" s="292">
        <f>SUM('PER BULAN'!BD172)</f>
        <v>0</v>
      </c>
      <c r="AV104" s="292">
        <f>SUM('PER BULAN'!BE172)</f>
        <v>0</v>
      </c>
      <c r="AW104" s="292">
        <f>SUM('PER BULAN'!BF172)</f>
        <v>0</v>
      </c>
      <c r="AX104" s="292">
        <f>SUM('PER BULAN'!BG172)</f>
        <v>3500000</v>
      </c>
      <c r="AY104" s="292">
        <f>SUM('PER BULAN'!BH172)</f>
        <v>2640000</v>
      </c>
    </row>
    <row r="105" spans="1:51" s="278" customFormat="1" x14ac:dyDescent="0.3">
      <c r="A105" s="277" t="s">
        <v>4693</v>
      </c>
      <c r="B105" s="277" t="s">
        <v>4694</v>
      </c>
      <c r="C105" s="277" t="s">
        <v>4720</v>
      </c>
      <c r="D105" s="277" t="s">
        <v>4721</v>
      </c>
      <c r="E105" s="277" t="s">
        <v>197</v>
      </c>
      <c r="F105" s="277" t="s">
        <v>4722</v>
      </c>
      <c r="G105" s="277" t="s">
        <v>4767</v>
      </c>
      <c r="H105" s="277" t="s">
        <v>4768</v>
      </c>
      <c r="I105" s="277">
        <v>953</v>
      </c>
      <c r="J105" s="277" t="s">
        <v>4775</v>
      </c>
      <c r="K105" s="277">
        <v>301</v>
      </c>
      <c r="L105" s="277" t="s">
        <v>4774</v>
      </c>
      <c r="M105" s="277" t="s">
        <v>511</v>
      </c>
      <c r="N105" s="277" t="s">
        <v>4727</v>
      </c>
      <c r="O105" s="277">
        <v>521219</v>
      </c>
      <c r="P105" s="277" t="s">
        <v>4711</v>
      </c>
      <c r="Q105" s="221" cm="1">
        <f t="array" ref="Q105">SUM(_xlfn._xlws.FILTER(DIPA2[PaguRevisi],DIPA2[Akun]=SP2D[[#This Row],[Kode Akun]],0))</f>
        <v>2000000</v>
      </c>
      <c r="R105" s="416">
        <v>32000000</v>
      </c>
      <c r="S105" s="292">
        <f>SUM('PER BULAN'!J173:L173)</f>
        <v>0</v>
      </c>
      <c r="T105" s="292">
        <f>SUM('PER BULAN'!M173:O173)</f>
        <v>0</v>
      </c>
      <c r="U105" s="292">
        <f>SUM('PER BULAN'!P173:R173)</f>
        <v>0</v>
      </c>
      <c r="V105" s="292">
        <f>SUM('PER BULAN'!S173:U173)</f>
        <v>0</v>
      </c>
      <c r="W105" s="292">
        <f>SUM('PER BULAN'!V173:X173)</f>
        <v>603014</v>
      </c>
      <c r="X105" s="292">
        <f>SUM('PER BULAN'!Y173:AA173)</f>
        <v>0</v>
      </c>
      <c r="Y105" s="292">
        <f>SUM('PER BULAN'!AB173:AD173)</f>
        <v>0</v>
      </c>
      <c r="Z105" s="292">
        <f>SUM('PER BULAN'!AE173:AG173)</f>
        <v>0</v>
      </c>
      <c r="AA105" s="292">
        <f>SUM('PER BULAN'!AH173:AJ173)</f>
        <v>0</v>
      </c>
      <c r="AB105" s="292">
        <f>SUM('PER BULAN'!AK173:AM173)</f>
        <v>0</v>
      </c>
      <c r="AC105" s="292">
        <f>SUM('PER BULAN'!AN173:AP173)</f>
        <v>0</v>
      </c>
      <c r="AD105" s="292">
        <f>SUM('PER BULAN'!AQ173:AS173)</f>
        <v>0</v>
      </c>
      <c r="AE105" s="277" t="s">
        <v>530</v>
      </c>
      <c r="AF105" s="277" t="s">
        <v>542</v>
      </c>
      <c r="AG105" s="277" t="s">
        <v>591</v>
      </c>
      <c r="AH105" s="277" t="s">
        <v>4699</v>
      </c>
      <c r="AI105" s="277" t="s">
        <v>4700</v>
      </c>
      <c r="AJ105" s="494">
        <f t="shared" si="7"/>
        <v>603014</v>
      </c>
      <c r="AK105" s="291">
        <f t="shared" si="8"/>
        <v>30.150700000000004</v>
      </c>
      <c r="AL105" s="494">
        <f t="shared" si="9"/>
        <v>1396986</v>
      </c>
      <c r="AM105" s="291">
        <f t="shared" si="10"/>
        <v>69.849299999999999</v>
      </c>
      <c r="AN105" s="277" t="str">
        <f t="shared" si="11"/>
        <v>WA.2378.EBD.953.301.B.521219</v>
      </c>
      <c r="AO105" s="277" t="str">
        <f>IF(ISNUMBER(SEARCH("COVID",SP2D[[#This Row],[Akun]])),"COVID","Non COVID")</f>
        <v>Non COVID</v>
      </c>
      <c r="AP10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0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5" s="292">
        <f>SUM('PER BULAN'!BA173)</f>
        <v>0</v>
      </c>
      <c r="AS105" s="292">
        <f>SUM('PER BULAN'!BB173)</f>
        <v>0</v>
      </c>
      <c r="AT105" s="292">
        <f>SUM('PER BULAN'!BC173)</f>
        <v>0</v>
      </c>
      <c r="AU105" s="292">
        <f>SUM('PER BULAN'!BD173)</f>
        <v>0</v>
      </c>
      <c r="AV105" s="292">
        <f>SUM('PER BULAN'!BE173)</f>
        <v>0</v>
      </c>
      <c r="AW105" s="292">
        <f>SUM('PER BULAN'!BF173)</f>
        <v>300383</v>
      </c>
      <c r="AX105" s="292">
        <f>SUM('PER BULAN'!BG173)</f>
        <v>302631</v>
      </c>
      <c r="AY105" s="292">
        <f>SUM('PER BULAN'!BH173)</f>
        <v>0</v>
      </c>
    </row>
    <row r="106" spans="1:51" s="278" customFormat="1" x14ac:dyDescent="0.3">
      <c r="A106" s="277" t="s">
        <v>4693</v>
      </c>
      <c r="B106" s="277" t="s">
        <v>4694</v>
      </c>
      <c r="C106" s="277" t="s">
        <v>4720</v>
      </c>
      <c r="D106" s="277" t="s">
        <v>4721</v>
      </c>
      <c r="E106" s="277" t="s">
        <v>197</v>
      </c>
      <c r="F106" s="277" t="s">
        <v>4722</v>
      </c>
      <c r="G106" s="277" t="s">
        <v>4767</v>
      </c>
      <c r="H106" s="277" t="s">
        <v>4768</v>
      </c>
      <c r="I106" s="277">
        <v>953</v>
      </c>
      <c r="J106" s="277" t="s">
        <v>4775</v>
      </c>
      <c r="K106" s="277">
        <v>301</v>
      </c>
      <c r="L106" s="277" t="s">
        <v>4774</v>
      </c>
      <c r="M106" s="277" t="s">
        <v>511</v>
      </c>
      <c r="N106" s="277" t="s">
        <v>4727</v>
      </c>
      <c r="O106" s="277">
        <v>522151</v>
      </c>
      <c r="P106" s="277" t="s">
        <v>4701</v>
      </c>
      <c r="Q106" s="221" cm="1">
        <f t="array" ref="Q106">SUM(_xlfn._xlws.FILTER(DIPA2[PaguRevisi],DIPA2[Akun]=SP2D[[#This Row],[Kode Akun]],0))</f>
        <v>0</v>
      </c>
      <c r="R106" s="416">
        <v>10000000</v>
      </c>
      <c r="S106" s="292">
        <f>SUM('PER BULAN'!J174:L174)</f>
        <v>0</v>
      </c>
      <c r="T106" s="292">
        <f>SUM('PER BULAN'!M174:O174)</f>
        <v>0</v>
      </c>
      <c r="U106" s="292">
        <f>SUM('PER BULAN'!P174:R174)</f>
        <v>0</v>
      </c>
      <c r="V106" s="292">
        <f>SUM('PER BULAN'!S174:U174)</f>
        <v>0</v>
      </c>
      <c r="W106" s="292">
        <f>SUM('PER BULAN'!V174:X174)</f>
        <v>0</v>
      </c>
      <c r="X106" s="292">
        <f>SUM('PER BULAN'!Y174:AA174)</f>
        <v>0</v>
      </c>
      <c r="Y106" s="292">
        <f>SUM('PER BULAN'!AB174:AD174)</f>
        <v>0</v>
      </c>
      <c r="Z106" s="292">
        <f>SUM('PER BULAN'!AE174:AG174)</f>
        <v>0</v>
      </c>
      <c r="AA106" s="292">
        <f>SUM('PER BULAN'!AH174:AJ174)</f>
        <v>0</v>
      </c>
      <c r="AB106" s="292">
        <f>SUM('PER BULAN'!AK174:AM174)</f>
        <v>0</v>
      </c>
      <c r="AC106" s="292">
        <f>SUM('PER BULAN'!AN174:AP174)</f>
        <v>0</v>
      </c>
      <c r="AD106" s="292">
        <f>SUM('PER BULAN'!AQ174:AS174)</f>
        <v>0</v>
      </c>
      <c r="AE106" s="277" t="s">
        <v>530</v>
      </c>
      <c r="AF106" s="277" t="s">
        <v>542</v>
      </c>
      <c r="AG106" s="277" t="s">
        <v>591</v>
      </c>
      <c r="AH106" s="277" t="s">
        <v>4699</v>
      </c>
      <c r="AI106" s="277" t="s">
        <v>4700</v>
      </c>
      <c r="AJ106" s="494">
        <f t="shared" si="7"/>
        <v>0</v>
      </c>
      <c r="AK106" s="291">
        <f t="shared" si="8"/>
        <v>0</v>
      </c>
      <c r="AL106" s="494">
        <f t="shared" si="9"/>
        <v>0</v>
      </c>
      <c r="AM106" s="291">
        <f t="shared" si="10"/>
        <v>0</v>
      </c>
      <c r="AN106" s="277" t="str">
        <f t="shared" si="11"/>
        <v>WA.2378.EBD.953.301.B.522151</v>
      </c>
      <c r="AO106" s="277" t="str">
        <f>IF(ISNUMBER(SEARCH("COVID",SP2D[[#This Row],[Akun]])),"COVID","Non COVID")</f>
        <v>Non COVID</v>
      </c>
      <c r="AP10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0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6" s="292">
        <f>SUM('PER BULAN'!BA174)</f>
        <v>0</v>
      </c>
      <c r="AS106" s="292">
        <f>SUM('PER BULAN'!BB174)</f>
        <v>0</v>
      </c>
      <c r="AT106" s="292">
        <f>SUM('PER BULAN'!BC174)</f>
        <v>0</v>
      </c>
      <c r="AU106" s="292">
        <f>SUM('PER BULAN'!BD174)</f>
        <v>0</v>
      </c>
      <c r="AV106" s="292">
        <f>SUM('PER BULAN'!BE174)</f>
        <v>0</v>
      </c>
      <c r="AW106" s="292">
        <f>SUM('PER BULAN'!BF174)</f>
        <v>0</v>
      </c>
      <c r="AX106" s="292">
        <f>SUM('PER BULAN'!BG174)</f>
        <v>0</v>
      </c>
      <c r="AY106" s="292">
        <f>SUM('PER BULAN'!BH174)</f>
        <v>0</v>
      </c>
    </row>
    <row r="107" spans="1:51" s="278" customFormat="1" x14ac:dyDescent="0.3">
      <c r="A107" s="277" t="s">
        <v>4693</v>
      </c>
      <c r="B107" s="277" t="s">
        <v>4694</v>
      </c>
      <c r="C107" s="277" t="s">
        <v>4720</v>
      </c>
      <c r="D107" s="277" t="s">
        <v>4721</v>
      </c>
      <c r="E107" s="277" t="s">
        <v>197</v>
      </c>
      <c r="F107" s="277" t="s">
        <v>4722</v>
      </c>
      <c r="G107" s="277" t="s">
        <v>4767</v>
      </c>
      <c r="H107" s="277" t="s">
        <v>4768</v>
      </c>
      <c r="I107" s="277">
        <v>953</v>
      </c>
      <c r="J107" s="277" t="s">
        <v>4775</v>
      </c>
      <c r="K107" s="277">
        <v>301</v>
      </c>
      <c r="L107" s="277" t="s">
        <v>4774</v>
      </c>
      <c r="M107" s="277" t="s">
        <v>511</v>
      </c>
      <c r="N107" s="277" t="s">
        <v>4727</v>
      </c>
      <c r="O107" s="277">
        <v>524111</v>
      </c>
      <c r="P107" s="277" t="s">
        <v>4702</v>
      </c>
      <c r="Q107" s="221" cm="1">
        <f t="array" ref="Q107">SUM(_xlfn._xlws.FILTER(DIPA2[PaguRevisi],DIPA2[Akun]=SP2D[[#This Row],[Kode Akun]],0))</f>
        <v>60415000</v>
      </c>
      <c r="R107" s="416">
        <v>120000000</v>
      </c>
      <c r="S107" s="292">
        <f>SUM('PER BULAN'!J175:L175)</f>
        <v>0</v>
      </c>
      <c r="T107" s="292">
        <f>SUM('PER BULAN'!M175:O175)</f>
        <v>0</v>
      </c>
      <c r="U107" s="292">
        <f>SUM('PER BULAN'!P175:R175)</f>
        <v>0</v>
      </c>
      <c r="V107" s="292">
        <f>SUM('PER BULAN'!S175:U175)</f>
        <v>524500</v>
      </c>
      <c r="W107" s="292">
        <f>SUM('PER BULAN'!V175:X175)</f>
        <v>21422224</v>
      </c>
      <c r="X107" s="292">
        <f>SUM('PER BULAN'!Y175:AA175)</f>
        <v>38467531</v>
      </c>
      <c r="Y107" s="292">
        <f>SUM('PER BULAN'!AB175:AD175)</f>
        <v>0</v>
      </c>
      <c r="Z107" s="292">
        <f>SUM('PER BULAN'!AE175:AG175)</f>
        <v>0</v>
      </c>
      <c r="AA107" s="292">
        <f>SUM('PER BULAN'!AH175:AJ175)</f>
        <v>0</v>
      </c>
      <c r="AB107" s="292">
        <f>SUM('PER BULAN'!AK175:AM175)</f>
        <v>0</v>
      </c>
      <c r="AC107" s="292">
        <f>SUM('PER BULAN'!AN175:AP175)</f>
        <v>0</v>
      </c>
      <c r="AD107" s="292">
        <f>SUM('PER BULAN'!AQ175:AS175)</f>
        <v>0</v>
      </c>
      <c r="AE107" s="277" t="s">
        <v>530</v>
      </c>
      <c r="AF107" s="277" t="s">
        <v>542</v>
      </c>
      <c r="AG107" s="277" t="s">
        <v>591</v>
      </c>
      <c r="AH107" s="277" t="s">
        <v>4699</v>
      </c>
      <c r="AI107" s="277" t="s">
        <v>4700</v>
      </c>
      <c r="AJ107" s="494">
        <f t="shared" si="7"/>
        <v>60414255</v>
      </c>
      <c r="AK107" s="291">
        <f t="shared" si="8"/>
        <v>99.99876686253414</v>
      </c>
      <c r="AL107" s="494">
        <f t="shared" si="9"/>
        <v>745</v>
      </c>
      <c r="AM107" s="291">
        <f t="shared" si="10"/>
        <v>1.2331374658611273E-3</v>
      </c>
      <c r="AN107" s="277" t="str">
        <f t="shared" si="11"/>
        <v>WA.2378.EBD.953.301.B.524111</v>
      </c>
      <c r="AO107" s="277" t="str">
        <f>IF(ISNUMBER(SEARCH("COVID",SP2D[[#This Row],[Akun]])),"COVID","Non COVID")</f>
        <v>Non COVID</v>
      </c>
      <c r="AP10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0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7" s="292">
        <f>SUM('PER BULAN'!BA175)</f>
        <v>0</v>
      </c>
      <c r="AS107" s="292">
        <f>SUM('PER BULAN'!BB175)</f>
        <v>0</v>
      </c>
      <c r="AT107" s="292">
        <f>SUM('PER BULAN'!BC175)</f>
        <v>0</v>
      </c>
      <c r="AU107" s="292">
        <f>SUM('PER BULAN'!BD175)</f>
        <v>0</v>
      </c>
      <c r="AV107" s="292">
        <f>SUM('PER BULAN'!BE175)</f>
        <v>0</v>
      </c>
      <c r="AW107" s="292">
        <f>SUM('PER BULAN'!BF175)</f>
        <v>0</v>
      </c>
      <c r="AX107" s="292">
        <f>SUM('PER BULAN'!BG175)</f>
        <v>21422224</v>
      </c>
      <c r="AY107" s="292">
        <f>SUM('PER BULAN'!BH175)</f>
        <v>0</v>
      </c>
    </row>
    <row r="108" spans="1:51" s="278" customFormat="1" x14ac:dyDescent="0.3">
      <c r="A108" s="277" t="s">
        <v>4693</v>
      </c>
      <c r="B108" s="277" t="s">
        <v>4694</v>
      </c>
      <c r="C108" s="277" t="s">
        <v>4720</v>
      </c>
      <c r="D108" s="277" t="s">
        <v>4721</v>
      </c>
      <c r="E108" s="277" t="s">
        <v>197</v>
      </c>
      <c r="F108" s="277" t="s">
        <v>4722</v>
      </c>
      <c r="G108" s="277" t="s">
        <v>4767</v>
      </c>
      <c r="H108" s="277" t="s">
        <v>4768</v>
      </c>
      <c r="I108" s="277">
        <v>953</v>
      </c>
      <c r="J108" s="277" t="s">
        <v>4775</v>
      </c>
      <c r="K108" s="277">
        <v>301</v>
      </c>
      <c r="L108" s="277" t="s">
        <v>4774</v>
      </c>
      <c r="M108" s="277" t="s">
        <v>511</v>
      </c>
      <c r="N108" s="277" t="s">
        <v>4727</v>
      </c>
      <c r="O108" s="277">
        <v>524113</v>
      </c>
      <c r="P108" s="277" t="s">
        <v>508</v>
      </c>
      <c r="Q108" s="221" cm="1">
        <f t="array" ref="Q108">SUM(_xlfn._xlws.FILTER(DIPA2[PaguRevisi],DIPA2[Akun]=SP2D[[#This Row],[Kode Akun]],0))</f>
        <v>0</v>
      </c>
      <c r="R108" s="416">
        <v>9000000</v>
      </c>
      <c r="S108" s="292">
        <f>SUM('PER BULAN'!J178:L178)</f>
        <v>0</v>
      </c>
      <c r="T108" s="292">
        <f>SUM('PER BULAN'!M176:O176)</f>
        <v>0</v>
      </c>
      <c r="U108" s="292">
        <f>SUM('PER BULAN'!P176:R176)</f>
        <v>0</v>
      </c>
      <c r="V108" s="292">
        <f>SUM('PER BULAN'!S176:U176)</f>
        <v>0</v>
      </c>
      <c r="W108" s="292">
        <f>SUM('PER BULAN'!V176:X176)</f>
        <v>0</v>
      </c>
      <c r="X108" s="292">
        <f>SUM('PER BULAN'!Y176:AA176)</f>
        <v>0</v>
      </c>
      <c r="Y108" s="292">
        <f>SUM('PER BULAN'!AB176:AD176)</f>
        <v>0</v>
      </c>
      <c r="Z108" s="292">
        <f>SUM('PER BULAN'!AE176:AG176)</f>
        <v>0</v>
      </c>
      <c r="AA108" s="292">
        <f>SUM('PER BULAN'!AH176:AJ176)</f>
        <v>0</v>
      </c>
      <c r="AB108" s="292">
        <f>SUM('PER BULAN'!AK176:AM176)</f>
        <v>0</v>
      </c>
      <c r="AC108" s="292">
        <f>SUM('PER BULAN'!AN176:AP176)</f>
        <v>0</v>
      </c>
      <c r="AD108" s="292">
        <f>SUM('PER BULAN'!AQ176:AS176)</f>
        <v>0</v>
      </c>
      <c r="AE108" s="277" t="s">
        <v>530</v>
      </c>
      <c r="AF108" s="277" t="s">
        <v>542</v>
      </c>
      <c r="AG108" s="277" t="s">
        <v>591</v>
      </c>
      <c r="AH108" s="277" t="s">
        <v>4699</v>
      </c>
      <c r="AI108" s="277" t="s">
        <v>4700</v>
      </c>
      <c r="AJ108" s="494">
        <f t="shared" si="7"/>
        <v>0</v>
      </c>
      <c r="AK108" s="291">
        <f t="shared" si="8"/>
        <v>0</v>
      </c>
      <c r="AL108" s="494">
        <f t="shared" si="9"/>
        <v>0</v>
      </c>
      <c r="AM108" s="291">
        <f t="shared" si="10"/>
        <v>0</v>
      </c>
      <c r="AN108" s="277" t="str">
        <f t="shared" si="11"/>
        <v>WA.2378.EBD.953.301.B.524113</v>
      </c>
      <c r="AO108" s="277" t="str">
        <f>IF(ISNUMBER(SEARCH("COVID",SP2D[[#This Row],[Akun]])),"COVID","Non COVID")</f>
        <v>Non COVID</v>
      </c>
      <c r="AP10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Q10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8" s="292">
        <f>SUM('PER BULAN'!BA176)</f>
        <v>0</v>
      </c>
      <c r="AS108" s="292">
        <f>SUM('PER BULAN'!BB176)</f>
        <v>0</v>
      </c>
      <c r="AT108" s="292">
        <f>SUM('PER BULAN'!BC176)</f>
        <v>0</v>
      </c>
      <c r="AU108" s="292">
        <f>SUM('PER BULAN'!BD176)</f>
        <v>0</v>
      </c>
      <c r="AV108" s="292">
        <f>SUM('PER BULAN'!BE176)</f>
        <v>0</v>
      </c>
      <c r="AW108" s="292">
        <f>SUM('PER BULAN'!BF176)</f>
        <v>0</v>
      </c>
      <c r="AX108" s="292">
        <f>SUM('PER BULAN'!BG176)</f>
        <v>0</v>
      </c>
      <c r="AY108" s="292">
        <f>SUM('PER BULAN'!BH176)</f>
        <v>0</v>
      </c>
    </row>
    <row r="109" spans="1:51" s="278" customFormat="1" x14ac:dyDescent="0.3">
      <c r="A109" s="277" t="s">
        <v>4693</v>
      </c>
      <c r="B109" s="277" t="s">
        <v>4694</v>
      </c>
      <c r="C109" s="277" t="s">
        <v>4720</v>
      </c>
      <c r="D109" s="277" t="s">
        <v>4721</v>
      </c>
      <c r="E109" s="277" t="s">
        <v>197</v>
      </c>
      <c r="F109" s="277" t="s">
        <v>4722</v>
      </c>
      <c r="G109" s="277" t="s">
        <v>4767</v>
      </c>
      <c r="H109" s="277" t="s">
        <v>4768</v>
      </c>
      <c r="I109" s="277">
        <v>953</v>
      </c>
      <c r="J109" s="277" t="s">
        <v>4775</v>
      </c>
      <c r="K109" s="277">
        <v>302</v>
      </c>
      <c r="L109" s="277" t="s">
        <v>4776</v>
      </c>
      <c r="M109" s="277" t="s">
        <v>8</v>
      </c>
      <c r="N109" s="277" t="s">
        <v>4777</v>
      </c>
      <c r="O109" s="277">
        <v>521211</v>
      </c>
      <c r="P109" s="277" t="s">
        <v>4698</v>
      </c>
      <c r="Q109" s="221" cm="1">
        <f t="array" ref="Q109">SUM(_xlfn._xlws.FILTER(DIPA2[PaguRevisi],DIPA2[Akun]=SP2D[[#This Row],[Kode Akun]],0))</f>
        <v>17900000</v>
      </c>
      <c r="R109" s="416">
        <v>35500000</v>
      </c>
      <c r="S109" s="292">
        <f>SUM('PER BULAN'!J179:L179)</f>
        <v>0</v>
      </c>
      <c r="T109" s="292">
        <f>SUM('PER BULAN'!M179:O179)</f>
        <v>0</v>
      </c>
      <c r="U109" s="292">
        <f>SUM('PER BULAN'!P179:R179)</f>
        <v>3358000</v>
      </c>
      <c r="V109" s="292">
        <f>SUM('PER BULAN'!S179:U179)</f>
        <v>0</v>
      </c>
      <c r="W109" s="292">
        <f>SUM('PER BULAN'!V179:X179)</f>
        <v>4986000</v>
      </c>
      <c r="X109" s="292">
        <f>SUM('PER BULAN'!Y179:AA179)</f>
        <v>0</v>
      </c>
      <c r="Y109" s="292">
        <f>SUM('PER BULAN'!AB179:AD179)</f>
        <v>0</v>
      </c>
      <c r="Z109" s="292">
        <f>SUM('PER BULAN'!AE179:AG179)</f>
        <v>0</v>
      </c>
      <c r="AA109" s="292">
        <f>SUM('PER BULAN'!AH179:AJ179)</f>
        <v>0</v>
      </c>
      <c r="AB109" s="292">
        <f>SUM('PER BULAN'!AK179:AM179)</f>
        <v>0</v>
      </c>
      <c r="AC109" s="292">
        <f>SUM('PER BULAN'!AN179:AP179)</f>
        <v>0</v>
      </c>
      <c r="AD109" s="292">
        <f>SUM('PER BULAN'!AQ179:AS179)</f>
        <v>0</v>
      </c>
      <c r="AE109" s="277" t="s">
        <v>530</v>
      </c>
      <c r="AF109" s="277" t="s">
        <v>542</v>
      </c>
      <c r="AG109" s="277" t="s">
        <v>591</v>
      </c>
      <c r="AH109" s="277" t="s">
        <v>4699</v>
      </c>
      <c r="AI109" s="277" t="s">
        <v>4700</v>
      </c>
      <c r="AJ109" s="494">
        <f t="shared" si="7"/>
        <v>8344000</v>
      </c>
      <c r="AK109" s="291">
        <f t="shared" si="8"/>
        <v>46.614525139664806</v>
      </c>
      <c r="AL109" s="494">
        <f t="shared" si="9"/>
        <v>9556000</v>
      </c>
      <c r="AM109" s="291">
        <f t="shared" si="10"/>
        <v>53.385474860335194</v>
      </c>
      <c r="AN109" s="277" t="str">
        <f t="shared" si="11"/>
        <v>WA.2378.EBD.953.302.A.521211</v>
      </c>
      <c r="AO109" s="277" t="str">
        <f>IF(ISNUMBER(SEARCH("COVID",SP2D[[#This Row],[Akun]])),"COVID","Non COVID")</f>
        <v>Non COVID</v>
      </c>
      <c r="AP10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0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09" s="292">
        <f>SUM('PER BULAN'!BA179)</f>
        <v>0</v>
      </c>
      <c r="AS109" s="292">
        <f>SUM('PER BULAN'!BB179)</f>
        <v>2498000</v>
      </c>
      <c r="AT109" s="292">
        <f>SUM('PER BULAN'!BC179)</f>
        <v>860000</v>
      </c>
      <c r="AU109" s="292">
        <f>SUM('PER BULAN'!BD179)</f>
        <v>0</v>
      </c>
      <c r="AV109" s="292">
        <f>SUM('PER BULAN'!BE179)</f>
        <v>0</v>
      </c>
      <c r="AW109" s="292">
        <f>SUM('PER BULAN'!BF179)</f>
        <v>0</v>
      </c>
      <c r="AX109" s="292">
        <f>SUM('PER BULAN'!BG179)</f>
        <v>4986000</v>
      </c>
      <c r="AY109" s="292">
        <f>SUM('PER BULAN'!BH179)</f>
        <v>0</v>
      </c>
    </row>
    <row r="110" spans="1:51" s="278" customFormat="1" x14ac:dyDescent="0.3">
      <c r="A110" s="277" t="s">
        <v>4693</v>
      </c>
      <c r="B110" s="277" t="s">
        <v>4694</v>
      </c>
      <c r="C110" s="277" t="s">
        <v>4720</v>
      </c>
      <c r="D110" s="277" t="s">
        <v>4721</v>
      </c>
      <c r="E110" s="277" t="s">
        <v>197</v>
      </c>
      <c r="F110" s="277" t="s">
        <v>4722</v>
      </c>
      <c r="G110" s="277" t="s">
        <v>4767</v>
      </c>
      <c r="H110" s="277" t="s">
        <v>4768</v>
      </c>
      <c r="I110" s="277">
        <v>953</v>
      </c>
      <c r="J110" s="277" t="s">
        <v>4775</v>
      </c>
      <c r="K110" s="277">
        <v>302</v>
      </c>
      <c r="L110" s="277" t="s">
        <v>4776</v>
      </c>
      <c r="M110" s="277" t="s">
        <v>8</v>
      </c>
      <c r="N110" s="277" t="s">
        <v>4777</v>
      </c>
      <c r="O110" s="277">
        <v>521219</v>
      </c>
      <c r="P110" s="277" t="s">
        <v>4711</v>
      </c>
      <c r="Q110" s="221" cm="1">
        <f t="array" ref="Q110">SUM(_xlfn._xlws.FILTER(DIPA2[PaguRevisi],DIPA2[Akun]=SP2D[[#This Row],[Kode Akun]],0))</f>
        <v>2000000</v>
      </c>
      <c r="R110" s="416">
        <v>2000000</v>
      </c>
      <c r="S110" s="292">
        <f>SUM('PER BULAN'!J180:L180)</f>
        <v>0</v>
      </c>
      <c r="T110" s="292">
        <f>SUM('PER BULAN'!M180:O180)</f>
        <v>0</v>
      </c>
      <c r="U110" s="292">
        <f>SUM('PER BULAN'!P180:R180)</f>
        <v>0</v>
      </c>
      <c r="V110" s="292">
        <f>SUM('PER BULAN'!S180:U180)</f>
        <v>0</v>
      </c>
      <c r="W110" s="292">
        <f>SUM('PER BULAN'!V180:X180)</f>
        <v>0</v>
      </c>
      <c r="X110" s="292">
        <f>SUM('PER BULAN'!Y180:AA180)</f>
        <v>0</v>
      </c>
      <c r="Y110" s="292">
        <f>SUM('PER BULAN'!AB180:AD180)</f>
        <v>0</v>
      </c>
      <c r="Z110" s="292">
        <f>SUM('PER BULAN'!AE180:AG180)</f>
        <v>0</v>
      </c>
      <c r="AA110" s="292">
        <f>SUM('PER BULAN'!AH180:AJ180)</f>
        <v>0</v>
      </c>
      <c r="AB110" s="292">
        <f>SUM('PER BULAN'!AK180:AM180)</f>
        <v>0</v>
      </c>
      <c r="AC110" s="292">
        <f>SUM('PER BULAN'!AN180:AP180)</f>
        <v>0</v>
      </c>
      <c r="AD110" s="292">
        <f>SUM('PER BULAN'!AQ180:AS180)</f>
        <v>0</v>
      </c>
      <c r="AE110" s="277" t="s">
        <v>530</v>
      </c>
      <c r="AF110" s="277" t="s">
        <v>542</v>
      </c>
      <c r="AG110" s="277" t="s">
        <v>591</v>
      </c>
      <c r="AH110" s="277" t="s">
        <v>4699</v>
      </c>
      <c r="AI110" s="277" t="s">
        <v>4700</v>
      </c>
      <c r="AJ110" s="494">
        <f t="shared" si="7"/>
        <v>0</v>
      </c>
      <c r="AK110" s="291">
        <f t="shared" si="8"/>
        <v>0</v>
      </c>
      <c r="AL110" s="494">
        <f t="shared" si="9"/>
        <v>2000000</v>
      </c>
      <c r="AM110" s="291">
        <f t="shared" si="10"/>
        <v>100</v>
      </c>
      <c r="AN110" s="277" t="str">
        <f t="shared" si="11"/>
        <v>WA.2378.EBD.953.302.A.521219</v>
      </c>
      <c r="AO110" s="277" t="str">
        <f>IF(ISNUMBER(SEARCH("COVID",SP2D[[#This Row],[Akun]])),"COVID","Non COVID")</f>
        <v>Non COVID</v>
      </c>
      <c r="AP11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1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0" s="292">
        <f>SUM('PER BULAN'!BA180)</f>
        <v>0</v>
      </c>
      <c r="AS110" s="292">
        <f>SUM('PER BULAN'!BB180)</f>
        <v>0</v>
      </c>
      <c r="AT110" s="292">
        <f>SUM('PER BULAN'!BC180)</f>
        <v>0</v>
      </c>
      <c r="AU110" s="292">
        <f>SUM('PER BULAN'!BD180)</f>
        <v>0</v>
      </c>
      <c r="AV110" s="292">
        <f>SUM('PER BULAN'!BE180)</f>
        <v>0</v>
      </c>
      <c r="AW110" s="292">
        <f>SUM('PER BULAN'!BF180)</f>
        <v>0</v>
      </c>
      <c r="AX110" s="292">
        <f>SUM('PER BULAN'!BG180)</f>
        <v>0</v>
      </c>
      <c r="AY110" s="292">
        <f>SUM('PER BULAN'!BH180)</f>
        <v>0</v>
      </c>
    </row>
    <row r="111" spans="1:51" s="278" customFormat="1" x14ac:dyDescent="0.3">
      <c r="A111" s="277" t="s">
        <v>4693</v>
      </c>
      <c r="B111" s="277" t="s">
        <v>4694</v>
      </c>
      <c r="C111" s="277" t="s">
        <v>4720</v>
      </c>
      <c r="D111" s="277" t="s">
        <v>4721</v>
      </c>
      <c r="E111" s="277" t="s">
        <v>197</v>
      </c>
      <c r="F111" s="277" t="s">
        <v>4722</v>
      </c>
      <c r="G111" s="277" t="s">
        <v>4767</v>
      </c>
      <c r="H111" s="277" t="s">
        <v>4768</v>
      </c>
      <c r="I111" s="277">
        <v>953</v>
      </c>
      <c r="J111" s="277" t="s">
        <v>4775</v>
      </c>
      <c r="K111" s="277">
        <v>302</v>
      </c>
      <c r="L111" s="277" t="s">
        <v>4776</v>
      </c>
      <c r="M111" s="277" t="s">
        <v>8</v>
      </c>
      <c r="N111" s="277" t="s">
        <v>4777</v>
      </c>
      <c r="O111" s="277">
        <v>524111</v>
      </c>
      <c r="P111" s="277" t="s">
        <v>4702</v>
      </c>
      <c r="Q111" s="221" cm="1">
        <f t="array" ref="Q111">SUM(_xlfn._xlws.FILTER(DIPA2[PaguRevisi],DIPA2[Akun]=SP2D[[#This Row],[Kode Akun]],0))</f>
        <v>30169000</v>
      </c>
      <c r="R111" s="416">
        <v>89032000</v>
      </c>
      <c r="S111" s="292">
        <f>SUM('PER BULAN'!J184:L184)</f>
        <v>0</v>
      </c>
      <c r="T111" s="292">
        <f>SUM('PER BULAN'!M181:O181)</f>
        <v>0</v>
      </c>
      <c r="U111" s="292">
        <f>SUM('PER BULAN'!P181:R181)</f>
        <v>2490000</v>
      </c>
      <c r="V111" s="292">
        <f>SUM('PER BULAN'!S181:U181)</f>
        <v>15530000</v>
      </c>
      <c r="W111" s="292">
        <f>SUM('PER BULAN'!V181:X181)</f>
        <v>0</v>
      </c>
      <c r="X111" s="292">
        <f>SUM('PER BULAN'!Y181:AA181)</f>
        <v>2118000</v>
      </c>
      <c r="Y111" s="292">
        <f>SUM('PER BULAN'!AB181:AD181)</f>
        <v>0</v>
      </c>
      <c r="Z111" s="292">
        <f>SUM('PER BULAN'!AE181:AG181)</f>
        <v>0</v>
      </c>
      <c r="AA111" s="292">
        <f>SUM('PER BULAN'!AH181:AJ181)</f>
        <v>0</v>
      </c>
      <c r="AB111" s="292">
        <f>SUM('PER BULAN'!AK181:AM181)</f>
        <v>0</v>
      </c>
      <c r="AC111" s="292">
        <f>SUM('PER BULAN'!AN181:AP181)</f>
        <v>0</v>
      </c>
      <c r="AD111" s="292">
        <f>SUM('PER BULAN'!AQ181:AS181)</f>
        <v>0</v>
      </c>
      <c r="AE111" s="277" t="s">
        <v>530</v>
      </c>
      <c r="AF111" s="277" t="s">
        <v>542</v>
      </c>
      <c r="AG111" s="277" t="s">
        <v>591</v>
      </c>
      <c r="AH111" s="277" t="s">
        <v>4699</v>
      </c>
      <c r="AI111" s="277" t="s">
        <v>4700</v>
      </c>
      <c r="AJ111" s="494">
        <f t="shared" si="7"/>
        <v>20138000</v>
      </c>
      <c r="AK111" s="291">
        <f t="shared" si="8"/>
        <v>66.750638072193311</v>
      </c>
      <c r="AL111" s="494">
        <f t="shared" si="9"/>
        <v>10031000</v>
      </c>
      <c r="AM111" s="291">
        <f t="shared" si="10"/>
        <v>33.249361927806689</v>
      </c>
      <c r="AN111" s="277" t="str">
        <f t="shared" si="11"/>
        <v>WA.2378.EBD.953.302.A.524111</v>
      </c>
      <c r="AO111" s="277" t="str">
        <f>IF(ISNUMBER(SEARCH("COVID",SP2D[[#This Row],[Akun]])),"COVID","Non COVID")</f>
        <v>Non COVID</v>
      </c>
      <c r="AP11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1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1" s="292">
        <f>SUM('PER BULAN'!BA181)</f>
        <v>0</v>
      </c>
      <c r="AS111" s="292">
        <f>SUM('PER BULAN'!BB181)</f>
        <v>0</v>
      </c>
      <c r="AT111" s="292">
        <f>SUM('PER BULAN'!BC181)</f>
        <v>2490000</v>
      </c>
      <c r="AU111" s="292">
        <f>SUM('PER BULAN'!BD181)</f>
        <v>0</v>
      </c>
      <c r="AV111" s="292">
        <f>SUM('PER BULAN'!BE181)</f>
        <v>0</v>
      </c>
      <c r="AW111" s="292">
        <f>SUM('PER BULAN'!BF181)</f>
        <v>0</v>
      </c>
      <c r="AX111" s="292">
        <f>SUM('PER BULAN'!BG181)</f>
        <v>0</v>
      </c>
      <c r="AY111" s="292">
        <f>SUM('PER BULAN'!BH181)</f>
        <v>0</v>
      </c>
    </row>
    <row r="112" spans="1:51" s="278" customFormat="1" x14ac:dyDescent="0.3">
      <c r="A112" s="277" t="s">
        <v>4693</v>
      </c>
      <c r="B112" s="277" t="s">
        <v>4694</v>
      </c>
      <c r="C112" s="277" t="s">
        <v>4720</v>
      </c>
      <c r="D112" s="277" t="s">
        <v>4721</v>
      </c>
      <c r="E112" s="277" t="s">
        <v>197</v>
      </c>
      <c r="F112" s="277" t="s">
        <v>4722</v>
      </c>
      <c r="G112" s="277" t="s">
        <v>4767</v>
      </c>
      <c r="H112" s="277" t="s">
        <v>4768</v>
      </c>
      <c r="I112" s="277">
        <v>955</v>
      </c>
      <c r="J112" s="277" t="s">
        <v>4778</v>
      </c>
      <c r="K112" s="277">
        <v>301</v>
      </c>
      <c r="L112" s="277" t="s">
        <v>4779</v>
      </c>
      <c r="M112" s="277" t="s">
        <v>8</v>
      </c>
      <c r="N112" s="277" t="s">
        <v>4780</v>
      </c>
      <c r="O112" s="277">
        <v>521211</v>
      </c>
      <c r="P112" s="277" t="s">
        <v>4698</v>
      </c>
      <c r="Q112" s="221" cm="1">
        <f t="array" ref="Q112">SUM(_xlfn._xlws.FILTER(DIPA2[PaguRevisi],DIPA2[Akun]=SP2D[[#This Row],[Kode Akun]],0))</f>
        <v>18400000</v>
      </c>
      <c r="R112" s="416">
        <v>23900000</v>
      </c>
      <c r="S112" s="292">
        <f>SUM('PER BULAN'!J185:L185)</f>
        <v>0</v>
      </c>
      <c r="T112" s="292">
        <f>SUM('PER BULAN'!M185:O185)</f>
        <v>0</v>
      </c>
      <c r="U112" s="292">
        <f>SUM('PER BULAN'!P185:R185)</f>
        <v>5725000</v>
      </c>
      <c r="V112" s="292">
        <f>SUM('PER BULAN'!S185:U185)</f>
        <v>2446000</v>
      </c>
      <c r="W112" s="292">
        <f>SUM('PER BULAN'!V185:X185)</f>
        <v>5660000</v>
      </c>
      <c r="X112" s="292">
        <f>SUM('PER BULAN'!Y185:AA185)</f>
        <v>0</v>
      </c>
      <c r="Y112" s="292">
        <f>SUM('PER BULAN'!AB185:AD185)</f>
        <v>0</v>
      </c>
      <c r="Z112" s="292">
        <f>SUM('PER BULAN'!AE185:AG185)</f>
        <v>0</v>
      </c>
      <c r="AA112" s="292">
        <f>SUM('PER BULAN'!AH185:AJ185)</f>
        <v>0</v>
      </c>
      <c r="AB112" s="292">
        <f>SUM('PER BULAN'!AK185:AM185)</f>
        <v>0</v>
      </c>
      <c r="AC112" s="292">
        <f>SUM('PER BULAN'!AN185:AP185)</f>
        <v>0</v>
      </c>
      <c r="AD112" s="292">
        <f>SUM('PER BULAN'!AQ185:AS185)</f>
        <v>0</v>
      </c>
      <c r="AE112" s="277" t="s">
        <v>530</v>
      </c>
      <c r="AF112" s="277" t="s">
        <v>576</v>
      </c>
      <c r="AG112" s="277" t="s">
        <v>546</v>
      </c>
      <c r="AH112" s="277" t="s">
        <v>4699</v>
      </c>
      <c r="AI112" s="277" t="s">
        <v>4700</v>
      </c>
      <c r="AJ112" s="494">
        <f t="shared" si="7"/>
        <v>13831000</v>
      </c>
      <c r="AK112" s="291">
        <f t="shared" si="8"/>
        <v>75.168478260869563</v>
      </c>
      <c r="AL112" s="494">
        <f t="shared" si="9"/>
        <v>4569000</v>
      </c>
      <c r="AM112" s="291">
        <f t="shared" si="10"/>
        <v>24.831521739130437</v>
      </c>
      <c r="AN112" s="277" t="str">
        <f t="shared" si="11"/>
        <v>WA.2378.EBD.955.301.A.521211</v>
      </c>
      <c r="AO112" s="277" t="str">
        <f>IF(ISNUMBER(SEARCH("COVID",SP2D[[#This Row],[Akun]])),"COVID","Non COVID")</f>
        <v>Non COVID</v>
      </c>
      <c r="AP11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1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2" s="292">
        <f>SUM('PER BULAN'!BA185)</f>
        <v>0</v>
      </c>
      <c r="AS112" s="292">
        <f>SUM('PER BULAN'!BB185)</f>
        <v>3275000</v>
      </c>
      <c r="AT112" s="292">
        <f>SUM('PER BULAN'!BC185)</f>
        <v>2450000</v>
      </c>
      <c r="AU112" s="292">
        <f>SUM('PER BULAN'!BD185)</f>
        <v>2446000</v>
      </c>
      <c r="AV112" s="292">
        <f>SUM('PER BULAN'!BE185)</f>
        <v>1810000</v>
      </c>
      <c r="AW112" s="292">
        <f>SUM('PER BULAN'!BF185)</f>
        <v>0</v>
      </c>
      <c r="AX112" s="292">
        <f>SUM('PER BULAN'!BG185)</f>
        <v>3850000</v>
      </c>
      <c r="AY112" s="292">
        <f>SUM('PER BULAN'!BH185)</f>
        <v>0</v>
      </c>
    </row>
    <row r="113" spans="1:51" s="278" customFormat="1" x14ac:dyDescent="0.3">
      <c r="A113" s="277" t="s">
        <v>4693</v>
      </c>
      <c r="B113" s="277" t="s">
        <v>4694</v>
      </c>
      <c r="C113" s="277" t="s">
        <v>4720</v>
      </c>
      <c r="D113" s="277" t="s">
        <v>4721</v>
      </c>
      <c r="E113" s="277" t="s">
        <v>197</v>
      </c>
      <c r="F113" s="277" t="s">
        <v>4722</v>
      </c>
      <c r="G113" s="277" t="s">
        <v>4767</v>
      </c>
      <c r="H113" s="277" t="s">
        <v>4768</v>
      </c>
      <c r="I113" s="277">
        <v>955</v>
      </c>
      <c r="J113" s="277" t="s">
        <v>4778</v>
      </c>
      <c r="K113" s="277">
        <v>301</v>
      </c>
      <c r="L113" s="277" t="s">
        <v>4779</v>
      </c>
      <c r="M113" s="277" t="s">
        <v>8</v>
      </c>
      <c r="N113" s="277" t="s">
        <v>4780</v>
      </c>
      <c r="O113" s="277">
        <v>524111</v>
      </c>
      <c r="P113" s="277" t="s">
        <v>4702</v>
      </c>
      <c r="Q113" s="221" cm="1">
        <f t="array" ref="Q113">SUM(_xlfn._xlws.FILTER(DIPA2[PaguRevisi],DIPA2[Akun]=SP2D[[#This Row],[Kode Akun]],0))</f>
        <v>8702000</v>
      </c>
      <c r="R113" s="416">
        <v>15000000</v>
      </c>
      <c r="S113" s="292">
        <f>SUM('PER BULAN'!J187:L187)</f>
        <v>0</v>
      </c>
      <c r="T113" s="292">
        <f>SUM('PER BULAN'!M186:O186)</f>
        <v>0</v>
      </c>
      <c r="U113" s="292">
        <f>SUM('PER BULAN'!P186:R186)</f>
        <v>0</v>
      </c>
      <c r="V113" s="292">
        <f>SUM('PER BULAN'!S186:U186)</f>
        <v>0</v>
      </c>
      <c r="W113" s="292">
        <f>SUM('PER BULAN'!V186:X186)</f>
        <v>8701552</v>
      </c>
      <c r="X113" s="292">
        <f>SUM('PER BULAN'!Y186:AA186)</f>
        <v>0</v>
      </c>
      <c r="Y113" s="292">
        <f>SUM('PER BULAN'!AB186:AD186)</f>
        <v>0</v>
      </c>
      <c r="Z113" s="292">
        <f>SUM('PER BULAN'!AE186:AG186)</f>
        <v>0</v>
      </c>
      <c r="AA113" s="292">
        <f>SUM('PER BULAN'!AH186:AJ186)</f>
        <v>0</v>
      </c>
      <c r="AB113" s="292">
        <f>SUM('PER BULAN'!AK186:AM186)</f>
        <v>0</v>
      </c>
      <c r="AC113" s="292">
        <f>SUM('PER BULAN'!AN186:AP186)</f>
        <v>0</v>
      </c>
      <c r="AD113" s="292">
        <f>SUM('PER BULAN'!AQ186:AS186)</f>
        <v>0</v>
      </c>
      <c r="AE113" s="277" t="s">
        <v>530</v>
      </c>
      <c r="AF113" s="277" t="s">
        <v>576</v>
      </c>
      <c r="AG113" s="277" t="s">
        <v>546</v>
      </c>
      <c r="AH113" s="277" t="s">
        <v>4699</v>
      </c>
      <c r="AI113" s="277" t="s">
        <v>4700</v>
      </c>
      <c r="AJ113" s="494">
        <f t="shared" si="7"/>
        <v>8701552</v>
      </c>
      <c r="AK113" s="291">
        <f t="shared" si="8"/>
        <v>99.994851758216498</v>
      </c>
      <c r="AL113" s="494">
        <f t="shared" si="9"/>
        <v>448</v>
      </c>
      <c r="AM113" s="291">
        <f t="shared" si="10"/>
        <v>5.1482417834980464E-3</v>
      </c>
      <c r="AN113" s="277" t="str">
        <f t="shared" si="11"/>
        <v>WA.2378.EBD.955.301.A.524111</v>
      </c>
      <c r="AO113" s="277" t="str">
        <f>IF(ISNUMBER(SEARCH("COVID",SP2D[[#This Row],[Akun]])),"COVID","Non COVID")</f>
        <v>Non COVID</v>
      </c>
      <c r="AP11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1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3" s="292">
        <f>SUM('PER BULAN'!BA186)</f>
        <v>0</v>
      </c>
      <c r="AS113" s="292">
        <f>SUM('PER BULAN'!BB186)</f>
        <v>0</v>
      </c>
      <c r="AT113" s="292">
        <f>SUM('PER BULAN'!BC186)</f>
        <v>0</v>
      </c>
      <c r="AU113" s="292">
        <f>SUM('PER BULAN'!BD186)</f>
        <v>0</v>
      </c>
      <c r="AV113" s="292">
        <f>SUM('PER BULAN'!BE186)</f>
        <v>0</v>
      </c>
      <c r="AW113" s="292">
        <f>SUM('PER BULAN'!BF186)</f>
        <v>0</v>
      </c>
      <c r="AX113" s="292">
        <f>SUM('PER BULAN'!BG186)</f>
        <v>8701552</v>
      </c>
      <c r="AY113" s="292">
        <f>SUM('PER BULAN'!BH186)</f>
        <v>0</v>
      </c>
    </row>
    <row r="114" spans="1:51" s="278" customFormat="1" x14ac:dyDescent="0.3">
      <c r="A114" s="277" t="s">
        <v>4693</v>
      </c>
      <c r="B114" s="277" t="s">
        <v>4694</v>
      </c>
      <c r="C114" s="277" t="s">
        <v>4720</v>
      </c>
      <c r="D114" s="277" t="s">
        <v>4721</v>
      </c>
      <c r="E114" s="277" t="s">
        <v>197</v>
      </c>
      <c r="F114" s="277" t="s">
        <v>4722</v>
      </c>
      <c r="G114" s="277" t="s">
        <v>4767</v>
      </c>
      <c r="H114" s="277" t="s">
        <v>4768</v>
      </c>
      <c r="I114" s="277">
        <v>955</v>
      </c>
      <c r="J114" s="277" t="s">
        <v>4778</v>
      </c>
      <c r="K114" s="277">
        <v>301</v>
      </c>
      <c r="L114" s="277" t="s">
        <v>4779</v>
      </c>
      <c r="M114" s="277" t="s">
        <v>511</v>
      </c>
      <c r="N114" s="277" t="s">
        <v>4781</v>
      </c>
      <c r="O114" s="277">
        <v>521211</v>
      </c>
      <c r="P114" s="277" t="s">
        <v>4698</v>
      </c>
      <c r="Q114" s="221" cm="1">
        <f t="array" ref="Q114">SUM(_xlfn._xlws.FILTER(DIPA2[PaguRevisi],DIPA2[Akun]=SP2D[[#This Row],[Kode Akun]],0))</f>
        <v>7500000</v>
      </c>
      <c r="R114" s="416">
        <v>11400000</v>
      </c>
      <c r="S114" s="292">
        <f>SUM('PER BULAN'!J188:L188)</f>
        <v>0</v>
      </c>
      <c r="T114" s="292">
        <f>SUM('PER BULAN'!M188:O188)</f>
        <v>0</v>
      </c>
      <c r="U114" s="292">
        <f>SUM('PER BULAN'!P188:R188)</f>
        <v>2500000</v>
      </c>
      <c r="V114" s="292">
        <f>SUM('PER BULAN'!S188:U188)</f>
        <v>0</v>
      </c>
      <c r="W114" s="292">
        <f>SUM('PER BULAN'!V188:X188)</f>
        <v>2444000</v>
      </c>
      <c r="X114" s="292">
        <f>SUM('PER BULAN'!Y188:AA188)</f>
        <v>0</v>
      </c>
      <c r="Y114" s="292">
        <f>SUM('PER BULAN'!AB188:AD188)</f>
        <v>0</v>
      </c>
      <c r="Z114" s="292">
        <f>SUM('PER BULAN'!AE188:AG188)</f>
        <v>0</v>
      </c>
      <c r="AA114" s="292">
        <f>SUM('PER BULAN'!AH188:AJ188)</f>
        <v>0</v>
      </c>
      <c r="AB114" s="292">
        <f>SUM('PER BULAN'!AK188:AM188)</f>
        <v>0</v>
      </c>
      <c r="AC114" s="292">
        <f>SUM('PER BULAN'!AN188:AP188)</f>
        <v>0</v>
      </c>
      <c r="AD114" s="292">
        <f>SUM('PER BULAN'!AQ188:AS188)</f>
        <v>0</v>
      </c>
      <c r="AE114" s="277" t="s">
        <v>530</v>
      </c>
      <c r="AF114" s="277" t="s">
        <v>576</v>
      </c>
      <c r="AG114" s="277" t="s">
        <v>546</v>
      </c>
      <c r="AH114" s="277" t="s">
        <v>4699</v>
      </c>
      <c r="AI114" s="277" t="s">
        <v>4700</v>
      </c>
      <c r="AJ114" s="494">
        <f t="shared" si="7"/>
        <v>4944000</v>
      </c>
      <c r="AK114" s="291">
        <f t="shared" si="8"/>
        <v>65.92</v>
      </c>
      <c r="AL114" s="494">
        <f t="shared" si="9"/>
        <v>2556000</v>
      </c>
      <c r="AM114" s="291">
        <f t="shared" si="10"/>
        <v>34.08</v>
      </c>
      <c r="AN114" s="277" t="str">
        <f t="shared" si="11"/>
        <v>WA.2378.EBD.955.301.B.521211</v>
      </c>
      <c r="AO114" s="277" t="str">
        <f>IF(ISNUMBER(SEARCH("COVID",SP2D[[#This Row],[Akun]])),"COVID","Non COVID")</f>
        <v>Non COVID</v>
      </c>
      <c r="AP11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1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4" s="292">
        <f>SUM('PER BULAN'!BA188)</f>
        <v>0</v>
      </c>
      <c r="AS114" s="292">
        <f>SUM('PER BULAN'!BB188)</f>
        <v>2500000</v>
      </c>
      <c r="AT114" s="292">
        <f>SUM('PER BULAN'!BC188)</f>
        <v>0</v>
      </c>
      <c r="AU114" s="292">
        <f>SUM('PER BULAN'!BD188)</f>
        <v>0</v>
      </c>
      <c r="AV114" s="292">
        <f>SUM('PER BULAN'!BE188)</f>
        <v>0</v>
      </c>
      <c r="AW114" s="292">
        <f>SUM('PER BULAN'!BF188)</f>
        <v>2444000</v>
      </c>
      <c r="AX114" s="292">
        <f>SUM('PER BULAN'!BG188)</f>
        <v>0</v>
      </c>
      <c r="AY114" s="292">
        <f>SUM('PER BULAN'!BH188)</f>
        <v>0</v>
      </c>
    </row>
    <row r="115" spans="1:51" s="278" customFormat="1" x14ac:dyDescent="0.3">
      <c r="A115" s="277" t="s">
        <v>4693</v>
      </c>
      <c r="B115" s="277" t="s">
        <v>4694</v>
      </c>
      <c r="C115" s="277" t="s">
        <v>4720</v>
      </c>
      <c r="D115" s="277" t="s">
        <v>4721</v>
      </c>
      <c r="E115" s="277" t="s">
        <v>197</v>
      </c>
      <c r="F115" s="277" t="s">
        <v>4722</v>
      </c>
      <c r="G115" s="277" t="s">
        <v>4767</v>
      </c>
      <c r="H115" s="277" t="s">
        <v>4768</v>
      </c>
      <c r="I115" s="277">
        <v>955</v>
      </c>
      <c r="J115" s="277" t="s">
        <v>4778</v>
      </c>
      <c r="K115" s="277">
        <v>301</v>
      </c>
      <c r="L115" s="277" t="s">
        <v>4779</v>
      </c>
      <c r="M115" s="277" t="s">
        <v>511</v>
      </c>
      <c r="N115" s="277" t="s">
        <v>4781</v>
      </c>
      <c r="O115" s="277">
        <v>524111</v>
      </c>
      <c r="P115" s="277" t="s">
        <v>4702</v>
      </c>
      <c r="Q115" s="221" cm="1">
        <f t="array" ref="Q115">SUM(_xlfn._xlws.FILTER(DIPA2[PaguRevisi],DIPA2[Akun]=SP2D[[#This Row],[Kode Akun]],0))</f>
        <v>5350000</v>
      </c>
      <c r="R115" s="416">
        <v>18000000</v>
      </c>
      <c r="S115" s="292">
        <f>SUM('PER BULAN'!J190:L190)</f>
        <v>0</v>
      </c>
      <c r="T115" s="292">
        <f>SUM('PER BULAN'!M189:O189)</f>
        <v>0</v>
      </c>
      <c r="U115" s="292">
        <f>SUM('PER BULAN'!P189:R189)</f>
        <v>2850000</v>
      </c>
      <c r="V115" s="292">
        <f>SUM('PER BULAN'!S189:U189)</f>
        <v>0</v>
      </c>
      <c r="W115" s="292">
        <f>SUM('PER BULAN'!V189:X189)</f>
        <v>0</v>
      </c>
      <c r="X115" s="292">
        <f>SUM('PER BULAN'!Y189:AA189)</f>
        <v>0</v>
      </c>
      <c r="Y115" s="292">
        <f>SUM('PER BULAN'!AB189:AD189)</f>
        <v>0</v>
      </c>
      <c r="Z115" s="292">
        <f>SUM('PER BULAN'!AE189:AG189)</f>
        <v>0</v>
      </c>
      <c r="AA115" s="292">
        <f>SUM('PER BULAN'!AH189:AJ189)</f>
        <v>0</v>
      </c>
      <c r="AB115" s="292">
        <f>SUM('PER BULAN'!AK189:AM189)</f>
        <v>0</v>
      </c>
      <c r="AC115" s="292">
        <f>SUM('PER BULAN'!AN189:AP189)</f>
        <v>0</v>
      </c>
      <c r="AD115" s="292">
        <f>SUM('PER BULAN'!AQ189:AS189)</f>
        <v>0</v>
      </c>
      <c r="AE115" s="277" t="s">
        <v>530</v>
      </c>
      <c r="AF115" s="277" t="s">
        <v>576</v>
      </c>
      <c r="AG115" s="277" t="s">
        <v>546</v>
      </c>
      <c r="AH115" s="277" t="s">
        <v>4699</v>
      </c>
      <c r="AI115" s="277" t="s">
        <v>4700</v>
      </c>
      <c r="AJ115" s="494">
        <f t="shared" si="7"/>
        <v>2850000</v>
      </c>
      <c r="AK115" s="291">
        <f t="shared" si="8"/>
        <v>53.271028037383175</v>
      </c>
      <c r="AL115" s="494">
        <f t="shared" si="9"/>
        <v>2500000</v>
      </c>
      <c r="AM115" s="291">
        <f t="shared" si="10"/>
        <v>46.728971962616825</v>
      </c>
      <c r="AN115" s="277" t="str">
        <f t="shared" si="11"/>
        <v>WA.2378.EBD.955.301.B.524111</v>
      </c>
      <c r="AO115" s="277" t="str">
        <f>IF(ISNUMBER(SEARCH("COVID",SP2D[[#This Row],[Akun]])),"COVID","Non COVID")</f>
        <v>Non COVID</v>
      </c>
      <c r="AP11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1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5" s="292">
        <f>SUM('PER BULAN'!BA189)</f>
        <v>0</v>
      </c>
      <c r="AS115" s="292">
        <f>SUM('PER BULAN'!BB189)</f>
        <v>2850000</v>
      </c>
      <c r="AT115" s="292">
        <f>SUM('PER BULAN'!BC189)</f>
        <v>0</v>
      </c>
      <c r="AU115" s="292">
        <f>SUM('PER BULAN'!BD189)</f>
        <v>0</v>
      </c>
      <c r="AV115" s="292">
        <f>SUM('PER BULAN'!BE189)</f>
        <v>0</v>
      </c>
      <c r="AW115" s="292">
        <f>SUM('PER BULAN'!BF189)</f>
        <v>0</v>
      </c>
      <c r="AX115" s="292">
        <f>SUM('PER BULAN'!BG189)</f>
        <v>0</v>
      </c>
      <c r="AY115" s="292">
        <f>SUM('PER BULAN'!BH189)</f>
        <v>0</v>
      </c>
    </row>
    <row r="116" spans="1:51" s="278" customFormat="1" x14ac:dyDescent="0.3">
      <c r="A116" s="277" t="s">
        <v>4693</v>
      </c>
      <c r="B116" s="277" t="s">
        <v>4694</v>
      </c>
      <c r="C116" s="277" t="s">
        <v>4720</v>
      </c>
      <c r="D116" s="277" t="s">
        <v>4721</v>
      </c>
      <c r="E116" s="277" t="s">
        <v>197</v>
      </c>
      <c r="F116" s="277" t="s">
        <v>4722</v>
      </c>
      <c r="G116" s="277" t="s">
        <v>4767</v>
      </c>
      <c r="H116" s="277" t="s">
        <v>4768</v>
      </c>
      <c r="I116" s="277">
        <v>955</v>
      </c>
      <c r="J116" s="277" t="s">
        <v>4778</v>
      </c>
      <c r="K116" s="277">
        <v>301</v>
      </c>
      <c r="L116" s="277" t="s">
        <v>4779</v>
      </c>
      <c r="M116" s="277" t="s">
        <v>512</v>
      </c>
      <c r="N116" s="277" t="s">
        <v>4782</v>
      </c>
      <c r="O116" s="277">
        <v>521211</v>
      </c>
      <c r="P116" s="277" t="s">
        <v>4698</v>
      </c>
      <c r="Q116" s="221" cm="1">
        <f t="array" ref="Q116">SUM(_xlfn._xlws.FILTER(DIPA2[PaguRevisi],DIPA2[Akun]=SP2D[[#This Row],[Kode Akun]],0))</f>
        <v>7500000</v>
      </c>
      <c r="R116" s="416">
        <v>10000000</v>
      </c>
      <c r="S116" s="292">
        <f>SUM('PER BULAN'!J191:L191)</f>
        <v>0</v>
      </c>
      <c r="T116" s="292">
        <f>SUM('PER BULAN'!M191:O191)</f>
        <v>0</v>
      </c>
      <c r="U116" s="292">
        <f>SUM('PER BULAN'!P191:R191)</f>
        <v>2469500</v>
      </c>
      <c r="V116" s="292">
        <f>SUM('PER BULAN'!S191:U191)</f>
        <v>0</v>
      </c>
      <c r="W116" s="292">
        <f>SUM('PER BULAN'!V191:X191)</f>
        <v>2499000</v>
      </c>
      <c r="X116" s="292">
        <f>SUM('PER BULAN'!Y191:AA191)</f>
        <v>0</v>
      </c>
      <c r="Y116" s="292">
        <f>SUM('PER BULAN'!AB191:AD191)</f>
        <v>0</v>
      </c>
      <c r="Z116" s="292">
        <f>SUM('PER BULAN'!AE191:AG191)</f>
        <v>0</v>
      </c>
      <c r="AA116" s="292">
        <f>SUM('PER BULAN'!AH191:AJ191)</f>
        <v>0</v>
      </c>
      <c r="AB116" s="292">
        <f>SUM('PER BULAN'!AK191:AM191)</f>
        <v>0</v>
      </c>
      <c r="AC116" s="292">
        <f>SUM('PER BULAN'!AN191:AP191)</f>
        <v>0</v>
      </c>
      <c r="AD116" s="292">
        <f>SUM('PER BULAN'!AQ191:AS191)</f>
        <v>0</v>
      </c>
      <c r="AE116" s="277" t="s">
        <v>530</v>
      </c>
      <c r="AF116" s="277" t="s">
        <v>576</v>
      </c>
      <c r="AG116" s="277" t="s">
        <v>546</v>
      </c>
      <c r="AH116" s="277" t="s">
        <v>4699</v>
      </c>
      <c r="AI116" s="277" t="s">
        <v>4700</v>
      </c>
      <c r="AJ116" s="494">
        <f t="shared" si="7"/>
        <v>4968500</v>
      </c>
      <c r="AK116" s="291">
        <f t="shared" si="8"/>
        <v>66.24666666666667</v>
      </c>
      <c r="AL116" s="494">
        <f t="shared" si="9"/>
        <v>2531500</v>
      </c>
      <c r="AM116" s="291">
        <f t="shared" si="10"/>
        <v>33.753333333333337</v>
      </c>
      <c r="AN116" s="277" t="str">
        <f t="shared" si="11"/>
        <v>WA.2378.EBD.955.301.C.521211</v>
      </c>
      <c r="AO116" s="277" t="str">
        <f>IF(ISNUMBER(SEARCH("COVID",SP2D[[#This Row],[Akun]])),"COVID","Non COVID")</f>
        <v>Non COVID</v>
      </c>
      <c r="AP11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1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6" s="292">
        <f>SUM('PER BULAN'!BA191)</f>
        <v>0</v>
      </c>
      <c r="AS116" s="292">
        <f>SUM('PER BULAN'!BB191)</f>
        <v>0</v>
      </c>
      <c r="AT116" s="292">
        <f>SUM('PER BULAN'!BC191)</f>
        <v>2469500</v>
      </c>
      <c r="AU116" s="292">
        <f>SUM('PER BULAN'!BD191)</f>
        <v>0</v>
      </c>
      <c r="AV116" s="292">
        <f>SUM('PER BULAN'!BE191)</f>
        <v>0</v>
      </c>
      <c r="AW116" s="292">
        <f>SUM('PER BULAN'!BF191)</f>
        <v>2499000</v>
      </c>
      <c r="AX116" s="292">
        <f>SUM('PER BULAN'!BG191)</f>
        <v>0</v>
      </c>
      <c r="AY116" s="292">
        <f>SUM('PER BULAN'!BH191)</f>
        <v>0</v>
      </c>
    </row>
    <row r="117" spans="1:51" s="278" customFormat="1" x14ac:dyDescent="0.3">
      <c r="A117" s="277" t="s">
        <v>4693</v>
      </c>
      <c r="B117" s="277" t="s">
        <v>4694</v>
      </c>
      <c r="C117" s="277" t="s">
        <v>4720</v>
      </c>
      <c r="D117" s="277" t="s">
        <v>4721</v>
      </c>
      <c r="E117" s="277" t="s">
        <v>197</v>
      </c>
      <c r="F117" s="277" t="s">
        <v>4722</v>
      </c>
      <c r="G117" s="277" t="s">
        <v>4767</v>
      </c>
      <c r="H117" s="277" t="s">
        <v>4768</v>
      </c>
      <c r="I117" s="277">
        <v>955</v>
      </c>
      <c r="J117" s="277" t="s">
        <v>4778</v>
      </c>
      <c r="K117" s="277">
        <v>301</v>
      </c>
      <c r="L117" s="277" t="s">
        <v>4779</v>
      </c>
      <c r="M117" s="277" t="s">
        <v>512</v>
      </c>
      <c r="N117" s="277" t="s">
        <v>4782</v>
      </c>
      <c r="O117" s="277">
        <v>524111</v>
      </c>
      <c r="P117" s="277" t="s">
        <v>4702</v>
      </c>
      <c r="Q117" s="221" cm="1">
        <f t="array" ref="Q117">SUM(_xlfn._xlws.FILTER(DIPA2[PaguRevisi],DIPA2[Akun]=SP2D[[#This Row],[Kode Akun]],0))</f>
        <v>0</v>
      </c>
      <c r="R117" s="416">
        <v>15000000</v>
      </c>
      <c r="S117" s="292">
        <f>SUM('PER BULAN'!J193:L193)</f>
        <v>0</v>
      </c>
      <c r="T117" s="292">
        <f>SUM('PER BULAN'!M192:O192)</f>
        <v>0</v>
      </c>
      <c r="U117" s="292">
        <f>SUM('PER BULAN'!P192:R192)</f>
        <v>0</v>
      </c>
      <c r="V117" s="292">
        <f>SUM('PER BULAN'!S192:U192)</f>
        <v>0</v>
      </c>
      <c r="W117" s="292">
        <f>SUM('PER BULAN'!V192:X192)</f>
        <v>0</v>
      </c>
      <c r="X117" s="292">
        <f>SUM('PER BULAN'!Y192:AA192)</f>
        <v>0</v>
      </c>
      <c r="Y117" s="292">
        <f>SUM('PER BULAN'!AB192:AD192)</f>
        <v>0</v>
      </c>
      <c r="Z117" s="292">
        <f>SUM('PER BULAN'!AE192:AG192)</f>
        <v>0</v>
      </c>
      <c r="AA117" s="292">
        <f>SUM('PER BULAN'!AH192:AJ192)</f>
        <v>0</v>
      </c>
      <c r="AB117" s="292">
        <f>SUM('PER BULAN'!AK192:AM192)</f>
        <v>0</v>
      </c>
      <c r="AC117" s="292">
        <f>SUM('PER BULAN'!AN192:AP192)</f>
        <v>0</v>
      </c>
      <c r="AD117" s="292">
        <f>SUM('PER BULAN'!AQ192:AS192)</f>
        <v>0</v>
      </c>
      <c r="AE117" s="277" t="s">
        <v>530</v>
      </c>
      <c r="AF117" s="277" t="s">
        <v>576</v>
      </c>
      <c r="AG117" s="277" t="s">
        <v>546</v>
      </c>
      <c r="AH117" s="277" t="s">
        <v>4699</v>
      </c>
      <c r="AI117" s="277" t="s">
        <v>4700</v>
      </c>
      <c r="AJ117" s="494">
        <f t="shared" si="7"/>
        <v>0</v>
      </c>
      <c r="AK117" s="291">
        <f t="shared" si="8"/>
        <v>0</v>
      </c>
      <c r="AL117" s="494">
        <f t="shared" si="9"/>
        <v>0</v>
      </c>
      <c r="AM117" s="291">
        <f t="shared" si="10"/>
        <v>0</v>
      </c>
      <c r="AN117" s="277" t="str">
        <f t="shared" si="11"/>
        <v>WA.2378.EBD.955.301.C.524111</v>
      </c>
      <c r="AO117" s="277" t="str">
        <f>IF(ISNUMBER(SEARCH("COVID",SP2D[[#This Row],[Akun]])),"COVID","Non COVID")</f>
        <v>Non COVID</v>
      </c>
      <c r="AP11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1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7" s="292">
        <f>SUM('PER BULAN'!BA192)</f>
        <v>0</v>
      </c>
      <c r="AS117" s="292">
        <f>SUM('PER BULAN'!BB192)</f>
        <v>0</v>
      </c>
      <c r="AT117" s="292">
        <f>SUM('PER BULAN'!BC192)</f>
        <v>0</v>
      </c>
      <c r="AU117" s="292">
        <f>SUM('PER BULAN'!BD192)</f>
        <v>0</v>
      </c>
      <c r="AV117" s="292">
        <f>SUM('PER BULAN'!BE192)</f>
        <v>0</v>
      </c>
      <c r="AW117" s="292">
        <f>SUM('PER BULAN'!BF192)</f>
        <v>0</v>
      </c>
      <c r="AX117" s="292">
        <f>SUM('PER BULAN'!BG192)</f>
        <v>0</v>
      </c>
      <c r="AY117" s="292">
        <f>SUM('PER BULAN'!BH192)</f>
        <v>0</v>
      </c>
    </row>
    <row r="118" spans="1:51" s="278" customFormat="1" x14ac:dyDescent="0.3">
      <c r="A118" s="277" t="s">
        <v>4693</v>
      </c>
      <c r="B118" s="277" t="s">
        <v>4694</v>
      </c>
      <c r="C118" s="277" t="s">
        <v>4720</v>
      </c>
      <c r="D118" s="277" t="s">
        <v>4721</v>
      </c>
      <c r="E118" s="277" t="s">
        <v>197</v>
      </c>
      <c r="F118" s="277" t="s">
        <v>4722</v>
      </c>
      <c r="G118" s="277" t="s">
        <v>4767</v>
      </c>
      <c r="H118" s="277" t="s">
        <v>4768</v>
      </c>
      <c r="I118" s="277">
        <v>955</v>
      </c>
      <c r="J118" s="277" t="s">
        <v>4778</v>
      </c>
      <c r="K118" s="277">
        <v>301</v>
      </c>
      <c r="L118" s="277" t="s">
        <v>4779</v>
      </c>
      <c r="M118" s="277" t="s">
        <v>514</v>
      </c>
      <c r="N118" s="277" t="s">
        <v>4783</v>
      </c>
      <c r="O118" s="277">
        <v>521211</v>
      </c>
      <c r="P118" s="277" t="s">
        <v>4698</v>
      </c>
      <c r="Q118" s="221" cm="1">
        <f t="array" ref="Q118">SUM(_xlfn._xlws.FILTER(DIPA2[PaguRevisi],DIPA2[Akun]=SP2D[[#This Row],[Kode Akun]],0))</f>
        <v>14000000</v>
      </c>
      <c r="R118" s="416">
        <v>35340000</v>
      </c>
      <c r="S118" s="292">
        <f>SUM('PER BULAN'!J194:L194)</f>
        <v>0</v>
      </c>
      <c r="T118" s="292">
        <f>SUM('PER BULAN'!M194:O194)</f>
        <v>0</v>
      </c>
      <c r="U118" s="292">
        <f>SUM('PER BULAN'!P194:R194)</f>
        <v>2500000</v>
      </c>
      <c r="V118" s="292">
        <f>SUM('PER BULAN'!S194:U194)</f>
        <v>3400000</v>
      </c>
      <c r="W118" s="292">
        <f>SUM('PER BULAN'!V194:X194)</f>
        <v>5085000</v>
      </c>
      <c r="X118" s="292">
        <f>SUM('PER BULAN'!Y194:AA194)</f>
        <v>0</v>
      </c>
      <c r="Y118" s="292">
        <f>SUM('PER BULAN'!AB194:AD194)</f>
        <v>0</v>
      </c>
      <c r="Z118" s="292">
        <f>SUM('PER BULAN'!AE194:AG194)</f>
        <v>0</v>
      </c>
      <c r="AA118" s="292">
        <f>SUM('PER BULAN'!AH194:AJ194)</f>
        <v>0</v>
      </c>
      <c r="AB118" s="292">
        <f>SUM('PER BULAN'!AK194:AM194)</f>
        <v>0</v>
      </c>
      <c r="AC118" s="292">
        <f>SUM('PER BULAN'!AN194:AP194)</f>
        <v>0</v>
      </c>
      <c r="AD118" s="292">
        <f>SUM('PER BULAN'!AQ194:AS194)</f>
        <v>0</v>
      </c>
      <c r="AE118" s="277" t="s">
        <v>530</v>
      </c>
      <c r="AF118" s="277" t="s">
        <v>576</v>
      </c>
      <c r="AG118" s="277" t="s">
        <v>546</v>
      </c>
      <c r="AH118" s="277" t="s">
        <v>4699</v>
      </c>
      <c r="AI118" s="277" t="s">
        <v>4700</v>
      </c>
      <c r="AJ118" s="494">
        <f t="shared" si="7"/>
        <v>10985000</v>
      </c>
      <c r="AK118" s="291">
        <f t="shared" si="8"/>
        <v>78.464285714285722</v>
      </c>
      <c r="AL118" s="494">
        <f t="shared" si="9"/>
        <v>3015000</v>
      </c>
      <c r="AM118" s="291">
        <f t="shared" si="10"/>
        <v>21.535714285714285</v>
      </c>
      <c r="AN118" s="277" t="str">
        <f t="shared" si="11"/>
        <v>WA.2378.EBD.955.301.D.521211</v>
      </c>
      <c r="AO118" s="277" t="str">
        <f>IF(ISNUMBER(SEARCH("COVID",SP2D[[#This Row],[Akun]])),"COVID","Non COVID")</f>
        <v>Non COVID</v>
      </c>
      <c r="AP11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1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8" s="292">
        <f>SUM('PER BULAN'!BA194)</f>
        <v>0</v>
      </c>
      <c r="AS118" s="292">
        <f>SUM('PER BULAN'!BB194)</f>
        <v>2500000</v>
      </c>
      <c r="AT118" s="292">
        <f>SUM('PER BULAN'!BC194)</f>
        <v>0</v>
      </c>
      <c r="AU118" s="292">
        <f>SUM('PER BULAN'!BD194)</f>
        <v>3400000</v>
      </c>
      <c r="AV118" s="292">
        <f>SUM('PER BULAN'!BE194)</f>
        <v>2590000</v>
      </c>
      <c r="AW118" s="292">
        <f>SUM('PER BULAN'!BF194)</f>
        <v>2495000</v>
      </c>
      <c r="AX118" s="292">
        <f>SUM('PER BULAN'!BG194)</f>
        <v>0</v>
      </c>
      <c r="AY118" s="292">
        <f>SUM('PER BULAN'!BH194)</f>
        <v>0</v>
      </c>
    </row>
    <row r="119" spans="1:51" s="278" customFormat="1" x14ac:dyDescent="0.3">
      <c r="A119" s="277" t="s">
        <v>4693</v>
      </c>
      <c r="B119" s="277" t="s">
        <v>4694</v>
      </c>
      <c r="C119" s="277" t="s">
        <v>4720</v>
      </c>
      <c r="D119" s="277" t="s">
        <v>4721</v>
      </c>
      <c r="E119" s="277" t="s">
        <v>197</v>
      </c>
      <c r="F119" s="277" t="s">
        <v>4722</v>
      </c>
      <c r="G119" s="277" t="s">
        <v>4767</v>
      </c>
      <c r="H119" s="277" t="s">
        <v>4768</v>
      </c>
      <c r="I119" s="277">
        <v>955</v>
      </c>
      <c r="J119" s="277" t="s">
        <v>4778</v>
      </c>
      <c r="K119" s="277">
        <v>301</v>
      </c>
      <c r="L119" s="277" t="s">
        <v>4779</v>
      </c>
      <c r="M119" s="277" t="s">
        <v>514</v>
      </c>
      <c r="N119" s="277" t="s">
        <v>4783</v>
      </c>
      <c r="O119" s="277">
        <v>522151</v>
      </c>
      <c r="P119" s="277" t="s">
        <v>4701</v>
      </c>
      <c r="Q119" s="221" cm="1">
        <f t="array" ref="Q119">SUM(_xlfn._xlws.FILTER(DIPA2[PaguRevisi],DIPA2[Akun]=SP2D[[#This Row],[Kode Akun]],0))</f>
        <v>0</v>
      </c>
      <c r="R119" s="416">
        <v>3600000</v>
      </c>
      <c r="S119" s="292">
        <f>SUM('PER BULAN'!J195:L195)</f>
        <v>0</v>
      </c>
      <c r="T119" s="292">
        <f>SUM('PER BULAN'!M195:O195)</f>
        <v>0</v>
      </c>
      <c r="U119" s="292">
        <f>SUM('PER BULAN'!P195:R195)</f>
        <v>0</v>
      </c>
      <c r="V119" s="292">
        <f>SUM('PER BULAN'!S195:U195)</f>
        <v>0</v>
      </c>
      <c r="W119" s="292">
        <f>SUM('PER BULAN'!V195:X195)</f>
        <v>0</v>
      </c>
      <c r="X119" s="292">
        <f>SUM('PER BULAN'!Y195:AA195)</f>
        <v>0</v>
      </c>
      <c r="Y119" s="292">
        <f>SUM('PER BULAN'!AB195:AD195)</f>
        <v>0</v>
      </c>
      <c r="Z119" s="292">
        <f>SUM('PER BULAN'!AE195:AG195)</f>
        <v>0</v>
      </c>
      <c r="AA119" s="292">
        <f>SUM('PER BULAN'!AH195:AJ195)</f>
        <v>0</v>
      </c>
      <c r="AB119" s="292">
        <f>SUM('PER BULAN'!AK195:AM195)</f>
        <v>0</v>
      </c>
      <c r="AC119" s="292">
        <f>SUM('PER BULAN'!AN195:AP195)</f>
        <v>0</v>
      </c>
      <c r="AD119" s="292">
        <f>SUM('PER BULAN'!AQ195:AS195)</f>
        <v>0</v>
      </c>
      <c r="AE119" s="277" t="s">
        <v>530</v>
      </c>
      <c r="AF119" s="277" t="s">
        <v>576</v>
      </c>
      <c r="AG119" s="277" t="s">
        <v>546</v>
      </c>
      <c r="AH119" s="277" t="s">
        <v>4699</v>
      </c>
      <c r="AI119" s="277" t="s">
        <v>4700</v>
      </c>
      <c r="AJ119" s="494">
        <f t="shared" si="7"/>
        <v>0</v>
      </c>
      <c r="AK119" s="291">
        <f t="shared" si="8"/>
        <v>0</v>
      </c>
      <c r="AL119" s="494">
        <f t="shared" si="9"/>
        <v>0</v>
      </c>
      <c r="AM119" s="291">
        <f t="shared" si="10"/>
        <v>0</v>
      </c>
      <c r="AN119" s="277" t="str">
        <f t="shared" si="11"/>
        <v>WA.2378.EBD.955.301.D.522151</v>
      </c>
      <c r="AO119" s="277" t="str">
        <f>IF(ISNUMBER(SEARCH("COVID",SP2D[[#This Row],[Akun]])),"COVID","Non COVID")</f>
        <v>Non COVID</v>
      </c>
      <c r="AP11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1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19" s="292">
        <f>SUM('PER BULAN'!BA195)</f>
        <v>0</v>
      </c>
      <c r="AS119" s="292">
        <f>SUM('PER BULAN'!BB195)</f>
        <v>0</v>
      </c>
      <c r="AT119" s="292">
        <f>SUM('PER BULAN'!BC195)</f>
        <v>0</v>
      </c>
      <c r="AU119" s="292">
        <f>SUM('PER BULAN'!BD195)</f>
        <v>0</v>
      </c>
      <c r="AV119" s="292">
        <f>SUM('PER BULAN'!BE195)</f>
        <v>0</v>
      </c>
      <c r="AW119" s="292">
        <f>SUM('PER BULAN'!BF195)</f>
        <v>0</v>
      </c>
      <c r="AX119" s="292">
        <f>SUM('PER BULAN'!BG195)</f>
        <v>0</v>
      </c>
      <c r="AY119" s="292">
        <f>SUM('PER BULAN'!BH195)</f>
        <v>0</v>
      </c>
    </row>
    <row r="120" spans="1:51" s="278" customFormat="1" x14ac:dyDescent="0.3">
      <c r="A120" s="277" t="s">
        <v>4693</v>
      </c>
      <c r="B120" s="277" t="s">
        <v>4694</v>
      </c>
      <c r="C120" s="277" t="s">
        <v>4720</v>
      </c>
      <c r="D120" s="277" t="s">
        <v>4721</v>
      </c>
      <c r="E120" s="277" t="s">
        <v>197</v>
      </c>
      <c r="F120" s="277" t="s">
        <v>4722</v>
      </c>
      <c r="G120" s="277" t="s">
        <v>4767</v>
      </c>
      <c r="H120" s="277" t="s">
        <v>4768</v>
      </c>
      <c r="I120" s="277">
        <v>955</v>
      </c>
      <c r="J120" s="277" t="s">
        <v>4778</v>
      </c>
      <c r="K120" s="277">
        <v>301</v>
      </c>
      <c r="L120" s="277" t="s">
        <v>4779</v>
      </c>
      <c r="M120" s="277" t="s">
        <v>514</v>
      </c>
      <c r="N120" s="277" t="s">
        <v>4783</v>
      </c>
      <c r="O120" s="277">
        <v>524111</v>
      </c>
      <c r="P120" s="277" t="s">
        <v>4702</v>
      </c>
      <c r="Q120" s="221" cm="1">
        <f t="array" ref="Q120">SUM(_xlfn._xlws.FILTER(DIPA2[PaguRevisi],DIPA2[Akun]=SP2D[[#This Row],[Kode Akun]],0))</f>
        <v>20635000</v>
      </c>
      <c r="R120" s="416">
        <v>42000000</v>
      </c>
      <c r="S120" s="292">
        <f>SUM('PER BULAN'!J197:L197)</f>
        <v>0</v>
      </c>
      <c r="T120" s="292">
        <f>SUM('PER BULAN'!M196:O196)</f>
        <v>0</v>
      </c>
      <c r="U120" s="292">
        <f>SUM('PER BULAN'!P196:R196)</f>
        <v>0</v>
      </c>
      <c r="V120" s="292">
        <f>SUM('PER BULAN'!S196:U196)</f>
        <v>11593200</v>
      </c>
      <c r="W120" s="292">
        <f>SUM('PER BULAN'!V196:X196)</f>
        <v>9041268</v>
      </c>
      <c r="X120" s="292">
        <f>SUM('PER BULAN'!Y196:AA196)</f>
        <v>0</v>
      </c>
      <c r="Y120" s="292">
        <f>SUM('PER BULAN'!AB196:AD196)</f>
        <v>0</v>
      </c>
      <c r="Z120" s="292">
        <f>SUM('PER BULAN'!AE196:AG196)</f>
        <v>0</v>
      </c>
      <c r="AA120" s="292">
        <f>SUM('PER BULAN'!AH196:AJ196)</f>
        <v>0</v>
      </c>
      <c r="AB120" s="292">
        <f>SUM('PER BULAN'!AK196:AM196)</f>
        <v>0</v>
      </c>
      <c r="AC120" s="292">
        <f>SUM('PER BULAN'!AN196:AP196)</f>
        <v>0</v>
      </c>
      <c r="AD120" s="292">
        <f>SUM('PER BULAN'!AQ196:AS196)</f>
        <v>0</v>
      </c>
      <c r="AE120" s="277" t="s">
        <v>530</v>
      </c>
      <c r="AF120" s="277" t="s">
        <v>576</v>
      </c>
      <c r="AG120" s="277" t="s">
        <v>546</v>
      </c>
      <c r="AH120" s="277" t="s">
        <v>4699</v>
      </c>
      <c r="AI120" s="277" t="s">
        <v>4700</v>
      </c>
      <c r="AJ120" s="494">
        <f t="shared" si="7"/>
        <v>20634468</v>
      </c>
      <c r="AK120" s="291">
        <f t="shared" si="8"/>
        <v>99.997421856069778</v>
      </c>
      <c r="AL120" s="494">
        <f t="shared" si="9"/>
        <v>532</v>
      </c>
      <c r="AM120" s="291">
        <f t="shared" si="10"/>
        <v>2.578143930215653E-3</v>
      </c>
      <c r="AN120" s="277" t="str">
        <f t="shared" si="11"/>
        <v>WA.2378.EBD.955.301.D.524111</v>
      </c>
      <c r="AO120" s="277" t="str">
        <f>IF(ISNUMBER(SEARCH("COVID",SP2D[[#This Row],[Akun]])),"COVID","Non COVID")</f>
        <v>Non COVID</v>
      </c>
      <c r="AP12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2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0" s="292">
        <f>SUM('PER BULAN'!BA196)</f>
        <v>0</v>
      </c>
      <c r="AS120" s="292">
        <f>SUM('PER BULAN'!BB196)</f>
        <v>0</v>
      </c>
      <c r="AT120" s="292">
        <f>SUM('PER BULAN'!BC196)</f>
        <v>0</v>
      </c>
      <c r="AU120" s="292">
        <f>SUM('PER BULAN'!BD196)</f>
        <v>11593200</v>
      </c>
      <c r="AV120" s="292">
        <f>SUM('PER BULAN'!BE196)</f>
        <v>0</v>
      </c>
      <c r="AW120" s="292">
        <f>SUM('PER BULAN'!BF196)</f>
        <v>0</v>
      </c>
      <c r="AX120" s="292">
        <f>SUM('PER BULAN'!BG196)</f>
        <v>9041268</v>
      </c>
      <c r="AY120" s="292">
        <f>SUM('PER BULAN'!BH196)</f>
        <v>0</v>
      </c>
    </row>
    <row r="121" spans="1:51" s="278" customFormat="1" x14ac:dyDescent="0.3">
      <c r="A121" s="277" t="s">
        <v>4693</v>
      </c>
      <c r="B121" s="277" t="s">
        <v>4694</v>
      </c>
      <c r="C121" s="277" t="s">
        <v>4720</v>
      </c>
      <c r="D121" s="277" t="s">
        <v>4721</v>
      </c>
      <c r="E121" s="277" t="s">
        <v>197</v>
      </c>
      <c r="F121" s="277" t="s">
        <v>4722</v>
      </c>
      <c r="G121" s="277" t="s">
        <v>4767</v>
      </c>
      <c r="H121" s="277" t="s">
        <v>4768</v>
      </c>
      <c r="I121" s="277">
        <v>955</v>
      </c>
      <c r="J121" s="277" t="s">
        <v>4778</v>
      </c>
      <c r="K121" s="277">
        <v>301</v>
      </c>
      <c r="L121" s="277" t="s">
        <v>4779</v>
      </c>
      <c r="M121" s="277" t="s">
        <v>519</v>
      </c>
      <c r="N121" s="277" t="s">
        <v>4784</v>
      </c>
      <c r="O121" s="277">
        <v>521211</v>
      </c>
      <c r="P121" s="277" t="s">
        <v>4698</v>
      </c>
      <c r="Q121" s="221" cm="1">
        <f t="array" ref="Q121">SUM(_xlfn._xlws.FILTER(DIPA2[PaguRevisi],DIPA2[Akun]=SP2D[[#This Row],[Kode Akun]],0))</f>
        <v>7500000</v>
      </c>
      <c r="R121" s="416">
        <v>15000000</v>
      </c>
      <c r="S121" s="292">
        <f>SUM('PER BULAN'!J198:L198)</f>
        <v>0</v>
      </c>
      <c r="T121" s="292">
        <f>SUM('PER BULAN'!M198:O198)</f>
        <v>0</v>
      </c>
      <c r="U121" s="292">
        <f>SUM('PER BULAN'!P198:R198)</f>
        <v>2499500</v>
      </c>
      <c r="V121" s="292">
        <f>SUM('PER BULAN'!S198:U198)</f>
        <v>0</v>
      </c>
      <c r="W121" s="292">
        <f>SUM('PER BULAN'!V198:X198)</f>
        <v>2444500</v>
      </c>
      <c r="X121" s="292">
        <f>SUM('PER BULAN'!Y198:AA198)</f>
        <v>0</v>
      </c>
      <c r="Y121" s="292">
        <f>SUM('PER BULAN'!AB198:AD198)</f>
        <v>0</v>
      </c>
      <c r="Z121" s="292">
        <f>SUM('PER BULAN'!AE198:AG198)</f>
        <v>0</v>
      </c>
      <c r="AA121" s="292">
        <f>SUM('PER BULAN'!AH198:AJ198)</f>
        <v>0</v>
      </c>
      <c r="AB121" s="292">
        <f>SUM('PER BULAN'!AK198:AM198)</f>
        <v>0</v>
      </c>
      <c r="AC121" s="292">
        <f>SUM('PER BULAN'!AN198:AP198)</f>
        <v>0</v>
      </c>
      <c r="AD121" s="292">
        <f>SUM('PER BULAN'!AQ198:AS198)</f>
        <v>0</v>
      </c>
      <c r="AE121" s="277" t="s">
        <v>530</v>
      </c>
      <c r="AF121" s="277" t="s">
        <v>576</v>
      </c>
      <c r="AG121" s="277" t="s">
        <v>546</v>
      </c>
      <c r="AH121" s="277" t="s">
        <v>4699</v>
      </c>
      <c r="AI121" s="277" t="s">
        <v>4700</v>
      </c>
      <c r="AJ121" s="494">
        <f t="shared" si="7"/>
        <v>4944000</v>
      </c>
      <c r="AK121" s="291">
        <f t="shared" si="8"/>
        <v>65.92</v>
      </c>
      <c r="AL121" s="494">
        <f t="shared" si="9"/>
        <v>2556000</v>
      </c>
      <c r="AM121" s="291">
        <f t="shared" si="10"/>
        <v>34.08</v>
      </c>
      <c r="AN121" s="277" t="str">
        <f t="shared" si="11"/>
        <v>WA.2378.EBD.955.301.E.521211</v>
      </c>
      <c r="AO121" s="277" t="str">
        <f>IF(ISNUMBER(SEARCH("COVID",SP2D[[#This Row],[Akun]])),"COVID","Non COVID")</f>
        <v>Non COVID</v>
      </c>
      <c r="AP12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2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1" s="292">
        <f>SUM('PER BULAN'!BA198)</f>
        <v>0</v>
      </c>
      <c r="AS121" s="292">
        <f>SUM('PER BULAN'!BB198)</f>
        <v>2499500</v>
      </c>
      <c r="AT121" s="292">
        <f>SUM('PER BULAN'!BC198)</f>
        <v>0</v>
      </c>
      <c r="AU121" s="292">
        <f>SUM('PER BULAN'!BD198)</f>
        <v>0</v>
      </c>
      <c r="AV121" s="292">
        <f>SUM('PER BULAN'!BE198)</f>
        <v>0</v>
      </c>
      <c r="AW121" s="292">
        <f>SUM('PER BULAN'!BF198)</f>
        <v>2444500</v>
      </c>
      <c r="AX121" s="292">
        <f>SUM('PER BULAN'!BG198)</f>
        <v>0</v>
      </c>
      <c r="AY121" s="292">
        <f>SUM('PER BULAN'!BH198)</f>
        <v>0</v>
      </c>
    </row>
    <row r="122" spans="1:51" s="278" customFormat="1" x14ac:dyDescent="0.3">
      <c r="A122" s="277" t="s">
        <v>4693</v>
      </c>
      <c r="B122" s="277" t="s">
        <v>4694</v>
      </c>
      <c r="C122" s="277" t="s">
        <v>4720</v>
      </c>
      <c r="D122" s="277" t="s">
        <v>4721</v>
      </c>
      <c r="E122" s="277" t="s">
        <v>197</v>
      </c>
      <c r="F122" s="277" t="s">
        <v>4722</v>
      </c>
      <c r="G122" s="277" t="s">
        <v>4767</v>
      </c>
      <c r="H122" s="277" t="s">
        <v>4768</v>
      </c>
      <c r="I122" s="277">
        <v>955</v>
      </c>
      <c r="J122" s="277" t="s">
        <v>4778</v>
      </c>
      <c r="K122" s="277">
        <v>301</v>
      </c>
      <c r="L122" s="277" t="s">
        <v>4779</v>
      </c>
      <c r="M122" s="277" t="s">
        <v>519</v>
      </c>
      <c r="N122" s="277" t="s">
        <v>4784</v>
      </c>
      <c r="O122" s="277">
        <v>524111</v>
      </c>
      <c r="P122" s="277" t="s">
        <v>4702</v>
      </c>
      <c r="Q122" s="221" cm="1">
        <f t="array" ref="Q122">SUM(_xlfn._xlws.FILTER(DIPA2[PaguRevisi],DIPA2[Akun]=SP2D[[#This Row],[Kode Akun]],0))</f>
        <v>0</v>
      </c>
      <c r="R122" s="416">
        <v>12000000</v>
      </c>
      <c r="S122" s="292">
        <f>SUM('PER BULAN'!J200:L200)</f>
        <v>0</v>
      </c>
      <c r="T122" s="292">
        <f>SUM('PER BULAN'!M199:O199)</f>
        <v>0</v>
      </c>
      <c r="U122" s="292">
        <f>SUM('PER BULAN'!P199:R199)</f>
        <v>0</v>
      </c>
      <c r="V122" s="292">
        <f>SUM('PER BULAN'!S199:U199)</f>
        <v>0</v>
      </c>
      <c r="W122" s="292">
        <f>SUM('PER BULAN'!V199:X199)</f>
        <v>0</v>
      </c>
      <c r="X122" s="292">
        <f>SUM('PER BULAN'!Y199:AA199)</f>
        <v>0</v>
      </c>
      <c r="Y122" s="292">
        <f>SUM('PER BULAN'!AB199:AD199)</f>
        <v>0</v>
      </c>
      <c r="Z122" s="292">
        <f>SUM('PER BULAN'!AE199:AG199)</f>
        <v>0</v>
      </c>
      <c r="AA122" s="292">
        <f>SUM('PER BULAN'!AH199:AJ199)</f>
        <v>0</v>
      </c>
      <c r="AB122" s="292">
        <f>SUM('PER BULAN'!AK199:AM199)</f>
        <v>0</v>
      </c>
      <c r="AC122" s="292">
        <f>SUM('PER BULAN'!AN199:AP199)</f>
        <v>0</v>
      </c>
      <c r="AD122" s="292">
        <f>SUM('PER BULAN'!AQ199:AS199)</f>
        <v>0</v>
      </c>
      <c r="AE122" s="277" t="s">
        <v>530</v>
      </c>
      <c r="AF122" s="277" t="s">
        <v>576</v>
      </c>
      <c r="AG122" s="277" t="s">
        <v>546</v>
      </c>
      <c r="AH122" s="277" t="s">
        <v>4699</v>
      </c>
      <c r="AI122" s="277" t="s">
        <v>4700</v>
      </c>
      <c r="AJ122" s="494">
        <f t="shared" si="7"/>
        <v>0</v>
      </c>
      <c r="AK122" s="291">
        <f t="shared" si="8"/>
        <v>0</v>
      </c>
      <c r="AL122" s="494">
        <f t="shared" si="9"/>
        <v>0</v>
      </c>
      <c r="AM122" s="291">
        <f t="shared" si="10"/>
        <v>0</v>
      </c>
      <c r="AN122" s="277" t="str">
        <f t="shared" si="11"/>
        <v>WA.2378.EBD.955.301.E.524111</v>
      </c>
      <c r="AO122" s="277" t="str">
        <f>IF(ISNUMBER(SEARCH("COVID",SP2D[[#This Row],[Akun]])),"COVID","Non COVID")</f>
        <v>Non COVID</v>
      </c>
      <c r="AP12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2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2" s="292">
        <f>SUM('PER BULAN'!BA199)</f>
        <v>0</v>
      </c>
      <c r="AS122" s="292">
        <f>SUM('PER BULAN'!BB199)</f>
        <v>0</v>
      </c>
      <c r="AT122" s="292">
        <f>SUM('PER BULAN'!BC199)</f>
        <v>0</v>
      </c>
      <c r="AU122" s="292">
        <f>SUM('PER BULAN'!BD199)</f>
        <v>0</v>
      </c>
      <c r="AV122" s="292">
        <f>SUM('PER BULAN'!BE199)</f>
        <v>0</v>
      </c>
      <c r="AW122" s="292">
        <f>SUM('PER BULAN'!BF199)</f>
        <v>0</v>
      </c>
      <c r="AX122" s="292">
        <f>SUM('PER BULAN'!BG199)</f>
        <v>0</v>
      </c>
      <c r="AY122" s="292">
        <f>SUM('PER BULAN'!BH199)</f>
        <v>0</v>
      </c>
    </row>
    <row r="123" spans="1:51" s="278" customFormat="1" x14ac:dyDescent="0.3">
      <c r="A123" s="277" t="s">
        <v>4693</v>
      </c>
      <c r="B123" s="277" t="s">
        <v>4694</v>
      </c>
      <c r="C123" s="277" t="s">
        <v>4720</v>
      </c>
      <c r="D123" s="277" t="s">
        <v>4721</v>
      </c>
      <c r="E123" s="277" t="s">
        <v>197</v>
      </c>
      <c r="F123" s="277" t="s">
        <v>4722</v>
      </c>
      <c r="G123" s="277" t="s">
        <v>4767</v>
      </c>
      <c r="H123" s="277" t="s">
        <v>4768</v>
      </c>
      <c r="I123" s="277">
        <v>955</v>
      </c>
      <c r="J123" s="277" t="s">
        <v>4778</v>
      </c>
      <c r="K123" s="277">
        <v>301</v>
      </c>
      <c r="L123" s="277" t="s">
        <v>4779</v>
      </c>
      <c r="M123" s="277" t="s">
        <v>578</v>
      </c>
      <c r="N123" s="277" t="s">
        <v>4785</v>
      </c>
      <c r="O123" s="277">
        <v>521211</v>
      </c>
      <c r="P123" s="277" t="s">
        <v>4698</v>
      </c>
      <c r="Q123" s="221" cm="1">
        <f t="array" ref="Q123">SUM(_xlfn._xlws.FILTER(DIPA2[PaguRevisi],DIPA2[Akun]=SP2D[[#This Row],[Kode Akun]],0))</f>
        <v>4800000</v>
      </c>
      <c r="R123" s="416">
        <v>4800000</v>
      </c>
      <c r="S123" s="292">
        <f>SUM('PER BULAN'!J201:L201)</f>
        <v>0</v>
      </c>
      <c r="T123" s="292">
        <f>SUM('PER BULAN'!M201:O201)</f>
        <v>0</v>
      </c>
      <c r="U123" s="292">
        <f>SUM('PER BULAN'!P201:R201)</f>
        <v>0</v>
      </c>
      <c r="V123" s="292">
        <f>SUM('PER BULAN'!S201:U201)</f>
        <v>0</v>
      </c>
      <c r="W123" s="292">
        <f>SUM('PER BULAN'!V201:X201)</f>
        <v>0</v>
      </c>
      <c r="X123" s="292">
        <f>SUM('PER BULAN'!Y201:AA201)</f>
        <v>0</v>
      </c>
      <c r="Y123" s="292">
        <f>SUM('PER BULAN'!AB201:AD201)</f>
        <v>0</v>
      </c>
      <c r="Z123" s="292">
        <f>SUM('PER BULAN'!AE201:AG201)</f>
        <v>0</v>
      </c>
      <c r="AA123" s="292">
        <f>SUM('PER BULAN'!AH201:AJ201)</f>
        <v>0</v>
      </c>
      <c r="AB123" s="292">
        <f>SUM('PER BULAN'!AK201:AM201)</f>
        <v>0</v>
      </c>
      <c r="AC123" s="292">
        <f>SUM('PER BULAN'!AN201:AP201)</f>
        <v>0</v>
      </c>
      <c r="AD123" s="292">
        <f>SUM('PER BULAN'!AQ201:AS201)</f>
        <v>0</v>
      </c>
      <c r="AE123" s="277" t="s">
        <v>530</v>
      </c>
      <c r="AF123" s="277" t="s">
        <v>576</v>
      </c>
      <c r="AG123" s="277" t="s">
        <v>546</v>
      </c>
      <c r="AH123" s="277" t="s">
        <v>4699</v>
      </c>
      <c r="AI123" s="277" t="s">
        <v>4700</v>
      </c>
      <c r="AJ123" s="494">
        <f t="shared" si="7"/>
        <v>0</v>
      </c>
      <c r="AK123" s="291">
        <f t="shared" si="8"/>
        <v>0</v>
      </c>
      <c r="AL123" s="494">
        <f t="shared" si="9"/>
        <v>4800000</v>
      </c>
      <c r="AM123" s="291">
        <f t="shared" si="10"/>
        <v>100</v>
      </c>
      <c r="AN123" s="277" t="str">
        <f t="shared" si="11"/>
        <v>WA.2378.EBD.955.301.F.521211</v>
      </c>
      <c r="AO123" s="277" t="str">
        <f>IF(ISNUMBER(SEARCH("COVID",SP2D[[#This Row],[Akun]])),"COVID","Non COVID")</f>
        <v>Non COVID</v>
      </c>
      <c r="AP12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2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3" s="292">
        <f>SUM('PER BULAN'!BA201)</f>
        <v>0</v>
      </c>
      <c r="AS123" s="292">
        <f>SUM('PER BULAN'!BB201)</f>
        <v>0</v>
      </c>
      <c r="AT123" s="292">
        <f>SUM('PER BULAN'!BC201)</f>
        <v>0</v>
      </c>
      <c r="AU123" s="292">
        <f>SUM('PER BULAN'!BD201)</f>
        <v>0</v>
      </c>
      <c r="AV123" s="292">
        <f>SUM('PER BULAN'!BE201)</f>
        <v>0</v>
      </c>
      <c r="AW123" s="292">
        <f>SUM('PER BULAN'!BF201)</f>
        <v>0</v>
      </c>
      <c r="AX123" s="292">
        <f>SUM('PER BULAN'!BG201)</f>
        <v>0</v>
      </c>
      <c r="AY123" s="292">
        <f>SUM('PER BULAN'!BH201)</f>
        <v>0</v>
      </c>
    </row>
    <row r="124" spans="1:51" s="278" customFormat="1" x14ac:dyDescent="0.3">
      <c r="A124" s="277" t="s">
        <v>4693</v>
      </c>
      <c r="B124" s="277" t="s">
        <v>4694</v>
      </c>
      <c r="C124" s="277" t="s">
        <v>4720</v>
      </c>
      <c r="D124" s="277" t="s">
        <v>4721</v>
      </c>
      <c r="E124" s="277" t="s">
        <v>197</v>
      </c>
      <c r="F124" s="277" t="s">
        <v>4722</v>
      </c>
      <c r="G124" s="277" t="s">
        <v>4767</v>
      </c>
      <c r="H124" s="277" t="s">
        <v>4768</v>
      </c>
      <c r="I124" s="277">
        <v>955</v>
      </c>
      <c r="J124" s="277" t="s">
        <v>4778</v>
      </c>
      <c r="K124" s="277">
        <v>301</v>
      </c>
      <c r="L124" s="277" t="s">
        <v>4779</v>
      </c>
      <c r="M124" s="277" t="s">
        <v>578</v>
      </c>
      <c r="N124" s="277" t="s">
        <v>4785</v>
      </c>
      <c r="O124" s="277">
        <v>521811</v>
      </c>
      <c r="P124" s="277" t="s">
        <v>4716</v>
      </c>
      <c r="Q124" s="221" cm="1">
        <f t="array" ref="Q124">SUM(_xlfn._xlws.FILTER(DIPA2[PaguRevisi],DIPA2[Akun]=SP2D[[#This Row],[Kode Akun]],0))</f>
        <v>27500000</v>
      </c>
      <c r="R124" s="416">
        <v>27500000</v>
      </c>
      <c r="S124" s="292">
        <f>SUM('PER BULAN'!J202:L202)</f>
        <v>0</v>
      </c>
      <c r="T124" s="292">
        <f>SUM('PER BULAN'!M202:O202)</f>
        <v>0</v>
      </c>
      <c r="U124" s="292">
        <f>SUM('PER BULAN'!P202:R202)</f>
        <v>4980000</v>
      </c>
      <c r="V124" s="292">
        <f>SUM('PER BULAN'!S202:U202)</f>
        <v>2490000</v>
      </c>
      <c r="W124" s="292">
        <f>SUM('PER BULAN'!V202:X202)</f>
        <v>2490000</v>
      </c>
      <c r="X124" s="292">
        <f>SUM('PER BULAN'!Y202:AA202)</f>
        <v>0</v>
      </c>
      <c r="Y124" s="292">
        <f>SUM('PER BULAN'!AB202:AD202)</f>
        <v>0</v>
      </c>
      <c r="Z124" s="292">
        <f>SUM('PER BULAN'!AE202:AG202)</f>
        <v>0</v>
      </c>
      <c r="AA124" s="292">
        <f>SUM('PER BULAN'!AH202:AJ202)</f>
        <v>0</v>
      </c>
      <c r="AB124" s="292">
        <f>SUM('PER BULAN'!AK202:AM202)</f>
        <v>0</v>
      </c>
      <c r="AC124" s="292">
        <f>SUM('PER BULAN'!AN202:AP202)</f>
        <v>0</v>
      </c>
      <c r="AD124" s="292">
        <f>SUM('PER BULAN'!AQ202:AS202)</f>
        <v>0</v>
      </c>
      <c r="AE124" s="277" t="s">
        <v>530</v>
      </c>
      <c r="AF124" s="277" t="s">
        <v>576</v>
      </c>
      <c r="AG124" s="277" t="s">
        <v>546</v>
      </c>
      <c r="AH124" s="277" t="s">
        <v>4699</v>
      </c>
      <c r="AI124" s="277" t="s">
        <v>4700</v>
      </c>
      <c r="AJ124" s="494">
        <f t="shared" si="7"/>
        <v>9960000</v>
      </c>
      <c r="AK124" s="291">
        <f t="shared" si="8"/>
        <v>36.218181818181819</v>
      </c>
      <c r="AL124" s="494">
        <f t="shared" si="9"/>
        <v>17540000</v>
      </c>
      <c r="AM124" s="291">
        <f t="shared" si="10"/>
        <v>63.781818181818181</v>
      </c>
      <c r="AN124" s="277" t="str">
        <f t="shared" si="11"/>
        <v>WA.2378.EBD.955.301.F.521811</v>
      </c>
      <c r="AO124" s="277" t="str">
        <f>IF(ISNUMBER(SEARCH("COVID",SP2D[[#This Row],[Akun]])),"COVID","Non COVID")</f>
        <v>Non COVID</v>
      </c>
      <c r="AP12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12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4" s="292">
        <f>SUM('PER BULAN'!BA202)</f>
        <v>0</v>
      </c>
      <c r="AS124" s="292">
        <f>SUM('PER BULAN'!BB202)</f>
        <v>2490000</v>
      </c>
      <c r="AT124" s="292">
        <f>SUM('PER BULAN'!BC202)</f>
        <v>2490000</v>
      </c>
      <c r="AU124" s="292">
        <f>SUM('PER BULAN'!BD202)</f>
        <v>2490000</v>
      </c>
      <c r="AV124" s="292">
        <f>SUM('PER BULAN'!BE202)</f>
        <v>0</v>
      </c>
      <c r="AW124" s="292">
        <f>SUM('PER BULAN'!BF202)</f>
        <v>0</v>
      </c>
      <c r="AX124" s="292">
        <f>SUM('PER BULAN'!BG202)</f>
        <v>2490000</v>
      </c>
      <c r="AY124" s="292">
        <f>SUM('PER BULAN'!BH202)</f>
        <v>0</v>
      </c>
    </row>
    <row r="125" spans="1:51" s="278" customFormat="1" x14ac:dyDescent="0.3">
      <c r="A125" s="277" t="s">
        <v>4693</v>
      </c>
      <c r="B125" s="277" t="s">
        <v>4694</v>
      </c>
      <c r="C125" s="277" t="s">
        <v>4720</v>
      </c>
      <c r="D125" s="277" t="s">
        <v>4721</v>
      </c>
      <c r="E125" s="277" t="s">
        <v>197</v>
      </c>
      <c r="F125" s="277" t="s">
        <v>4722</v>
      </c>
      <c r="G125" s="277" t="s">
        <v>4767</v>
      </c>
      <c r="H125" s="277" t="s">
        <v>4768</v>
      </c>
      <c r="I125" s="277">
        <v>955</v>
      </c>
      <c r="J125" s="277" t="s">
        <v>4778</v>
      </c>
      <c r="K125" s="277">
        <v>301</v>
      </c>
      <c r="L125" s="277" t="s">
        <v>4779</v>
      </c>
      <c r="M125" s="277" t="s">
        <v>578</v>
      </c>
      <c r="N125" s="277" t="s">
        <v>4785</v>
      </c>
      <c r="O125" s="277">
        <v>524111</v>
      </c>
      <c r="P125" s="277" t="s">
        <v>4702</v>
      </c>
      <c r="Q125" s="221" cm="1">
        <f t="array" ref="Q125">SUM(_xlfn._xlws.FILTER(DIPA2[PaguRevisi],DIPA2[Akun]=SP2D[[#This Row],[Kode Akun]],0))</f>
        <v>76033000</v>
      </c>
      <c r="R125" s="416">
        <v>56380000</v>
      </c>
      <c r="S125" s="292">
        <f>SUM('PER BULAN'!J208:L208)</f>
        <v>0</v>
      </c>
      <c r="T125" s="292">
        <f>SUM('PER BULAN'!M203:O203)</f>
        <v>0</v>
      </c>
      <c r="U125" s="292">
        <f>SUM('PER BULAN'!P203:R203)</f>
        <v>45420000</v>
      </c>
      <c r="V125" s="292">
        <f>SUM('PER BULAN'!S203:U203)</f>
        <v>0</v>
      </c>
      <c r="W125" s="292">
        <f>SUM('PER BULAN'!V203:X203)</f>
        <v>7280000</v>
      </c>
      <c r="X125" s="292">
        <f>SUM('PER BULAN'!Y203:AA203)</f>
        <v>2030000</v>
      </c>
      <c r="Y125" s="292">
        <f>SUM('PER BULAN'!AB203:AD203)</f>
        <v>0</v>
      </c>
      <c r="Z125" s="292">
        <f>SUM('PER BULAN'!AE203:AG203)</f>
        <v>0</v>
      </c>
      <c r="AA125" s="292">
        <f>SUM('PER BULAN'!AH203:AJ203)</f>
        <v>0</v>
      </c>
      <c r="AB125" s="292">
        <f>SUM('PER BULAN'!AK203:AM203)</f>
        <v>0</v>
      </c>
      <c r="AC125" s="292">
        <f>SUM('PER BULAN'!AN203:AP203)</f>
        <v>0</v>
      </c>
      <c r="AD125" s="292">
        <f>SUM('PER BULAN'!AQ203:AS203)</f>
        <v>0</v>
      </c>
      <c r="AE125" s="277" t="s">
        <v>530</v>
      </c>
      <c r="AF125" s="277" t="s">
        <v>576</v>
      </c>
      <c r="AG125" s="277" t="s">
        <v>546</v>
      </c>
      <c r="AH125" s="277" t="s">
        <v>4699</v>
      </c>
      <c r="AI125" s="277" t="s">
        <v>4700</v>
      </c>
      <c r="AJ125" s="494">
        <f t="shared" si="7"/>
        <v>54730000</v>
      </c>
      <c r="AK125" s="291">
        <f t="shared" si="8"/>
        <v>71.981902594925884</v>
      </c>
      <c r="AL125" s="494">
        <f t="shared" si="9"/>
        <v>21303000</v>
      </c>
      <c r="AM125" s="291">
        <f t="shared" si="10"/>
        <v>28.018097405074112</v>
      </c>
      <c r="AN125" s="277" t="str">
        <f t="shared" si="11"/>
        <v>WA.2378.EBD.955.301.F.524111</v>
      </c>
      <c r="AO125" s="277" t="str">
        <f>IF(ISNUMBER(SEARCH("COVID",SP2D[[#This Row],[Akun]])),"COVID","Non COVID")</f>
        <v>Non COVID</v>
      </c>
      <c r="AP12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2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5" s="292">
        <f>SUM('PER BULAN'!BA203)</f>
        <v>0</v>
      </c>
      <c r="AS125" s="292">
        <f>SUM('PER BULAN'!BB203)</f>
        <v>34560000</v>
      </c>
      <c r="AT125" s="292">
        <f>SUM('PER BULAN'!BC203)</f>
        <v>10860000</v>
      </c>
      <c r="AU125" s="292">
        <f>SUM('PER BULAN'!BD203)</f>
        <v>0</v>
      </c>
      <c r="AV125" s="292">
        <f>SUM('PER BULAN'!BE203)</f>
        <v>5600000</v>
      </c>
      <c r="AW125" s="292">
        <f>SUM('PER BULAN'!BF203)</f>
        <v>0</v>
      </c>
      <c r="AX125" s="292">
        <f>SUM('PER BULAN'!BG203)</f>
        <v>1680000</v>
      </c>
      <c r="AY125" s="292">
        <f>SUM('PER BULAN'!BH203)</f>
        <v>2030000</v>
      </c>
    </row>
    <row r="126" spans="1:51" s="278" customFormat="1" x14ac:dyDescent="0.3">
      <c r="A126" s="277" t="s">
        <v>4693</v>
      </c>
      <c r="B126" s="277" t="s">
        <v>4694</v>
      </c>
      <c r="C126" s="277" t="s">
        <v>4720</v>
      </c>
      <c r="D126" s="277" t="s">
        <v>4721</v>
      </c>
      <c r="E126" s="277" t="s">
        <v>198</v>
      </c>
      <c r="F126" s="277" t="s">
        <v>4728</v>
      </c>
      <c r="G126" s="277" t="s">
        <v>4786</v>
      </c>
      <c r="H126" s="277" t="s">
        <v>4787</v>
      </c>
      <c r="I126" s="277">
        <v>996</v>
      </c>
      <c r="J126" s="277" t="s">
        <v>4788</v>
      </c>
      <c r="K126" s="277">
        <v>301</v>
      </c>
      <c r="L126" s="277" t="s">
        <v>4789</v>
      </c>
      <c r="M126" s="277" t="s">
        <v>8</v>
      </c>
      <c r="N126" s="277" t="s">
        <v>4790</v>
      </c>
      <c r="O126" s="277">
        <v>521211</v>
      </c>
      <c r="P126" s="277" t="s">
        <v>4698</v>
      </c>
      <c r="Q126" s="221" cm="1">
        <f t="array" ref="Q126">SUM(_xlfn._xlws.FILTER(DIPA2[PaguRevisi],DIPA2[Akun]=SP2D[[#This Row],[Kode Akun]],0))</f>
        <v>99100000</v>
      </c>
      <c r="R126" s="416">
        <v>99100000</v>
      </c>
      <c r="S126" s="292">
        <f>SUM('PER BULAN'!J209:L209)</f>
        <v>0</v>
      </c>
      <c r="T126" s="292">
        <f>SUM('PER BULAN'!M209:O209)</f>
        <v>0</v>
      </c>
      <c r="U126" s="292">
        <f>SUM('PER BULAN'!P209:R209)</f>
        <v>0</v>
      </c>
      <c r="V126" s="292">
        <f>SUM('PER BULAN'!S209:U209)</f>
        <v>0</v>
      </c>
      <c r="W126" s="292">
        <f>SUM('PER BULAN'!V209:X209)</f>
        <v>0</v>
      </c>
      <c r="X126" s="292">
        <f>SUM('PER BULAN'!Y209:AA209)</f>
        <v>0</v>
      </c>
      <c r="Y126" s="292">
        <f>SUM('PER BULAN'!AB209:AD209)</f>
        <v>0</v>
      </c>
      <c r="Z126" s="292">
        <f>SUM('PER BULAN'!AE209:AG209)</f>
        <v>0</v>
      </c>
      <c r="AA126" s="292">
        <f>SUM('PER BULAN'!AH209:AJ209)</f>
        <v>0</v>
      </c>
      <c r="AB126" s="292">
        <f>SUM('PER BULAN'!AK209:AM209)</f>
        <v>0</v>
      </c>
      <c r="AC126" s="292">
        <f>SUM('PER BULAN'!AN209:AP209)</f>
        <v>0</v>
      </c>
      <c r="AD126" s="292">
        <f>SUM('PER BULAN'!AQ209:AS209)</f>
        <v>0</v>
      </c>
      <c r="AE126" s="277" t="s">
        <v>530</v>
      </c>
      <c r="AF126" s="277" t="s">
        <v>542</v>
      </c>
      <c r="AG126" s="277" t="s">
        <v>543</v>
      </c>
      <c r="AH126" s="277" t="s">
        <v>4699</v>
      </c>
      <c r="AI126" s="277" t="s">
        <v>4700</v>
      </c>
      <c r="AJ126" s="494">
        <f t="shared" si="7"/>
        <v>0</v>
      </c>
      <c r="AK126" s="291">
        <f t="shared" si="8"/>
        <v>0</v>
      </c>
      <c r="AL126" s="494">
        <f t="shared" si="9"/>
        <v>99100000</v>
      </c>
      <c r="AM126" s="291">
        <f t="shared" si="10"/>
        <v>100</v>
      </c>
      <c r="AN126" s="277" t="str">
        <f t="shared" si="11"/>
        <v>WA.4345.EBC.996.301.A.521211</v>
      </c>
      <c r="AO126" s="277" t="str">
        <f>IF(ISNUMBER(SEARCH("COVID",SP2D[[#This Row],[Akun]])),"COVID","Non COVID")</f>
        <v>Non COVID</v>
      </c>
      <c r="AP12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2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6" s="292">
        <f>SUM('PER BULAN'!BA209)</f>
        <v>0</v>
      </c>
      <c r="AS126" s="292">
        <f>SUM('PER BULAN'!BB209)</f>
        <v>0</v>
      </c>
      <c r="AT126" s="292">
        <f>SUM('PER BULAN'!BC209)</f>
        <v>0</v>
      </c>
      <c r="AU126" s="292">
        <f>SUM('PER BULAN'!BD209)</f>
        <v>0</v>
      </c>
      <c r="AV126" s="292">
        <f>SUM('PER BULAN'!BE209)</f>
        <v>0</v>
      </c>
      <c r="AW126" s="292">
        <f>SUM('PER BULAN'!BF209)</f>
        <v>0</v>
      </c>
      <c r="AX126" s="292">
        <f>SUM('PER BULAN'!BG209)</f>
        <v>0</v>
      </c>
      <c r="AY126" s="292">
        <f>SUM('PER BULAN'!BH209)</f>
        <v>0</v>
      </c>
    </row>
    <row r="127" spans="1:51" s="278" customFormat="1" x14ac:dyDescent="0.3">
      <c r="A127" s="277" t="s">
        <v>4693</v>
      </c>
      <c r="B127" s="277" t="s">
        <v>4694</v>
      </c>
      <c r="C127" s="277" t="s">
        <v>4720</v>
      </c>
      <c r="D127" s="277" t="s">
        <v>4721</v>
      </c>
      <c r="E127" s="277" t="s">
        <v>198</v>
      </c>
      <c r="F127" s="277" t="s">
        <v>4728</v>
      </c>
      <c r="G127" s="277" t="s">
        <v>4786</v>
      </c>
      <c r="H127" s="277" t="s">
        <v>4787</v>
      </c>
      <c r="I127" s="277">
        <v>996</v>
      </c>
      <c r="J127" s="277" t="s">
        <v>4788</v>
      </c>
      <c r="K127" s="277">
        <v>301</v>
      </c>
      <c r="L127" s="277" t="s">
        <v>4789</v>
      </c>
      <c r="M127" s="277" t="s">
        <v>8</v>
      </c>
      <c r="N127" s="277" t="s">
        <v>4790</v>
      </c>
      <c r="O127" s="277">
        <v>521219</v>
      </c>
      <c r="P127" s="277" t="s">
        <v>4711</v>
      </c>
      <c r="Q127" s="221" cm="1">
        <f t="array" ref="Q127">SUM(_xlfn._xlws.FILTER(DIPA2[PaguRevisi],DIPA2[Akun]=SP2D[[#This Row],[Kode Akun]],0))</f>
        <v>1333864000</v>
      </c>
      <c r="R127" s="416">
        <v>1333864000</v>
      </c>
      <c r="S127" s="292">
        <f>SUM('PER BULAN'!J210:L210)</f>
        <v>0</v>
      </c>
      <c r="T127" s="292">
        <f>SUM('PER BULAN'!M210:O210)</f>
        <v>0</v>
      </c>
      <c r="U127" s="292">
        <f>SUM('PER BULAN'!P210:R210)</f>
        <v>0</v>
      </c>
      <c r="V127" s="292">
        <f>SUM('PER BULAN'!S210:U210)</f>
        <v>0</v>
      </c>
      <c r="W127" s="292">
        <f>SUM('PER BULAN'!V210:X210)</f>
        <v>0</v>
      </c>
      <c r="X127" s="292">
        <f>SUM('PER BULAN'!Y210:AA210)</f>
        <v>0</v>
      </c>
      <c r="Y127" s="292">
        <f>SUM('PER BULAN'!AB210:AD210)</f>
        <v>0</v>
      </c>
      <c r="Z127" s="292">
        <f>SUM('PER BULAN'!AE210:AG210)</f>
        <v>0</v>
      </c>
      <c r="AA127" s="292">
        <f>SUM('PER BULAN'!AH210:AJ210)</f>
        <v>0</v>
      </c>
      <c r="AB127" s="292">
        <f>SUM('PER BULAN'!AK210:AM210)</f>
        <v>0</v>
      </c>
      <c r="AC127" s="292">
        <f>SUM('PER BULAN'!AN210:AP210)</f>
        <v>0</v>
      </c>
      <c r="AD127" s="292">
        <f>SUM('PER BULAN'!AQ210:AS210)</f>
        <v>0</v>
      </c>
      <c r="AE127" s="277" t="s">
        <v>530</v>
      </c>
      <c r="AF127" s="277" t="s">
        <v>542</v>
      </c>
      <c r="AG127" s="277" t="s">
        <v>543</v>
      </c>
      <c r="AH127" s="277" t="s">
        <v>4699</v>
      </c>
      <c r="AI127" s="277" t="s">
        <v>4700</v>
      </c>
      <c r="AJ127" s="494">
        <f t="shared" ref="AJ127:AJ143" si="12">SUM(S127:AD127)</f>
        <v>0</v>
      </c>
      <c r="AK127" s="291">
        <f t="shared" si="8"/>
        <v>0</v>
      </c>
      <c r="AL127" s="494">
        <f t="shared" ref="AL127:AL143" si="13">Q127-AJ127</f>
        <v>1333864000</v>
      </c>
      <c r="AM127" s="291">
        <f t="shared" si="10"/>
        <v>100</v>
      </c>
      <c r="AN127" s="277" t="str">
        <f t="shared" si="11"/>
        <v>WA.4345.EBC.996.301.A.521219</v>
      </c>
      <c r="AO127" s="277" t="str">
        <f>IF(ISNUMBER(SEARCH("COVID",SP2D[[#This Row],[Akun]])),"COVID","Non COVID")</f>
        <v>Non COVID</v>
      </c>
      <c r="AP12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2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7" s="292">
        <f>SUM('PER BULAN'!BA210)</f>
        <v>0</v>
      </c>
      <c r="AS127" s="292">
        <f>SUM('PER BULAN'!BB210)</f>
        <v>0</v>
      </c>
      <c r="AT127" s="292">
        <f>SUM('PER BULAN'!BC210)</f>
        <v>0</v>
      </c>
      <c r="AU127" s="292">
        <f>SUM('PER BULAN'!BD210)</f>
        <v>0</v>
      </c>
      <c r="AV127" s="292">
        <f>SUM('PER BULAN'!BE210)</f>
        <v>0</v>
      </c>
      <c r="AW127" s="292">
        <f>SUM('PER BULAN'!BF210)</f>
        <v>0</v>
      </c>
      <c r="AX127" s="292">
        <f>SUM('PER BULAN'!BG210)</f>
        <v>0</v>
      </c>
      <c r="AY127" s="292">
        <f>SUM('PER BULAN'!BH210)</f>
        <v>0</v>
      </c>
    </row>
    <row r="128" spans="1:51" s="278" customFormat="1" x14ac:dyDescent="0.3">
      <c r="A128" s="277" t="s">
        <v>4693</v>
      </c>
      <c r="B128" s="277" t="s">
        <v>4694</v>
      </c>
      <c r="C128" s="277" t="s">
        <v>4720</v>
      </c>
      <c r="D128" s="277" t="s">
        <v>4721</v>
      </c>
      <c r="E128" s="277" t="s">
        <v>198</v>
      </c>
      <c r="F128" s="277" t="s">
        <v>4728</v>
      </c>
      <c r="G128" s="277" t="s">
        <v>4786</v>
      </c>
      <c r="H128" s="277" t="s">
        <v>4787</v>
      </c>
      <c r="I128" s="277">
        <v>996</v>
      </c>
      <c r="J128" s="277" t="s">
        <v>4788</v>
      </c>
      <c r="K128" s="277">
        <v>301</v>
      </c>
      <c r="L128" s="277" t="s">
        <v>4789</v>
      </c>
      <c r="M128" s="277" t="s">
        <v>8</v>
      </c>
      <c r="N128" s="277" t="s">
        <v>4790</v>
      </c>
      <c r="O128" s="277">
        <v>521811</v>
      </c>
      <c r="P128" s="277" t="s">
        <v>4716</v>
      </c>
      <c r="Q128" s="221" cm="1">
        <f t="array" ref="Q128">SUM(_xlfn._xlws.FILTER(DIPA2[PaguRevisi],DIPA2[Akun]=SP2D[[#This Row],[Kode Akun]],0))</f>
        <v>25000000</v>
      </c>
      <c r="R128" s="416">
        <v>25000000</v>
      </c>
      <c r="S128" s="292">
        <f>SUM('PER BULAN'!J211:L211)</f>
        <v>0</v>
      </c>
      <c r="T128" s="292">
        <f>SUM('PER BULAN'!M211:O211)</f>
        <v>0</v>
      </c>
      <c r="U128" s="292">
        <f>SUM('PER BULAN'!P211:R211)</f>
        <v>0</v>
      </c>
      <c r="V128" s="292">
        <f>SUM('PER BULAN'!S211:U211)</f>
        <v>0</v>
      </c>
      <c r="W128" s="292">
        <f>SUM('PER BULAN'!V211:X211)</f>
        <v>4855000</v>
      </c>
      <c r="X128" s="292">
        <f>SUM('PER BULAN'!Y211:AA211)</f>
        <v>0</v>
      </c>
      <c r="Y128" s="292">
        <f>SUM('PER BULAN'!AB211:AD211)</f>
        <v>0</v>
      </c>
      <c r="Z128" s="292">
        <f>SUM('PER BULAN'!AE211:AG211)</f>
        <v>0</v>
      </c>
      <c r="AA128" s="292">
        <f>SUM('PER BULAN'!AH211:AJ211)</f>
        <v>0</v>
      </c>
      <c r="AB128" s="292">
        <f>SUM('PER BULAN'!AK211:AM211)</f>
        <v>0</v>
      </c>
      <c r="AC128" s="292">
        <f>SUM('PER BULAN'!AN211:AP211)</f>
        <v>0</v>
      </c>
      <c r="AD128" s="292">
        <f>SUM('PER BULAN'!AQ211:AS211)</f>
        <v>0</v>
      </c>
      <c r="AE128" s="277" t="s">
        <v>530</v>
      </c>
      <c r="AF128" s="277" t="s">
        <v>542</v>
      </c>
      <c r="AG128" s="277" t="s">
        <v>543</v>
      </c>
      <c r="AH128" s="277" t="s">
        <v>4699</v>
      </c>
      <c r="AI128" s="277" t="s">
        <v>4700</v>
      </c>
      <c r="AJ128" s="494">
        <f t="shared" si="12"/>
        <v>4855000</v>
      </c>
      <c r="AK128" s="291">
        <f t="shared" si="8"/>
        <v>19.420000000000002</v>
      </c>
      <c r="AL128" s="494">
        <f t="shared" si="13"/>
        <v>20145000</v>
      </c>
      <c r="AM128" s="291">
        <f t="shared" si="10"/>
        <v>80.58</v>
      </c>
      <c r="AN128" s="277" t="str">
        <f t="shared" si="11"/>
        <v>WA.4345.EBC.996.301.A.521811</v>
      </c>
      <c r="AO128" s="277" t="str">
        <f>IF(ISNUMBER(SEARCH("COVID",SP2D[[#This Row],[Akun]])),"COVID","Non COVID")</f>
        <v>Non COVID</v>
      </c>
      <c r="AP12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12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8" s="292">
        <f>SUM('PER BULAN'!BA211)</f>
        <v>0</v>
      </c>
      <c r="AS128" s="292">
        <f>SUM('PER BULAN'!BB211)</f>
        <v>0</v>
      </c>
      <c r="AT128" s="292">
        <f>SUM('PER BULAN'!BC211)</f>
        <v>0</v>
      </c>
      <c r="AU128" s="292">
        <f>SUM('PER BULAN'!BD211)</f>
        <v>0</v>
      </c>
      <c r="AV128" s="292">
        <f>SUM('PER BULAN'!BE211)</f>
        <v>0</v>
      </c>
      <c r="AW128" s="292">
        <f>SUM('PER BULAN'!BF211)</f>
        <v>0</v>
      </c>
      <c r="AX128" s="292">
        <f>SUM('PER BULAN'!BG211)</f>
        <v>4855000</v>
      </c>
      <c r="AY128" s="292">
        <f>SUM('PER BULAN'!BH211)</f>
        <v>0</v>
      </c>
    </row>
    <row r="129" spans="1:51" s="278" customFormat="1" x14ac:dyDescent="0.3">
      <c r="A129" s="277" t="s">
        <v>4693</v>
      </c>
      <c r="B129" s="277" t="s">
        <v>4694</v>
      </c>
      <c r="C129" s="277" t="s">
        <v>4720</v>
      </c>
      <c r="D129" s="277" t="s">
        <v>4721</v>
      </c>
      <c r="E129" s="277" t="s">
        <v>198</v>
      </c>
      <c r="F129" s="277" t="s">
        <v>4728</v>
      </c>
      <c r="G129" s="277" t="s">
        <v>4786</v>
      </c>
      <c r="H129" s="277" t="s">
        <v>4787</v>
      </c>
      <c r="I129" s="277">
        <v>996</v>
      </c>
      <c r="J129" s="277" t="s">
        <v>4788</v>
      </c>
      <c r="K129" s="277">
        <v>301</v>
      </c>
      <c r="L129" s="277" t="s">
        <v>4789</v>
      </c>
      <c r="M129" s="277" t="s">
        <v>8</v>
      </c>
      <c r="N129" s="277" t="s">
        <v>4790</v>
      </c>
      <c r="O129" s="277">
        <v>522151</v>
      </c>
      <c r="P129" s="277" t="s">
        <v>4701</v>
      </c>
      <c r="Q129" s="221" cm="1">
        <f t="array" ref="Q129">SUM(_xlfn._xlws.FILTER(DIPA2[PaguRevisi],DIPA2[Akun]=SP2D[[#This Row],[Kode Akun]],0))</f>
        <v>15000000</v>
      </c>
      <c r="R129" s="416">
        <v>15000000</v>
      </c>
      <c r="S129" s="292">
        <f>SUM('PER BULAN'!J212:L212)</f>
        <v>0</v>
      </c>
      <c r="T129" s="292">
        <f>SUM('PER BULAN'!M212:O212)</f>
        <v>0</v>
      </c>
      <c r="U129" s="292">
        <f>SUM('PER BULAN'!P212:R212)</f>
        <v>0</v>
      </c>
      <c r="V129" s="292">
        <f>SUM('PER BULAN'!S212:U212)</f>
        <v>0</v>
      </c>
      <c r="W129" s="292">
        <f>SUM('PER BULAN'!V212:X212)</f>
        <v>0</v>
      </c>
      <c r="X129" s="292">
        <f>SUM('PER BULAN'!Y212:AA212)</f>
        <v>0</v>
      </c>
      <c r="Y129" s="292">
        <f>SUM('PER BULAN'!AB212:AD212)</f>
        <v>0</v>
      </c>
      <c r="Z129" s="292">
        <f>SUM('PER BULAN'!AE212:AG212)</f>
        <v>0</v>
      </c>
      <c r="AA129" s="292">
        <f>SUM('PER BULAN'!AH212:AJ212)</f>
        <v>0</v>
      </c>
      <c r="AB129" s="292">
        <f>SUM('PER BULAN'!AK212:AM212)</f>
        <v>0</v>
      </c>
      <c r="AC129" s="292">
        <f>SUM('PER BULAN'!AN212:AP212)</f>
        <v>0</v>
      </c>
      <c r="AD129" s="292">
        <f>SUM('PER BULAN'!AQ212:AS212)</f>
        <v>0</v>
      </c>
      <c r="AE129" s="277" t="s">
        <v>530</v>
      </c>
      <c r="AF129" s="277" t="s">
        <v>542</v>
      </c>
      <c r="AG129" s="277" t="s">
        <v>543</v>
      </c>
      <c r="AH129" s="277" t="s">
        <v>4699</v>
      </c>
      <c r="AI129" s="277" t="s">
        <v>4700</v>
      </c>
      <c r="AJ129" s="494">
        <f t="shared" si="12"/>
        <v>0</v>
      </c>
      <c r="AK129" s="291">
        <f t="shared" si="8"/>
        <v>0</v>
      </c>
      <c r="AL129" s="494">
        <f t="shared" si="13"/>
        <v>15000000</v>
      </c>
      <c r="AM129" s="291">
        <f t="shared" si="10"/>
        <v>100</v>
      </c>
      <c r="AN129" s="277" t="str">
        <f t="shared" si="11"/>
        <v>WA.4345.EBC.996.301.A.522151</v>
      </c>
      <c r="AO129" s="277" t="str">
        <f>IF(ISNUMBER(SEARCH("COVID",SP2D[[#This Row],[Akun]])),"COVID","Non COVID")</f>
        <v>Non COVID</v>
      </c>
      <c r="AP12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2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29" s="292">
        <f>SUM('PER BULAN'!BA212)</f>
        <v>0</v>
      </c>
      <c r="AS129" s="292">
        <f>SUM('PER BULAN'!BB212)</f>
        <v>0</v>
      </c>
      <c r="AT129" s="292">
        <f>SUM('PER BULAN'!BC212)</f>
        <v>0</v>
      </c>
      <c r="AU129" s="292">
        <f>SUM('PER BULAN'!BD212)</f>
        <v>0</v>
      </c>
      <c r="AV129" s="292">
        <f>SUM('PER BULAN'!BE212)</f>
        <v>0</v>
      </c>
      <c r="AW129" s="292">
        <f>SUM('PER BULAN'!BF212)</f>
        <v>0</v>
      </c>
      <c r="AX129" s="292">
        <f>SUM('PER BULAN'!BG212)</f>
        <v>0</v>
      </c>
      <c r="AY129" s="292">
        <f>SUM('PER BULAN'!BH212)</f>
        <v>0</v>
      </c>
    </row>
    <row r="130" spans="1:51" s="278" customFormat="1" x14ac:dyDescent="0.3">
      <c r="A130" s="277" t="s">
        <v>4693</v>
      </c>
      <c r="B130" s="277" t="s">
        <v>4694</v>
      </c>
      <c r="C130" s="277" t="s">
        <v>4720</v>
      </c>
      <c r="D130" s="277" t="s">
        <v>4721</v>
      </c>
      <c r="E130" s="277" t="s">
        <v>198</v>
      </c>
      <c r="F130" s="277" t="s">
        <v>4728</v>
      </c>
      <c r="G130" s="277" t="s">
        <v>4786</v>
      </c>
      <c r="H130" s="277" t="s">
        <v>4787</v>
      </c>
      <c r="I130" s="277">
        <v>996</v>
      </c>
      <c r="J130" s="277" t="s">
        <v>4788</v>
      </c>
      <c r="K130" s="277">
        <v>301</v>
      </c>
      <c r="L130" s="277" t="s">
        <v>4789</v>
      </c>
      <c r="M130" s="277" t="s">
        <v>8</v>
      </c>
      <c r="N130" s="277" t="s">
        <v>4790</v>
      </c>
      <c r="O130" s="277">
        <v>522191</v>
      </c>
      <c r="P130" s="277" t="s">
        <v>4791</v>
      </c>
      <c r="Q130" s="221" cm="1">
        <f t="array" ref="Q130">SUM(_xlfn._xlws.FILTER(DIPA2[PaguRevisi],DIPA2[Akun]=SP2D[[#This Row],[Kode Akun]],0))</f>
        <v>102600000</v>
      </c>
      <c r="R130" s="416">
        <v>102600000</v>
      </c>
      <c r="S130" s="292">
        <f>SUM('PER BULAN'!J213:L213)</f>
        <v>0</v>
      </c>
      <c r="T130" s="292">
        <f>SUM('PER BULAN'!M213:O213)</f>
        <v>0</v>
      </c>
      <c r="U130" s="292">
        <f>SUM('PER BULAN'!P213:R213)</f>
        <v>0</v>
      </c>
      <c r="V130" s="292">
        <f>SUM('PER BULAN'!S213:U213)</f>
        <v>0</v>
      </c>
      <c r="W130" s="292">
        <f>SUM('PER BULAN'!V213:X213)</f>
        <v>0</v>
      </c>
      <c r="X130" s="292">
        <f>SUM('PER BULAN'!Y213:AA213)</f>
        <v>0</v>
      </c>
      <c r="Y130" s="292">
        <f>SUM('PER BULAN'!AB213:AD213)</f>
        <v>0</v>
      </c>
      <c r="Z130" s="292">
        <f>SUM('PER BULAN'!AE213:AG213)</f>
        <v>0</v>
      </c>
      <c r="AA130" s="292">
        <f>SUM('PER BULAN'!AH213:AJ213)</f>
        <v>0</v>
      </c>
      <c r="AB130" s="292">
        <f>SUM('PER BULAN'!AK213:AM213)</f>
        <v>0</v>
      </c>
      <c r="AC130" s="292">
        <f>SUM('PER BULAN'!AN213:AP213)</f>
        <v>0</v>
      </c>
      <c r="AD130" s="292">
        <f>SUM('PER BULAN'!AQ213:AS213)</f>
        <v>0</v>
      </c>
      <c r="AE130" s="277" t="s">
        <v>530</v>
      </c>
      <c r="AF130" s="277" t="s">
        <v>542</v>
      </c>
      <c r="AG130" s="277" t="s">
        <v>543</v>
      </c>
      <c r="AH130" s="277" t="s">
        <v>4699</v>
      </c>
      <c r="AI130" s="277" t="s">
        <v>4700</v>
      </c>
      <c r="AJ130" s="494">
        <f t="shared" si="12"/>
        <v>0</v>
      </c>
      <c r="AK130" s="291">
        <f t="shared" si="8"/>
        <v>0</v>
      </c>
      <c r="AL130" s="494">
        <f t="shared" si="13"/>
        <v>102600000</v>
      </c>
      <c r="AM130" s="291">
        <f t="shared" si="10"/>
        <v>100</v>
      </c>
      <c r="AN130" s="277" t="str">
        <f t="shared" si="11"/>
        <v>WA.4345.EBC.996.301.A.522191</v>
      </c>
      <c r="AO130" s="277" t="str">
        <f>IF(ISNUMBER(SEARCH("COVID",SP2D[[#This Row],[Akun]])),"COVID","Non COVID")</f>
        <v>Non COVID</v>
      </c>
      <c r="AP13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3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0" s="292">
        <f>SUM('PER BULAN'!BA213)</f>
        <v>0</v>
      </c>
      <c r="AS130" s="292">
        <f>SUM('PER BULAN'!BB213)</f>
        <v>0</v>
      </c>
      <c r="AT130" s="292">
        <f>SUM('PER BULAN'!BC213)</f>
        <v>0</v>
      </c>
      <c r="AU130" s="292">
        <f>SUM('PER BULAN'!BD213)</f>
        <v>0</v>
      </c>
      <c r="AV130" s="292">
        <f>SUM('PER BULAN'!BE213)</f>
        <v>0</v>
      </c>
      <c r="AW130" s="292">
        <f>SUM('PER BULAN'!BF213)</f>
        <v>0</v>
      </c>
      <c r="AX130" s="292">
        <f>SUM('PER BULAN'!BG213)</f>
        <v>0</v>
      </c>
      <c r="AY130" s="292">
        <f>SUM('PER BULAN'!BH213)</f>
        <v>0</v>
      </c>
    </row>
    <row r="131" spans="1:51" s="278" customFormat="1" x14ac:dyDescent="0.3">
      <c r="A131" s="277" t="s">
        <v>4693</v>
      </c>
      <c r="B131" s="277" t="s">
        <v>4694</v>
      </c>
      <c r="C131" s="277" t="s">
        <v>4720</v>
      </c>
      <c r="D131" s="277" t="s">
        <v>4721</v>
      </c>
      <c r="E131" s="277" t="s">
        <v>198</v>
      </c>
      <c r="F131" s="277" t="s">
        <v>4728</v>
      </c>
      <c r="G131" s="277" t="s">
        <v>4786</v>
      </c>
      <c r="H131" s="277" t="s">
        <v>4787</v>
      </c>
      <c r="I131" s="277">
        <v>996</v>
      </c>
      <c r="J131" s="277" t="s">
        <v>4788</v>
      </c>
      <c r="K131" s="277">
        <v>301</v>
      </c>
      <c r="L131" s="277" t="s">
        <v>4789</v>
      </c>
      <c r="M131" s="277" t="s">
        <v>8</v>
      </c>
      <c r="N131" s="277" t="s">
        <v>4790</v>
      </c>
      <c r="O131" s="277">
        <v>524111</v>
      </c>
      <c r="P131" s="277" t="s">
        <v>4702</v>
      </c>
      <c r="Q131" s="221" cm="1">
        <f t="array" ref="Q131">SUM(_xlfn._xlws.FILTER(DIPA2[PaguRevisi],DIPA2[Akun]=SP2D[[#This Row],[Kode Akun]],0))</f>
        <v>138000000</v>
      </c>
      <c r="R131" s="416">
        <v>138000000</v>
      </c>
      <c r="S131" s="292">
        <f>SUM('PER BULAN'!J215:L215)</f>
        <v>0</v>
      </c>
      <c r="T131" s="292">
        <f>SUM('PER BULAN'!M214:O214)</f>
        <v>0</v>
      </c>
      <c r="U131" s="292">
        <f>SUM('PER BULAN'!P214:R214)</f>
        <v>0</v>
      </c>
      <c r="V131" s="292">
        <f>SUM('PER BULAN'!S214:U214)</f>
        <v>5900000</v>
      </c>
      <c r="W131" s="292">
        <f>SUM('PER BULAN'!V214:X214)</f>
        <v>0</v>
      </c>
      <c r="X131" s="292">
        <f>SUM('PER BULAN'!Y214:AA214)</f>
        <v>14635000</v>
      </c>
      <c r="Y131" s="292">
        <f>SUM('PER BULAN'!AB214:AD214)</f>
        <v>0</v>
      </c>
      <c r="Z131" s="292">
        <f>SUM('PER BULAN'!AE214:AG214)</f>
        <v>0</v>
      </c>
      <c r="AA131" s="292">
        <f>SUM('PER BULAN'!AH214:AJ214)</f>
        <v>0</v>
      </c>
      <c r="AB131" s="292">
        <f>SUM('PER BULAN'!AK214:AM214)</f>
        <v>0</v>
      </c>
      <c r="AC131" s="292">
        <f>SUM('PER BULAN'!AN214:AP214)</f>
        <v>0</v>
      </c>
      <c r="AD131" s="292">
        <f>SUM('PER BULAN'!AQ214:AS214)</f>
        <v>0</v>
      </c>
      <c r="AE131" s="277" t="s">
        <v>530</v>
      </c>
      <c r="AF131" s="277" t="s">
        <v>542</v>
      </c>
      <c r="AG131" s="277" t="s">
        <v>543</v>
      </c>
      <c r="AH131" s="277" t="s">
        <v>4699</v>
      </c>
      <c r="AI131" s="277" t="s">
        <v>4700</v>
      </c>
      <c r="AJ131" s="494">
        <f t="shared" si="12"/>
        <v>20535000</v>
      </c>
      <c r="AK131" s="291">
        <f t="shared" si="8"/>
        <v>14.880434782608695</v>
      </c>
      <c r="AL131" s="494">
        <f t="shared" si="13"/>
        <v>117465000</v>
      </c>
      <c r="AM131" s="291">
        <f t="shared" si="10"/>
        <v>85.119565217391298</v>
      </c>
      <c r="AN131" s="277" t="str">
        <f t="shared" si="11"/>
        <v>WA.4345.EBC.996.301.A.524111</v>
      </c>
      <c r="AO131" s="277" t="str">
        <f>IF(ISNUMBER(SEARCH("COVID",SP2D[[#This Row],[Akun]])),"COVID","Non COVID")</f>
        <v>Non COVID</v>
      </c>
      <c r="AP13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3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1" s="292">
        <f>SUM('PER BULAN'!BA214)</f>
        <v>0</v>
      </c>
      <c r="AS131" s="292">
        <f>SUM('PER BULAN'!BB214)</f>
        <v>0</v>
      </c>
      <c r="AT131" s="292">
        <f>SUM('PER BULAN'!BC214)</f>
        <v>0</v>
      </c>
      <c r="AU131" s="292">
        <f>SUM('PER BULAN'!BD214)</f>
        <v>0</v>
      </c>
      <c r="AV131" s="292">
        <f>SUM('PER BULAN'!BE214)</f>
        <v>0</v>
      </c>
      <c r="AW131" s="292">
        <f>SUM('PER BULAN'!BF214)</f>
        <v>0</v>
      </c>
      <c r="AX131" s="292">
        <f>SUM('PER BULAN'!BG214)</f>
        <v>0</v>
      </c>
      <c r="AY131" s="292">
        <f>SUM('PER BULAN'!BH214)</f>
        <v>0</v>
      </c>
    </row>
    <row r="132" spans="1:51" s="278" customFormat="1" x14ac:dyDescent="0.3">
      <c r="A132" s="277" t="s">
        <v>4693</v>
      </c>
      <c r="B132" s="277" t="s">
        <v>4694</v>
      </c>
      <c r="C132" s="277" t="s">
        <v>4720</v>
      </c>
      <c r="D132" s="277" t="s">
        <v>4721</v>
      </c>
      <c r="E132" s="277" t="s">
        <v>198</v>
      </c>
      <c r="F132" s="277" t="s">
        <v>4728</v>
      </c>
      <c r="G132" s="277" t="s">
        <v>4786</v>
      </c>
      <c r="H132" s="277" t="s">
        <v>4787</v>
      </c>
      <c r="I132" s="277">
        <v>996</v>
      </c>
      <c r="J132" s="277" t="s">
        <v>4788</v>
      </c>
      <c r="K132" s="277">
        <v>301</v>
      </c>
      <c r="L132" s="277" t="s">
        <v>4789</v>
      </c>
      <c r="M132" s="277" t="s">
        <v>511</v>
      </c>
      <c r="N132" s="277" t="s">
        <v>4792</v>
      </c>
      <c r="O132" s="277">
        <v>521211</v>
      </c>
      <c r="P132" s="277" t="s">
        <v>4698</v>
      </c>
      <c r="Q132" s="221" cm="1">
        <f t="array" ref="Q132">SUM(_xlfn._xlws.FILTER(DIPA2[PaguRevisi],DIPA2[Akun]=SP2D[[#This Row],[Kode Akun]],0))</f>
        <v>25000000</v>
      </c>
      <c r="R132" s="416">
        <v>25000000</v>
      </c>
      <c r="S132" s="292">
        <f>SUM('PER BULAN'!J216:L216)</f>
        <v>0</v>
      </c>
      <c r="T132" s="292">
        <f>SUM('PER BULAN'!M216:O216)</f>
        <v>0</v>
      </c>
      <c r="U132" s="292">
        <f>SUM('PER BULAN'!P216:R216)</f>
        <v>0</v>
      </c>
      <c r="V132" s="292">
        <f>SUM('PER BULAN'!S216:U216)</f>
        <v>0</v>
      </c>
      <c r="W132" s="292">
        <f>SUM('PER BULAN'!V216:X216)</f>
        <v>1475000</v>
      </c>
      <c r="X132" s="292">
        <f>SUM('PER BULAN'!Y216:AA216)</f>
        <v>1442500</v>
      </c>
      <c r="Y132" s="292">
        <f>SUM('PER BULAN'!AB216:AD216)</f>
        <v>0</v>
      </c>
      <c r="Z132" s="292">
        <f>SUM('PER BULAN'!AE216:AG216)</f>
        <v>0</v>
      </c>
      <c r="AA132" s="292">
        <f>SUM('PER BULAN'!AH216:AJ216)</f>
        <v>0</v>
      </c>
      <c r="AB132" s="292">
        <f>SUM('PER BULAN'!AK216:AM216)</f>
        <v>0</v>
      </c>
      <c r="AC132" s="292">
        <f>SUM('PER BULAN'!AN216:AP216)</f>
        <v>0</v>
      </c>
      <c r="AD132" s="292">
        <f>SUM('PER BULAN'!AQ216:AS216)</f>
        <v>0</v>
      </c>
      <c r="AE132" s="277" t="s">
        <v>530</v>
      </c>
      <c r="AF132" s="277" t="s">
        <v>542</v>
      </c>
      <c r="AG132" s="277" t="s">
        <v>543</v>
      </c>
      <c r="AH132" s="277" t="s">
        <v>4699</v>
      </c>
      <c r="AI132" s="277" t="s">
        <v>4700</v>
      </c>
      <c r="AJ132" s="494">
        <f t="shared" si="12"/>
        <v>2917500</v>
      </c>
      <c r="AK132" s="291">
        <f t="shared" si="8"/>
        <v>11.67</v>
      </c>
      <c r="AL132" s="494">
        <f t="shared" si="13"/>
        <v>22082500</v>
      </c>
      <c r="AM132" s="291">
        <f t="shared" si="10"/>
        <v>88.33</v>
      </c>
      <c r="AN132" s="277" t="str">
        <f t="shared" si="11"/>
        <v>WA.4345.EBC.996.301.B.521211</v>
      </c>
      <c r="AO132" s="277" t="str">
        <f>IF(ISNUMBER(SEARCH("COVID",SP2D[[#This Row],[Akun]])),"COVID","Non COVID")</f>
        <v>Non COVID</v>
      </c>
      <c r="AP13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3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2" s="292">
        <f>SUM('PER BULAN'!BA216)</f>
        <v>0</v>
      </c>
      <c r="AS132" s="292">
        <f>SUM('PER BULAN'!BB216)</f>
        <v>0</v>
      </c>
      <c r="AT132" s="292">
        <f>SUM('PER BULAN'!BC216)</f>
        <v>0</v>
      </c>
      <c r="AU132" s="292">
        <f>SUM('PER BULAN'!BD216)</f>
        <v>0</v>
      </c>
      <c r="AV132" s="292">
        <f>SUM('PER BULAN'!BE216)</f>
        <v>0</v>
      </c>
      <c r="AW132" s="292">
        <f>SUM('PER BULAN'!BF216)</f>
        <v>0</v>
      </c>
      <c r="AX132" s="292">
        <f>SUM('PER BULAN'!BG216)</f>
        <v>1475000</v>
      </c>
      <c r="AY132" s="292">
        <f>SUM('PER BULAN'!BH216)</f>
        <v>1442500</v>
      </c>
    </row>
    <row r="133" spans="1:51" s="278" customFormat="1" x14ac:dyDescent="0.3">
      <c r="A133" s="277" t="s">
        <v>4693</v>
      </c>
      <c r="B133" s="277" t="s">
        <v>4694</v>
      </c>
      <c r="C133" s="277" t="s">
        <v>4720</v>
      </c>
      <c r="D133" s="277" t="s">
        <v>4721</v>
      </c>
      <c r="E133" s="277" t="s">
        <v>198</v>
      </c>
      <c r="F133" s="277" t="s">
        <v>4728</v>
      </c>
      <c r="G133" s="277" t="s">
        <v>4786</v>
      </c>
      <c r="H133" s="277" t="s">
        <v>4787</v>
      </c>
      <c r="I133" s="277">
        <v>996</v>
      </c>
      <c r="J133" s="277" t="s">
        <v>4788</v>
      </c>
      <c r="K133" s="277">
        <v>301</v>
      </c>
      <c r="L133" s="277" t="s">
        <v>4789</v>
      </c>
      <c r="M133" s="277" t="s">
        <v>511</v>
      </c>
      <c r="N133" s="277" t="s">
        <v>4792</v>
      </c>
      <c r="O133" s="277">
        <v>521219</v>
      </c>
      <c r="P133" s="277" t="s">
        <v>4711</v>
      </c>
      <c r="Q133" s="221" cm="1">
        <f t="array" ref="Q133">SUM(_xlfn._xlws.FILTER(DIPA2[PaguRevisi],DIPA2[Akun]=SP2D[[#This Row],[Kode Akun]],0))</f>
        <v>3808695000</v>
      </c>
      <c r="R133" s="416">
        <v>6308695000</v>
      </c>
      <c r="S133" s="292">
        <f>SUM('PER BULAN'!J217:L217)</f>
        <v>0</v>
      </c>
      <c r="T133" s="292">
        <f>SUM('PER BULAN'!M217:O217)</f>
        <v>0</v>
      </c>
      <c r="U133" s="292">
        <f>SUM('PER BULAN'!P217:R217)</f>
        <v>0</v>
      </c>
      <c r="V133" s="292">
        <f>SUM('PER BULAN'!S217:U217)</f>
        <v>1549795356</v>
      </c>
      <c r="W133" s="292">
        <f>SUM('PER BULAN'!V217:X217)</f>
        <v>0</v>
      </c>
      <c r="X133" s="292">
        <f>SUM('PER BULAN'!Y217:AA217)</f>
        <v>1843270850</v>
      </c>
      <c r="Y133" s="292">
        <f>SUM('PER BULAN'!AB217:AD217)</f>
        <v>0</v>
      </c>
      <c r="Z133" s="292">
        <f>SUM('PER BULAN'!AE217:AG217)</f>
        <v>0</v>
      </c>
      <c r="AA133" s="292">
        <f>SUM('PER BULAN'!AH217:AJ217)</f>
        <v>0</v>
      </c>
      <c r="AB133" s="292">
        <f>SUM('PER BULAN'!AK217:AM217)</f>
        <v>0</v>
      </c>
      <c r="AC133" s="292">
        <f>SUM('PER BULAN'!AN217:AP217)</f>
        <v>0</v>
      </c>
      <c r="AD133" s="292">
        <f>SUM('PER BULAN'!AQ217:AS217)</f>
        <v>0</v>
      </c>
      <c r="AE133" s="277" t="s">
        <v>530</v>
      </c>
      <c r="AF133" s="277" t="s">
        <v>542</v>
      </c>
      <c r="AG133" s="277" t="s">
        <v>543</v>
      </c>
      <c r="AH133" s="277" t="s">
        <v>4699</v>
      </c>
      <c r="AI133" s="277" t="s">
        <v>4700</v>
      </c>
      <c r="AJ133" s="494">
        <f t="shared" si="12"/>
        <v>3393066206</v>
      </c>
      <c r="AK133" s="291">
        <f t="shared" ref="AK133:AK143" si="14">IFERROR(AJ133/Q133*100,0)</f>
        <v>89.087369978430928</v>
      </c>
      <c r="AL133" s="494">
        <f t="shared" si="13"/>
        <v>415628794</v>
      </c>
      <c r="AM133" s="291">
        <f t="shared" ref="AM133:AM143" si="15">IFERROR(AL133/Q133*100,0)</f>
        <v>10.912630021569068</v>
      </c>
      <c r="AN133" s="277" t="str">
        <f t="shared" ref="AN133:AN143" si="16">_xlfn.TEXTJOIN(".",TRUE,C133,E133,G133,I133,K133,M133,O133)</f>
        <v>WA.4345.EBC.996.301.B.521219</v>
      </c>
      <c r="AO133" s="277" t="str">
        <f>IF(ISNUMBER(SEARCH("COVID",SP2D[[#This Row],[Akun]])),"COVID","Non COVID")</f>
        <v>Non COVID</v>
      </c>
      <c r="AP13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3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3" s="292">
        <f>SUM('PER BULAN'!BA217)</f>
        <v>0</v>
      </c>
      <c r="AS133" s="292">
        <f>SUM('PER BULAN'!BB217)</f>
        <v>0</v>
      </c>
      <c r="AT133" s="292">
        <f>SUM('PER BULAN'!BC217)</f>
        <v>0</v>
      </c>
      <c r="AU133" s="292">
        <f>SUM('PER BULAN'!BD217)</f>
        <v>0</v>
      </c>
      <c r="AV133" s="292">
        <f>SUM('PER BULAN'!BE217)</f>
        <v>0</v>
      </c>
      <c r="AW133" s="292">
        <f>SUM('PER BULAN'!BF217)</f>
        <v>0</v>
      </c>
      <c r="AX133" s="292">
        <f>SUM('PER BULAN'!BG217)</f>
        <v>0</v>
      </c>
      <c r="AY133" s="292">
        <f>SUM('PER BULAN'!BH217)</f>
        <v>0</v>
      </c>
    </row>
    <row r="134" spans="1:51" s="278" customFormat="1" x14ac:dyDescent="0.3">
      <c r="A134" s="277" t="s">
        <v>4693</v>
      </c>
      <c r="B134" s="277" t="s">
        <v>4694</v>
      </c>
      <c r="C134" s="277" t="s">
        <v>4720</v>
      </c>
      <c r="D134" s="277" t="s">
        <v>4721</v>
      </c>
      <c r="E134" s="277" t="s">
        <v>198</v>
      </c>
      <c r="F134" s="277" t="s">
        <v>4728</v>
      </c>
      <c r="G134" s="277" t="s">
        <v>4786</v>
      </c>
      <c r="H134" s="277" t="s">
        <v>4787</v>
      </c>
      <c r="I134" s="277">
        <v>996</v>
      </c>
      <c r="J134" s="277" t="s">
        <v>4788</v>
      </c>
      <c r="K134" s="277">
        <v>301</v>
      </c>
      <c r="L134" s="277" t="s">
        <v>4789</v>
      </c>
      <c r="M134" s="277" t="s">
        <v>511</v>
      </c>
      <c r="N134" s="277" t="s">
        <v>4792</v>
      </c>
      <c r="O134" s="277">
        <v>521811</v>
      </c>
      <c r="P134" s="277" t="s">
        <v>4716</v>
      </c>
      <c r="Q134" s="221" cm="1">
        <f t="array" ref="Q134">SUM(_xlfn._xlws.FILTER(DIPA2[PaguRevisi],DIPA2[Akun]=SP2D[[#This Row],[Kode Akun]],0))</f>
        <v>30000000</v>
      </c>
      <c r="R134" s="416">
        <v>30000000</v>
      </c>
      <c r="S134" s="292">
        <f>SUM('PER BULAN'!J218:L218)</f>
        <v>0</v>
      </c>
      <c r="T134" s="292">
        <f>SUM('PER BULAN'!M218:O218)</f>
        <v>0</v>
      </c>
      <c r="U134" s="292">
        <f>SUM('PER BULAN'!P218:R218)</f>
        <v>0</v>
      </c>
      <c r="V134" s="292">
        <f>SUM('PER BULAN'!S218:U218)</f>
        <v>0</v>
      </c>
      <c r="W134" s="292">
        <f>SUM('PER BULAN'!V218:X218)</f>
        <v>3364000</v>
      </c>
      <c r="X134" s="292">
        <f>SUM('PER BULAN'!Y218:AA218)</f>
        <v>1447000</v>
      </c>
      <c r="Y134" s="292">
        <f>SUM('PER BULAN'!AB218:AD218)</f>
        <v>0</v>
      </c>
      <c r="Z134" s="292">
        <f>SUM('PER BULAN'!AE218:AG218)</f>
        <v>0</v>
      </c>
      <c r="AA134" s="292">
        <f>SUM('PER BULAN'!AH218:AJ218)</f>
        <v>0</v>
      </c>
      <c r="AB134" s="292">
        <f>SUM('PER BULAN'!AK218:AM218)</f>
        <v>0</v>
      </c>
      <c r="AC134" s="292">
        <f>SUM('PER BULAN'!AN218:AP218)</f>
        <v>0</v>
      </c>
      <c r="AD134" s="292">
        <f>SUM('PER BULAN'!AQ218:AS218)</f>
        <v>0</v>
      </c>
      <c r="AE134" s="277" t="s">
        <v>530</v>
      </c>
      <c r="AF134" s="277" t="s">
        <v>542</v>
      </c>
      <c r="AG134" s="277" t="s">
        <v>543</v>
      </c>
      <c r="AH134" s="277" t="s">
        <v>4699</v>
      </c>
      <c r="AI134" s="277" t="s">
        <v>4700</v>
      </c>
      <c r="AJ134" s="494">
        <f t="shared" si="12"/>
        <v>4811000</v>
      </c>
      <c r="AK134" s="291">
        <f t="shared" si="14"/>
        <v>16.036666666666665</v>
      </c>
      <c r="AL134" s="494">
        <f t="shared" si="13"/>
        <v>25189000</v>
      </c>
      <c r="AM134" s="291">
        <f t="shared" si="15"/>
        <v>83.963333333333338</v>
      </c>
      <c r="AN134" s="277" t="str">
        <f t="shared" si="16"/>
        <v>WA.4345.EBC.996.301.B.521811</v>
      </c>
      <c r="AO134" s="277" t="str">
        <f>IF(ISNUMBER(SEARCH("COVID",SP2D[[#This Row],[Akun]])),"COVID","Non COVID")</f>
        <v>Non COVID</v>
      </c>
      <c r="AP134"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134"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4" s="292">
        <f>SUM('PER BULAN'!BA218)</f>
        <v>0</v>
      </c>
      <c r="AS134" s="292">
        <f>SUM('PER BULAN'!BB218)</f>
        <v>0</v>
      </c>
      <c r="AT134" s="292">
        <f>SUM('PER BULAN'!BC218)</f>
        <v>0</v>
      </c>
      <c r="AU134" s="292">
        <f>SUM('PER BULAN'!BD218)</f>
        <v>0</v>
      </c>
      <c r="AV134" s="292">
        <f>SUM('PER BULAN'!BE218)</f>
        <v>0</v>
      </c>
      <c r="AW134" s="292">
        <f>SUM('PER BULAN'!BF218)</f>
        <v>0</v>
      </c>
      <c r="AX134" s="292">
        <f>SUM('PER BULAN'!BG218)</f>
        <v>3364000</v>
      </c>
      <c r="AY134" s="292">
        <f>SUM('PER BULAN'!BH218)</f>
        <v>1447000</v>
      </c>
    </row>
    <row r="135" spans="1:51" s="278" customFormat="1" x14ac:dyDescent="0.3">
      <c r="A135" s="277" t="s">
        <v>4693</v>
      </c>
      <c r="B135" s="277" t="s">
        <v>4694</v>
      </c>
      <c r="C135" s="277" t="s">
        <v>4720</v>
      </c>
      <c r="D135" s="277" t="s">
        <v>4721</v>
      </c>
      <c r="E135" s="277" t="s">
        <v>198</v>
      </c>
      <c r="F135" s="277" t="s">
        <v>4728</v>
      </c>
      <c r="G135" s="277" t="s">
        <v>4786</v>
      </c>
      <c r="H135" s="277" t="s">
        <v>4787</v>
      </c>
      <c r="I135" s="277">
        <v>996</v>
      </c>
      <c r="J135" s="277" t="s">
        <v>4788</v>
      </c>
      <c r="K135" s="277">
        <v>301</v>
      </c>
      <c r="L135" s="277" t="s">
        <v>4789</v>
      </c>
      <c r="M135" s="277" t="s">
        <v>511</v>
      </c>
      <c r="N135" s="277" t="s">
        <v>4792</v>
      </c>
      <c r="O135" s="277">
        <v>522151</v>
      </c>
      <c r="P135" s="277" t="s">
        <v>4701</v>
      </c>
      <c r="Q135" s="221" cm="1">
        <f t="array" ref="Q135">SUM(_xlfn._xlws.FILTER(DIPA2[PaguRevisi],DIPA2[Akun]=SP2D[[#This Row],[Kode Akun]],0))</f>
        <v>6000000</v>
      </c>
      <c r="R135" s="416">
        <v>6000000</v>
      </c>
      <c r="S135" s="292">
        <f>SUM('PER BULAN'!J219:L219)</f>
        <v>0</v>
      </c>
      <c r="T135" s="292">
        <f>SUM('PER BULAN'!M219:O219)</f>
        <v>0</v>
      </c>
      <c r="U135" s="292">
        <f>SUM('PER BULAN'!P219:R219)</f>
        <v>0</v>
      </c>
      <c r="V135" s="292">
        <f>SUM('PER BULAN'!S219:U219)</f>
        <v>0</v>
      </c>
      <c r="W135" s="292">
        <f>SUM('PER BULAN'!V219:X219)</f>
        <v>0</v>
      </c>
      <c r="X135" s="292">
        <f>SUM('PER BULAN'!Y219:AA219)</f>
        <v>0</v>
      </c>
      <c r="Y135" s="292">
        <f>SUM('PER BULAN'!AB219:AD219)</f>
        <v>0</v>
      </c>
      <c r="Z135" s="292">
        <f>SUM('PER BULAN'!AE219:AG219)</f>
        <v>0</v>
      </c>
      <c r="AA135" s="292">
        <f>SUM('PER BULAN'!AH219:AJ219)</f>
        <v>0</v>
      </c>
      <c r="AB135" s="292">
        <f>SUM('PER BULAN'!AK219:AM219)</f>
        <v>0</v>
      </c>
      <c r="AC135" s="292">
        <f>SUM('PER BULAN'!AN219:AP219)</f>
        <v>0</v>
      </c>
      <c r="AD135" s="292">
        <f>SUM('PER BULAN'!AQ219:AS219)</f>
        <v>0</v>
      </c>
      <c r="AE135" s="277" t="s">
        <v>530</v>
      </c>
      <c r="AF135" s="277" t="s">
        <v>542</v>
      </c>
      <c r="AG135" s="277" t="s">
        <v>543</v>
      </c>
      <c r="AH135" s="277" t="s">
        <v>4699</v>
      </c>
      <c r="AI135" s="277" t="s">
        <v>4700</v>
      </c>
      <c r="AJ135" s="494">
        <f t="shared" si="12"/>
        <v>0</v>
      </c>
      <c r="AK135" s="291">
        <f t="shared" si="14"/>
        <v>0</v>
      </c>
      <c r="AL135" s="494">
        <f t="shared" si="13"/>
        <v>6000000</v>
      </c>
      <c r="AM135" s="291">
        <f t="shared" si="15"/>
        <v>100</v>
      </c>
      <c r="AN135" s="277" t="str">
        <f t="shared" si="16"/>
        <v>WA.4345.EBC.996.301.B.522151</v>
      </c>
      <c r="AO135" s="277" t="str">
        <f>IF(ISNUMBER(SEARCH("COVID",SP2D[[#This Row],[Akun]])),"COVID","Non COVID")</f>
        <v>Non COVID</v>
      </c>
      <c r="AP135"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35"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5" s="292">
        <f>SUM('PER BULAN'!BA219)</f>
        <v>0</v>
      </c>
      <c r="AS135" s="292">
        <f>SUM('PER BULAN'!BB219)</f>
        <v>0</v>
      </c>
      <c r="AT135" s="292">
        <f>SUM('PER BULAN'!BC219)</f>
        <v>0</v>
      </c>
      <c r="AU135" s="292">
        <f>SUM('PER BULAN'!BD219)</f>
        <v>0</v>
      </c>
      <c r="AV135" s="292">
        <f>SUM('PER BULAN'!BE219)</f>
        <v>0</v>
      </c>
      <c r="AW135" s="292">
        <f>SUM('PER BULAN'!BF219)</f>
        <v>0</v>
      </c>
      <c r="AX135" s="292">
        <f>SUM('PER BULAN'!BG219)</f>
        <v>0</v>
      </c>
      <c r="AY135" s="292">
        <f>SUM('PER BULAN'!BH219)</f>
        <v>0</v>
      </c>
    </row>
    <row r="136" spans="1:51" s="278" customFormat="1" x14ac:dyDescent="0.3">
      <c r="A136" s="277" t="s">
        <v>4693</v>
      </c>
      <c r="B136" s="277" t="s">
        <v>4694</v>
      </c>
      <c r="C136" s="277" t="s">
        <v>4720</v>
      </c>
      <c r="D136" s="277" t="s">
        <v>4721</v>
      </c>
      <c r="E136" s="277" t="s">
        <v>198</v>
      </c>
      <c r="F136" s="277" t="s">
        <v>4728</v>
      </c>
      <c r="G136" s="277" t="s">
        <v>4786</v>
      </c>
      <c r="H136" s="277" t="s">
        <v>4787</v>
      </c>
      <c r="I136" s="277">
        <v>996</v>
      </c>
      <c r="J136" s="277" t="s">
        <v>4788</v>
      </c>
      <c r="K136" s="277">
        <v>301</v>
      </c>
      <c r="L136" s="277" t="s">
        <v>4789</v>
      </c>
      <c r="M136" s="277" t="s">
        <v>511</v>
      </c>
      <c r="N136" s="277" t="s">
        <v>4792</v>
      </c>
      <c r="O136" s="277">
        <v>524111</v>
      </c>
      <c r="P136" s="277" t="s">
        <v>4702</v>
      </c>
      <c r="Q136" s="221" cm="1">
        <f t="array" ref="Q136">SUM(_xlfn._xlws.FILTER(DIPA2[PaguRevisi],DIPA2[Akun]=SP2D[[#This Row],[Kode Akun]],0))</f>
        <v>216000000</v>
      </c>
      <c r="R136" s="416">
        <v>186000000</v>
      </c>
      <c r="S136" s="292">
        <f>SUM('PER BULAN'!J221:L221)</f>
        <v>0</v>
      </c>
      <c r="T136" s="292">
        <f>SUM('PER BULAN'!M220:O220)</f>
        <v>0</v>
      </c>
      <c r="U136" s="292">
        <f>SUM('PER BULAN'!P220:R220)</f>
        <v>0</v>
      </c>
      <c r="V136" s="292">
        <f>SUM('PER BULAN'!S220:U220)</f>
        <v>0</v>
      </c>
      <c r="W136" s="292">
        <f>SUM('PER BULAN'!V220:X220)</f>
        <v>20392633</v>
      </c>
      <c r="X136" s="292">
        <f>SUM('PER BULAN'!Y220:AA220)</f>
        <v>22330573</v>
      </c>
      <c r="Y136" s="292">
        <f>SUM('PER BULAN'!AB220:AD220)</f>
        <v>0</v>
      </c>
      <c r="Z136" s="292">
        <f>SUM('PER BULAN'!AE220:AG220)</f>
        <v>0</v>
      </c>
      <c r="AA136" s="292">
        <f>SUM('PER BULAN'!AH220:AJ220)</f>
        <v>0</v>
      </c>
      <c r="AB136" s="292">
        <f>SUM('PER BULAN'!AK220:AM220)</f>
        <v>0</v>
      </c>
      <c r="AC136" s="292">
        <f>SUM('PER BULAN'!AN220:AP220)</f>
        <v>0</v>
      </c>
      <c r="AD136" s="292">
        <f>SUM('PER BULAN'!AQ220:AS220)</f>
        <v>0</v>
      </c>
      <c r="AE136" s="277" t="s">
        <v>530</v>
      </c>
      <c r="AF136" s="277" t="s">
        <v>542</v>
      </c>
      <c r="AG136" s="277" t="s">
        <v>543</v>
      </c>
      <c r="AH136" s="277" t="s">
        <v>4699</v>
      </c>
      <c r="AI136" s="277" t="s">
        <v>4700</v>
      </c>
      <c r="AJ136" s="494">
        <f t="shared" si="12"/>
        <v>42723206</v>
      </c>
      <c r="AK136" s="291">
        <f t="shared" si="14"/>
        <v>19.779262037037036</v>
      </c>
      <c r="AL136" s="494">
        <f t="shared" si="13"/>
        <v>173276794</v>
      </c>
      <c r="AM136" s="291">
        <f t="shared" si="15"/>
        <v>80.220737962962957</v>
      </c>
      <c r="AN136" s="277" t="str">
        <f t="shared" si="16"/>
        <v>WA.4345.EBC.996.301.B.524111</v>
      </c>
      <c r="AO136" s="277" t="str">
        <f>IF(ISNUMBER(SEARCH("COVID",SP2D[[#This Row],[Akun]])),"COVID","Non COVID")</f>
        <v>Non COVID</v>
      </c>
      <c r="AP136"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36"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6" s="292">
        <f>SUM('PER BULAN'!BA220)</f>
        <v>0</v>
      </c>
      <c r="AS136" s="292">
        <f>SUM('PER BULAN'!BB220)</f>
        <v>0</v>
      </c>
      <c r="AT136" s="292">
        <f>SUM('PER BULAN'!BC220)</f>
        <v>0</v>
      </c>
      <c r="AU136" s="292">
        <f>SUM('PER BULAN'!BD220)</f>
        <v>0</v>
      </c>
      <c r="AV136" s="292">
        <f>SUM('PER BULAN'!BE220)</f>
        <v>0</v>
      </c>
      <c r="AW136" s="292">
        <f>SUM('PER BULAN'!BF220)</f>
        <v>0</v>
      </c>
      <c r="AX136" s="292">
        <f>SUM('PER BULAN'!BG220)</f>
        <v>20392633</v>
      </c>
      <c r="AY136" s="292">
        <f>SUM('PER BULAN'!BH220)</f>
        <v>0</v>
      </c>
    </row>
    <row r="137" spans="1:51" s="278" customFormat="1" x14ac:dyDescent="0.3">
      <c r="A137" s="277" t="s">
        <v>4693</v>
      </c>
      <c r="B137" s="277" t="s">
        <v>4694</v>
      </c>
      <c r="C137" s="277" t="s">
        <v>4720</v>
      </c>
      <c r="D137" s="277" t="s">
        <v>4721</v>
      </c>
      <c r="E137" s="277" t="s">
        <v>198</v>
      </c>
      <c r="F137" s="277" t="s">
        <v>4728</v>
      </c>
      <c r="G137" s="277" t="s">
        <v>4786</v>
      </c>
      <c r="H137" s="277" t="s">
        <v>4787</v>
      </c>
      <c r="I137" s="277">
        <v>996</v>
      </c>
      <c r="J137" s="277" t="s">
        <v>4788</v>
      </c>
      <c r="K137" s="277">
        <v>301</v>
      </c>
      <c r="L137" s="277" t="s">
        <v>4789</v>
      </c>
      <c r="M137" s="277" t="s">
        <v>512</v>
      </c>
      <c r="N137" s="277" t="s">
        <v>4793</v>
      </c>
      <c r="O137" s="277">
        <v>521211</v>
      </c>
      <c r="P137" s="277" t="s">
        <v>4698</v>
      </c>
      <c r="Q137" s="221" cm="1">
        <f t="array" ref="Q137">SUM(_xlfn._xlws.FILTER(DIPA2[PaguRevisi],DIPA2[Akun]=SP2D[[#This Row],[Kode Akun]],0))</f>
        <v>12000000</v>
      </c>
      <c r="R137" s="416">
        <v>12000000</v>
      </c>
      <c r="S137" s="292">
        <f>SUM('PER BULAN'!J222:L222)</f>
        <v>0</v>
      </c>
      <c r="T137" s="292">
        <f>SUM('PER BULAN'!M222:O222)</f>
        <v>0</v>
      </c>
      <c r="U137" s="292">
        <f>SUM('PER BULAN'!P222:R222)</f>
        <v>0</v>
      </c>
      <c r="V137" s="292">
        <f>SUM('PER BULAN'!S222:U222)</f>
        <v>0</v>
      </c>
      <c r="W137" s="292">
        <f>SUM('PER BULAN'!V222:X222)</f>
        <v>0</v>
      </c>
      <c r="X137" s="292">
        <f>SUM('PER BULAN'!Y222:AA222)</f>
        <v>0</v>
      </c>
      <c r="Y137" s="292">
        <f>SUM('PER BULAN'!AB222:AD222)</f>
        <v>0</v>
      </c>
      <c r="Z137" s="292">
        <f>SUM('PER BULAN'!AE222:AG222)</f>
        <v>0</v>
      </c>
      <c r="AA137" s="292">
        <f>SUM('PER BULAN'!AH222:AJ222)</f>
        <v>0</v>
      </c>
      <c r="AB137" s="292">
        <f>SUM('PER BULAN'!AK222:AM222)</f>
        <v>0</v>
      </c>
      <c r="AC137" s="292">
        <f>SUM('PER BULAN'!AN222:AP222)</f>
        <v>0</v>
      </c>
      <c r="AD137" s="292">
        <f>SUM('PER BULAN'!AQ222:AS222)</f>
        <v>0</v>
      </c>
      <c r="AE137" s="277" t="s">
        <v>530</v>
      </c>
      <c r="AF137" s="277" t="s">
        <v>542</v>
      </c>
      <c r="AG137" s="277" t="s">
        <v>543</v>
      </c>
      <c r="AH137" s="277" t="s">
        <v>4699</v>
      </c>
      <c r="AI137" s="277" t="s">
        <v>4700</v>
      </c>
      <c r="AJ137" s="494">
        <f t="shared" si="12"/>
        <v>0</v>
      </c>
      <c r="AK137" s="291">
        <f t="shared" si="14"/>
        <v>0</v>
      </c>
      <c r="AL137" s="494">
        <f t="shared" si="13"/>
        <v>12000000</v>
      </c>
      <c r="AM137" s="291">
        <f t="shared" si="15"/>
        <v>100</v>
      </c>
      <c r="AN137" s="277" t="str">
        <f t="shared" si="16"/>
        <v>WA.4345.EBC.996.301.C.521211</v>
      </c>
      <c r="AO137" s="277" t="str">
        <f>IF(ISNUMBER(SEARCH("COVID",SP2D[[#This Row],[Akun]])),"COVID","Non COVID")</f>
        <v>Non COVID</v>
      </c>
      <c r="AP137"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37"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7" s="292">
        <f>SUM('PER BULAN'!BA222)</f>
        <v>0</v>
      </c>
      <c r="AS137" s="292">
        <f>SUM('PER BULAN'!BB222)</f>
        <v>0</v>
      </c>
      <c r="AT137" s="292">
        <f>SUM('PER BULAN'!BC222)</f>
        <v>0</v>
      </c>
      <c r="AU137" s="292">
        <f>SUM('PER BULAN'!BD222)</f>
        <v>0</v>
      </c>
      <c r="AV137" s="292">
        <f>SUM('PER BULAN'!BE222)</f>
        <v>0</v>
      </c>
      <c r="AW137" s="292">
        <f>SUM('PER BULAN'!BF222)</f>
        <v>0</v>
      </c>
      <c r="AX137" s="292">
        <f>SUM('PER BULAN'!BG222)</f>
        <v>0</v>
      </c>
      <c r="AY137" s="292">
        <f>SUM('PER BULAN'!BH222)</f>
        <v>0</v>
      </c>
    </row>
    <row r="138" spans="1:51" s="278" customFormat="1" x14ac:dyDescent="0.3">
      <c r="A138" s="277" t="s">
        <v>4693</v>
      </c>
      <c r="B138" s="277" t="s">
        <v>4694</v>
      </c>
      <c r="C138" s="277" t="s">
        <v>4720</v>
      </c>
      <c r="D138" s="277" t="s">
        <v>4721</v>
      </c>
      <c r="E138" s="277" t="s">
        <v>198</v>
      </c>
      <c r="F138" s="277" t="s">
        <v>4728</v>
      </c>
      <c r="G138" s="277" t="s">
        <v>4786</v>
      </c>
      <c r="H138" s="277" t="s">
        <v>4787</v>
      </c>
      <c r="I138" s="277">
        <v>996</v>
      </c>
      <c r="J138" s="277" t="s">
        <v>4788</v>
      </c>
      <c r="K138" s="277">
        <v>301</v>
      </c>
      <c r="L138" s="277" t="s">
        <v>4789</v>
      </c>
      <c r="M138" s="277" t="s">
        <v>512</v>
      </c>
      <c r="N138" s="277" t="s">
        <v>4793</v>
      </c>
      <c r="O138" s="277">
        <v>521219</v>
      </c>
      <c r="P138" s="277" t="s">
        <v>4711</v>
      </c>
      <c r="Q138" s="221" cm="1">
        <f t="array" ref="Q138">SUM(_xlfn._xlws.FILTER(DIPA2[PaguRevisi],DIPA2[Akun]=SP2D[[#This Row],[Kode Akun]],0))</f>
        <v>20000000</v>
      </c>
      <c r="R138" s="416">
        <v>20000000</v>
      </c>
      <c r="S138" s="292">
        <f>SUM('PER BULAN'!J223:L223)</f>
        <v>0</v>
      </c>
      <c r="T138" s="292">
        <f>SUM('PER BULAN'!M223:O223)</f>
        <v>0</v>
      </c>
      <c r="U138" s="292">
        <f>SUM('PER BULAN'!P223:R223)</f>
        <v>0</v>
      </c>
      <c r="V138" s="292">
        <f>SUM('PER BULAN'!S223:U223)</f>
        <v>0</v>
      </c>
      <c r="W138" s="292">
        <f>SUM('PER BULAN'!V223:X223)</f>
        <v>0</v>
      </c>
      <c r="X138" s="292">
        <f>SUM('PER BULAN'!Y223:AA223)</f>
        <v>0</v>
      </c>
      <c r="Y138" s="292">
        <f>SUM('PER BULAN'!AB223:AD223)</f>
        <v>0</v>
      </c>
      <c r="Z138" s="292">
        <f>SUM('PER BULAN'!AE223:AG223)</f>
        <v>0</v>
      </c>
      <c r="AA138" s="292">
        <f>SUM('PER BULAN'!AH223:AJ223)</f>
        <v>0</v>
      </c>
      <c r="AB138" s="292">
        <f>SUM('PER BULAN'!AK223:AM223)</f>
        <v>0</v>
      </c>
      <c r="AC138" s="292">
        <f>SUM('PER BULAN'!AN223:AP223)</f>
        <v>0</v>
      </c>
      <c r="AD138" s="292">
        <f>SUM('PER BULAN'!AQ223:AS223)</f>
        <v>0</v>
      </c>
      <c r="AE138" s="277" t="s">
        <v>530</v>
      </c>
      <c r="AF138" s="277" t="s">
        <v>542</v>
      </c>
      <c r="AG138" s="277" t="s">
        <v>543</v>
      </c>
      <c r="AH138" s="277" t="s">
        <v>4699</v>
      </c>
      <c r="AI138" s="277" t="s">
        <v>4700</v>
      </c>
      <c r="AJ138" s="494">
        <f t="shared" si="12"/>
        <v>0</v>
      </c>
      <c r="AK138" s="291">
        <f t="shared" si="14"/>
        <v>0</v>
      </c>
      <c r="AL138" s="494">
        <f t="shared" si="13"/>
        <v>20000000</v>
      </c>
      <c r="AM138" s="291">
        <f t="shared" si="15"/>
        <v>100</v>
      </c>
      <c r="AN138" s="277" t="str">
        <f t="shared" si="16"/>
        <v>WA.4345.EBC.996.301.C.521219</v>
      </c>
      <c r="AO138" s="277" t="str">
        <f>IF(ISNUMBER(SEARCH("COVID",SP2D[[#This Row],[Akun]])),"COVID","Non COVID")</f>
        <v>Non COVID</v>
      </c>
      <c r="AP138"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Q138"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8" s="292">
        <f>SUM('PER BULAN'!BA223)</f>
        <v>0</v>
      </c>
      <c r="AS138" s="292">
        <f>SUM('PER BULAN'!BB223)</f>
        <v>0</v>
      </c>
      <c r="AT138" s="292">
        <f>SUM('PER BULAN'!BC223)</f>
        <v>0</v>
      </c>
      <c r="AU138" s="292">
        <f>SUM('PER BULAN'!BD223)</f>
        <v>0</v>
      </c>
      <c r="AV138" s="292">
        <f>SUM('PER BULAN'!BE223)</f>
        <v>0</v>
      </c>
      <c r="AW138" s="292">
        <f>SUM('PER BULAN'!BF223)</f>
        <v>0</v>
      </c>
      <c r="AX138" s="292">
        <f>SUM('PER BULAN'!BG223)</f>
        <v>0</v>
      </c>
      <c r="AY138" s="292">
        <f>SUM('PER BULAN'!BH223)</f>
        <v>0</v>
      </c>
    </row>
    <row r="139" spans="1:51" s="278" customFormat="1" x14ac:dyDescent="0.3">
      <c r="A139" s="277" t="s">
        <v>4693</v>
      </c>
      <c r="B139" s="277" t="s">
        <v>4694</v>
      </c>
      <c r="C139" s="277" t="s">
        <v>4720</v>
      </c>
      <c r="D139" s="277" t="s">
        <v>4721</v>
      </c>
      <c r="E139" s="277" t="s">
        <v>198</v>
      </c>
      <c r="F139" s="277" t="s">
        <v>4728</v>
      </c>
      <c r="G139" s="277" t="s">
        <v>4786</v>
      </c>
      <c r="H139" s="277" t="s">
        <v>4787</v>
      </c>
      <c r="I139" s="277">
        <v>996</v>
      </c>
      <c r="J139" s="277" t="s">
        <v>4788</v>
      </c>
      <c r="K139" s="277">
        <v>301</v>
      </c>
      <c r="L139" s="277" t="s">
        <v>4789</v>
      </c>
      <c r="M139" s="277" t="s">
        <v>512</v>
      </c>
      <c r="N139" s="277" t="s">
        <v>4793</v>
      </c>
      <c r="O139" s="277">
        <v>524211</v>
      </c>
      <c r="P139" s="277" t="s">
        <v>4795</v>
      </c>
      <c r="Q139" s="221" cm="1">
        <f t="array" ref="Q139">SUM(_xlfn._xlws.FILTER(DIPA2[PaguRevisi],DIPA2[Akun]=SP2D[[#This Row],[Kode Akun]],0))</f>
        <v>142041000</v>
      </c>
      <c r="R139" s="416">
        <v>142041000</v>
      </c>
      <c r="S139" s="292">
        <f>SUM('PER BULAN'!J225:L225)</f>
        <v>0</v>
      </c>
      <c r="T139" s="292">
        <f>SUM('PER BULAN'!M224:O224)</f>
        <v>0</v>
      </c>
      <c r="U139" s="292">
        <f>SUM('PER BULAN'!P224:R224)</f>
        <v>0</v>
      </c>
      <c r="V139" s="292">
        <f>SUM('PER BULAN'!S224:U224)</f>
        <v>0</v>
      </c>
      <c r="W139" s="292">
        <f>SUM('PER BULAN'!V224:X224)</f>
        <v>0</v>
      </c>
      <c r="X139" s="292">
        <f>SUM('PER BULAN'!Y224:AA224)</f>
        <v>0</v>
      </c>
      <c r="Y139" s="292">
        <f>SUM('PER BULAN'!AB224:AD224)</f>
        <v>0</v>
      </c>
      <c r="Z139" s="292">
        <f>SUM('PER BULAN'!AE224:AG224)</f>
        <v>0</v>
      </c>
      <c r="AA139" s="292">
        <f>SUM('PER BULAN'!AH224:AJ224)</f>
        <v>0</v>
      </c>
      <c r="AB139" s="292">
        <f>SUM('PER BULAN'!AK224:AM224)</f>
        <v>0</v>
      </c>
      <c r="AC139" s="292">
        <f>SUM('PER BULAN'!AN224:AP224)</f>
        <v>0</v>
      </c>
      <c r="AD139" s="292">
        <f>SUM('PER BULAN'!AQ224:AS224)</f>
        <v>0</v>
      </c>
      <c r="AE139" s="277" t="s">
        <v>530</v>
      </c>
      <c r="AF139" s="277" t="s">
        <v>542</v>
      </c>
      <c r="AG139" s="277" t="s">
        <v>543</v>
      </c>
      <c r="AH139" s="277" t="s">
        <v>4699</v>
      </c>
      <c r="AI139" s="277" t="s">
        <v>4700</v>
      </c>
      <c r="AJ139" s="494">
        <f t="shared" si="12"/>
        <v>0</v>
      </c>
      <c r="AK139" s="291">
        <f t="shared" si="14"/>
        <v>0</v>
      </c>
      <c r="AL139" s="494">
        <f t="shared" si="13"/>
        <v>142041000</v>
      </c>
      <c r="AM139" s="291">
        <f t="shared" si="15"/>
        <v>100</v>
      </c>
      <c r="AN139" s="277" t="str">
        <f t="shared" si="16"/>
        <v>WA.4345.EBC.996.301.C.524211</v>
      </c>
      <c r="AO139" s="277" t="str">
        <f>IF(ISNUMBER(SEARCH("COVID",SP2D[[#This Row],[Akun]])),"COVID","Non COVID")</f>
        <v>Non COVID</v>
      </c>
      <c r="AP139"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39"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39" s="292">
        <f>SUM('PER BULAN'!BA224)</f>
        <v>0</v>
      </c>
      <c r="AS139" s="292">
        <f>SUM('PER BULAN'!BB224)</f>
        <v>0</v>
      </c>
      <c r="AT139" s="292">
        <f>SUM('PER BULAN'!BC224)</f>
        <v>0</v>
      </c>
      <c r="AU139" s="292">
        <f>SUM('PER BULAN'!BD224)</f>
        <v>0</v>
      </c>
      <c r="AV139" s="292">
        <f>SUM('PER BULAN'!BE224)</f>
        <v>0</v>
      </c>
      <c r="AW139" s="292">
        <f>SUM('PER BULAN'!BF224)</f>
        <v>0</v>
      </c>
      <c r="AX139" s="292">
        <f>SUM('PER BULAN'!BG224)</f>
        <v>0</v>
      </c>
      <c r="AY139" s="292">
        <f>SUM('PER BULAN'!BH224)</f>
        <v>0</v>
      </c>
    </row>
    <row r="140" spans="1:51" s="278" customFormat="1" x14ac:dyDescent="0.3">
      <c r="A140" s="277" t="s">
        <v>4693</v>
      </c>
      <c r="B140" s="277" t="s">
        <v>4694</v>
      </c>
      <c r="C140" s="277" t="s">
        <v>4720</v>
      </c>
      <c r="D140" s="277" t="s">
        <v>4721</v>
      </c>
      <c r="E140" s="277" t="s">
        <v>198</v>
      </c>
      <c r="F140" s="277" t="s">
        <v>4728</v>
      </c>
      <c r="G140" s="277" t="s">
        <v>4786</v>
      </c>
      <c r="H140" s="277" t="s">
        <v>4787</v>
      </c>
      <c r="I140" s="277">
        <v>996</v>
      </c>
      <c r="J140" s="277" t="s">
        <v>4788</v>
      </c>
      <c r="K140" s="277">
        <v>301</v>
      </c>
      <c r="L140" s="277" t="s">
        <v>4789</v>
      </c>
      <c r="M140" s="277" t="s">
        <v>514</v>
      </c>
      <c r="N140" s="277" t="s">
        <v>4794</v>
      </c>
      <c r="O140" s="277">
        <v>522192</v>
      </c>
      <c r="P140" s="277" t="s">
        <v>4703</v>
      </c>
      <c r="Q140" s="221" cm="1">
        <f t="array" ref="Q140">SUM(_xlfn._xlws.FILTER(DIPA2[PaguRevisi],DIPA2[Akun]=SP2D[[#This Row],[Kode Akun]],0))</f>
        <v>0</v>
      </c>
      <c r="R140" s="416">
        <v>30000000</v>
      </c>
      <c r="S140" s="292">
        <f>SUM('PER BULAN'!J228:L228)</f>
        <v>0</v>
      </c>
      <c r="T140" s="292">
        <f>SUM('PER BULAN'!M226:O226)</f>
        <v>0</v>
      </c>
      <c r="U140" s="292">
        <f>SUM('PER BULAN'!P226:R226)</f>
        <v>0</v>
      </c>
      <c r="V140" s="292">
        <f>SUM('PER BULAN'!S226:U226)</f>
        <v>0</v>
      </c>
      <c r="W140" s="292">
        <f>SUM('PER BULAN'!V226:X226)</f>
        <v>0</v>
      </c>
      <c r="X140" s="292">
        <f>SUM('PER BULAN'!Y226:AA226)</f>
        <v>0</v>
      </c>
      <c r="Y140" s="292">
        <f>SUM('PER BULAN'!AB226:AD226)</f>
        <v>0</v>
      </c>
      <c r="Z140" s="292">
        <f>SUM('PER BULAN'!AE226:AG226)</f>
        <v>0</v>
      </c>
      <c r="AA140" s="292">
        <f>SUM('PER BULAN'!AH226:AJ226)</f>
        <v>0</v>
      </c>
      <c r="AB140" s="292">
        <f>SUM('PER BULAN'!AK226:AM226)</f>
        <v>0</v>
      </c>
      <c r="AC140" s="292">
        <f>SUM('PER BULAN'!AN226:AP226)</f>
        <v>0</v>
      </c>
      <c r="AD140" s="292">
        <f>SUM('PER BULAN'!AQ226:AS226)</f>
        <v>0</v>
      </c>
      <c r="AE140" s="277" t="s">
        <v>530</v>
      </c>
      <c r="AF140" s="277" t="s">
        <v>542</v>
      </c>
      <c r="AG140" s="277" t="s">
        <v>543</v>
      </c>
      <c r="AH140" s="277" t="s">
        <v>4699</v>
      </c>
      <c r="AI140" s="277" t="s">
        <v>4700</v>
      </c>
      <c r="AJ140" s="494">
        <f t="shared" si="12"/>
        <v>0</v>
      </c>
      <c r="AK140" s="291">
        <f t="shared" si="14"/>
        <v>0</v>
      </c>
      <c r="AL140" s="494">
        <f t="shared" si="13"/>
        <v>0</v>
      </c>
      <c r="AM140" s="291">
        <f t="shared" si="15"/>
        <v>0</v>
      </c>
      <c r="AN140" s="277" t="str">
        <f t="shared" si="16"/>
        <v>WA.4345.EBC.996.301.D.522192</v>
      </c>
      <c r="AO140" s="277" t="str">
        <f>IF(ISNUMBER(SEARCH("COVID",SP2D[[#This Row],[Akun]])),"COVID","Non COVID")</f>
        <v>COVID</v>
      </c>
      <c r="AP140"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Q140"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40" s="292">
        <f>SUM('PER BULAN'!BA226)</f>
        <v>0</v>
      </c>
      <c r="AS140" s="292">
        <f>SUM('PER BULAN'!BB226)</f>
        <v>0</v>
      </c>
      <c r="AT140" s="292">
        <f>SUM('PER BULAN'!BC226)</f>
        <v>0</v>
      </c>
      <c r="AU140" s="292">
        <f>SUM('PER BULAN'!BD226)</f>
        <v>0</v>
      </c>
      <c r="AV140" s="292">
        <f>SUM('PER BULAN'!BE226)</f>
        <v>0</v>
      </c>
      <c r="AW140" s="292">
        <f>SUM('PER BULAN'!BF226)</f>
        <v>0</v>
      </c>
      <c r="AX140" s="292">
        <f>SUM('PER BULAN'!BG226)</f>
        <v>0</v>
      </c>
      <c r="AY140" s="292">
        <f>SUM('PER BULAN'!BH226)</f>
        <v>0</v>
      </c>
    </row>
    <row r="141" spans="1:51" s="278" customFormat="1" x14ac:dyDescent="0.3">
      <c r="A141" s="277" t="s">
        <v>4693</v>
      </c>
      <c r="B141" s="277" t="s">
        <v>4694</v>
      </c>
      <c r="C141" s="277" t="s">
        <v>4720</v>
      </c>
      <c r="D141" s="277" t="s">
        <v>4721</v>
      </c>
      <c r="E141" s="277" t="s">
        <v>198</v>
      </c>
      <c r="F141" s="277" t="s">
        <v>4728</v>
      </c>
      <c r="G141" s="277" t="s">
        <v>4786</v>
      </c>
      <c r="H141" s="277" t="s">
        <v>4787</v>
      </c>
      <c r="I141" s="277">
        <v>996</v>
      </c>
      <c r="J141" s="277" t="s">
        <v>4788</v>
      </c>
      <c r="K141" s="277">
        <v>302</v>
      </c>
      <c r="L141" s="277" t="s">
        <v>4809</v>
      </c>
      <c r="M141" s="277" t="s">
        <v>8</v>
      </c>
      <c r="N141" s="277" t="s">
        <v>4810</v>
      </c>
      <c r="O141" s="277">
        <v>521211</v>
      </c>
      <c r="P141" s="277" t="s">
        <v>4698</v>
      </c>
      <c r="Q141" s="221" cm="1">
        <f t="array" ref="Q141">SUM(_xlfn._xlws.FILTER(DIPA2[PaguRevisi],DIPA2[Akun]=SP2D[[#This Row],[Kode Akun]],0))</f>
        <v>25000000</v>
      </c>
      <c r="R141" s="416">
        <v>25000000</v>
      </c>
      <c r="S141" s="292">
        <f>SUM('PER BULAN'!J229:L229)</f>
        <v>0</v>
      </c>
      <c r="T141" s="292">
        <f>SUM('PER BULAN'!M229:O229)</f>
        <v>0</v>
      </c>
      <c r="U141" s="292">
        <f>SUM('PER BULAN'!P229:R229)</f>
        <v>0</v>
      </c>
      <c r="V141" s="292">
        <f>SUM('PER BULAN'!S229:U229)</f>
        <v>0</v>
      </c>
      <c r="W141" s="292">
        <f>SUM('PER BULAN'!V229:X229)</f>
        <v>2961000</v>
      </c>
      <c r="X141" s="292">
        <f>SUM('PER BULAN'!Y229:AA229)</f>
        <v>0</v>
      </c>
      <c r="Y141" s="292">
        <f>SUM('PER BULAN'!AB229:AD229)</f>
        <v>0</v>
      </c>
      <c r="Z141" s="292">
        <f>SUM('PER BULAN'!AE229:AG229)</f>
        <v>0</v>
      </c>
      <c r="AA141" s="292">
        <f>SUM('PER BULAN'!AH229:AJ229)</f>
        <v>0</v>
      </c>
      <c r="AB141" s="292">
        <f>SUM('PER BULAN'!AK229:AM229)</f>
        <v>0</v>
      </c>
      <c r="AC141" s="292">
        <f>SUM('PER BULAN'!AN229:AP229)</f>
        <v>0</v>
      </c>
      <c r="AD141" s="292">
        <f>SUM('PER BULAN'!AQ229:AS229)</f>
        <v>0</v>
      </c>
      <c r="AE141" s="277" t="s">
        <v>530</v>
      </c>
      <c r="AF141" s="277" t="s">
        <v>542</v>
      </c>
      <c r="AG141" s="277" t="s">
        <v>543</v>
      </c>
      <c r="AH141" s="277" t="s">
        <v>4699</v>
      </c>
      <c r="AI141" s="277" t="s">
        <v>4700</v>
      </c>
      <c r="AJ141" s="494">
        <f t="shared" si="12"/>
        <v>2961000</v>
      </c>
      <c r="AK141" s="291">
        <f t="shared" si="14"/>
        <v>11.844000000000001</v>
      </c>
      <c r="AL141" s="494">
        <f t="shared" si="13"/>
        <v>22039000</v>
      </c>
      <c r="AM141" s="291">
        <f t="shared" si="15"/>
        <v>88.156000000000006</v>
      </c>
      <c r="AN141" s="277" t="str">
        <f t="shared" si="16"/>
        <v>WA.4345.EBC.996.302.A.521211</v>
      </c>
      <c r="AO141" s="277" t="str">
        <f>IF(ISNUMBER(SEARCH("COVID",SP2D[[#This Row],[Akun]])),"COVID","Non COVID")</f>
        <v>Non COVID</v>
      </c>
      <c r="AP141"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Q141"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41" s="292">
        <f>SUM('PER BULAN'!BA229)</f>
        <v>0</v>
      </c>
      <c r="AS141" s="292">
        <f>SUM('PER BULAN'!BB229)</f>
        <v>0</v>
      </c>
      <c r="AT141" s="292">
        <f>SUM('PER BULAN'!BC229)</f>
        <v>0</v>
      </c>
      <c r="AU141" s="292">
        <f>SUM('PER BULAN'!BD229)</f>
        <v>0</v>
      </c>
      <c r="AV141" s="292">
        <f>SUM('PER BULAN'!BE229)</f>
        <v>0</v>
      </c>
      <c r="AW141" s="292">
        <f>SUM('PER BULAN'!BF229)</f>
        <v>0</v>
      </c>
      <c r="AX141" s="292">
        <f>SUM('PER BULAN'!BG229)</f>
        <v>2961000</v>
      </c>
      <c r="AY141" s="292">
        <f>SUM('PER BULAN'!BH229)</f>
        <v>0</v>
      </c>
    </row>
    <row r="142" spans="1:51" s="278" customFormat="1" x14ac:dyDescent="0.3">
      <c r="A142" s="277" t="s">
        <v>4693</v>
      </c>
      <c r="B142" s="277" t="s">
        <v>4694</v>
      </c>
      <c r="C142" s="277" t="s">
        <v>4720</v>
      </c>
      <c r="D142" s="277" t="s">
        <v>4721</v>
      </c>
      <c r="E142" s="277" t="s">
        <v>198</v>
      </c>
      <c r="F142" s="277" t="s">
        <v>4728</v>
      </c>
      <c r="G142" s="277" t="s">
        <v>4786</v>
      </c>
      <c r="H142" s="277" t="s">
        <v>4787</v>
      </c>
      <c r="I142" s="277">
        <v>996</v>
      </c>
      <c r="J142" s="277" t="s">
        <v>4788</v>
      </c>
      <c r="K142" s="277">
        <v>302</v>
      </c>
      <c r="L142" s="277" t="s">
        <v>4809</v>
      </c>
      <c r="M142" s="277" t="s">
        <v>8</v>
      </c>
      <c r="N142" s="277" t="s">
        <v>4810</v>
      </c>
      <c r="O142" s="277">
        <v>521811</v>
      </c>
      <c r="P142" s="277" t="s">
        <v>4716</v>
      </c>
      <c r="Q142" s="221" cm="1">
        <f t="array" ref="Q142">SUM(_xlfn._xlws.FILTER(DIPA2[PaguRevisi],DIPA2[Akun]=SP2D[[#This Row],[Kode Akun]],0))</f>
        <v>30000000</v>
      </c>
      <c r="R142" s="416">
        <v>30000000</v>
      </c>
      <c r="S142" s="292">
        <f>SUM('PER BULAN'!J230:L230)</f>
        <v>0</v>
      </c>
      <c r="T142" s="292">
        <f>SUM('PER BULAN'!M230:O230)</f>
        <v>0</v>
      </c>
      <c r="U142" s="292">
        <f>SUM('PER BULAN'!P230:R230)</f>
        <v>0</v>
      </c>
      <c r="V142" s="292">
        <f>SUM('PER BULAN'!S230:U230)</f>
        <v>0</v>
      </c>
      <c r="W142" s="292">
        <f>SUM('PER BULAN'!V230:X230)</f>
        <v>4845000</v>
      </c>
      <c r="X142" s="292">
        <f>SUM('PER BULAN'!Y230:AA230)</f>
        <v>0</v>
      </c>
      <c r="Y142" s="292">
        <f>SUM('PER BULAN'!AB230:AD230)</f>
        <v>0</v>
      </c>
      <c r="Z142" s="292">
        <f>SUM('PER BULAN'!AE230:AG230)</f>
        <v>0</v>
      </c>
      <c r="AA142" s="292">
        <f>SUM('PER BULAN'!AH230:AJ230)</f>
        <v>0</v>
      </c>
      <c r="AB142" s="292">
        <f>SUM('PER BULAN'!AK230:AM230)</f>
        <v>0</v>
      </c>
      <c r="AC142" s="292">
        <f>SUM('PER BULAN'!AN230:AP230)</f>
        <v>0</v>
      </c>
      <c r="AD142" s="292">
        <f>SUM('PER BULAN'!AQ230:AS230)</f>
        <v>0</v>
      </c>
      <c r="AE142" s="277" t="s">
        <v>530</v>
      </c>
      <c r="AF142" s="277" t="s">
        <v>542</v>
      </c>
      <c r="AG142" s="277" t="s">
        <v>543</v>
      </c>
      <c r="AH142" s="277" t="s">
        <v>4699</v>
      </c>
      <c r="AI142" s="277" t="s">
        <v>4700</v>
      </c>
      <c r="AJ142" s="494">
        <f t="shared" si="12"/>
        <v>4845000</v>
      </c>
      <c r="AK142" s="291">
        <f t="shared" si="14"/>
        <v>16.150000000000002</v>
      </c>
      <c r="AL142" s="494">
        <f t="shared" si="13"/>
        <v>25155000</v>
      </c>
      <c r="AM142" s="291">
        <f t="shared" si="15"/>
        <v>83.850000000000009</v>
      </c>
      <c r="AN142" s="277" t="str">
        <f t="shared" si="16"/>
        <v>WA.4345.EBC.996.302.A.521811</v>
      </c>
      <c r="AO142" s="277" t="str">
        <f>IF(ISNUMBER(SEARCH("COVID",SP2D[[#This Row],[Akun]])),"COVID","Non COVID")</f>
        <v>Non COVID</v>
      </c>
      <c r="AP142"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Q142"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42" s="292">
        <f>SUM('PER BULAN'!BA230)</f>
        <v>0</v>
      </c>
      <c r="AS142" s="292">
        <f>SUM('PER BULAN'!BB230)</f>
        <v>0</v>
      </c>
      <c r="AT142" s="292">
        <f>SUM('PER BULAN'!BC230)</f>
        <v>0</v>
      </c>
      <c r="AU142" s="292">
        <f>SUM('PER BULAN'!BD230)</f>
        <v>0</v>
      </c>
      <c r="AV142" s="292">
        <f>SUM('PER BULAN'!BE230)</f>
        <v>0</v>
      </c>
      <c r="AW142" s="292">
        <f>SUM('PER BULAN'!BF230)</f>
        <v>0</v>
      </c>
      <c r="AX142" s="292">
        <f>SUM('PER BULAN'!BG230)</f>
        <v>4845000</v>
      </c>
      <c r="AY142" s="292">
        <f>SUM('PER BULAN'!BH230)</f>
        <v>0</v>
      </c>
    </row>
    <row r="143" spans="1:51" s="278" customFormat="1" x14ac:dyDescent="0.3">
      <c r="A143" s="277" t="s">
        <v>4693</v>
      </c>
      <c r="B143" s="277" t="s">
        <v>4694</v>
      </c>
      <c r="C143" s="277" t="s">
        <v>4720</v>
      </c>
      <c r="D143" s="277" t="s">
        <v>4721</v>
      </c>
      <c r="E143" s="277" t="s">
        <v>198</v>
      </c>
      <c r="F143" s="277" t="s">
        <v>4728</v>
      </c>
      <c r="G143" s="277" t="s">
        <v>4786</v>
      </c>
      <c r="H143" s="277" t="s">
        <v>4787</v>
      </c>
      <c r="I143" s="277">
        <v>996</v>
      </c>
      <c r="J143" s="277" t="s">
        <v>4788</v>
      </c>
      <c r="K143" s="277">
        <v>302</v>
      </c>
      <c r="L143" s="277" t="s">
        <v>4809</v>
      </c>
      <c r="M143" s="277" t="s">
        <v>8</v>
      </c>
      <c r="N143" s="277" t="s">
        <v>4810</v>
      </c>
      <c r="O143" s="277">
        <v>524111</v>
      </c>
      <c r="P143" s="277" t="s">
        <v>4702</v>
      </c>
      <c r="Q143" s="221" cm="1">
        <f t="array" ref="Q143">SUM(_xlfn._xlws.FILTER(DIPA2[PaguRevisi],DIPA2[Akun]=SP2D[[#This Row],[Kode Akun]],0))</f>
        <v>54200000</v>
      </c>
      <c r="R143" s="416">
        <v>54200000</v>
      </c>
      <c r="S143" s="292">
        <f>SUM('PER BULAN'!J231:L231)</f>
        <v>0</v>
      </c>
      <c r="T143" s="292">
        <f>SUM('PER BULAN'!M231:O231)</f>
        <v>0</v>
      </c>
      <c r="U143" s="292">
        <f>SUM('PER BULAN'!P231:R231)</f>
        <v>0</v>
      </c>
      <c r="V143" s="292">
        <f>SUM('PER BULAN'!S231:U231)</f>
        <v>0</v>
      </c>
      <c r="W143" s="292">
        <f>SUM('PER BULAN'!V231:X231)</f>
        <v>0</v>
      </c>
      <c r="X143" s="292">
        <f>SUM('PER BULAN'!Y231:AA231)</f>
        <v>0</v>
      </c>
      <c r="Y143" s="292">
        <f>SUM('PER BULAN'!AB231:AD231)</f>
        <v>0</v>
      </c>
      <c r="Z143" s="292">
        <f>SUM('PER BULAN'!AE231:AG231)</f>
        <v>0</v>
      </c>
      <c r="AA143" s="292">
        <f>SUM('PER BULAN'!AH231:AJ231)</f>
        <v>0</v>
      </c>
      <c r="AB143" s="292">
        <f>SUM('PER BULAN'!AK231:AM231)</f>
        <v>0</v>
      </c>
      <c r="AC143" s="292">
        <f>SUM('PER BULAN'!AN231:AP231)</f>
        <v>0</v>
      </c>
      <c r="AD143" s="292">
        <f>SUM('PER BULAN'!AQ231:AS231)</f>
        <v>0</v>
      </c>
      <c r="AE143" s="277" t="s">
        <v>530</v>
      </c>
      <c r="AF143" s="277" t="s">
        <v>542</v>
      </c>
      <c r="AG143" s="277" t="s">
        <v>543</v>
      </c>
      <c r="AH143" s="277" t="s">
        <v>4699</v>
      </c>
      <c r="AI143" s="277" t="s">
        <v>4700</v>
      </c>
      <c r="AJ143" s="494">
        <f t="shared" si="12"/>
        <v>0</v>
      </c>
      <c r="AK143" s="291">
        <f t="shared" si="14"/>
        <v>0</v>
      </c>
      <c r="AL143" s="494">
        <f t="shared" si="13"/>
        <v>54200000</v>
      </c>
      <c r="AM143" s="291">
        <f t="shared" si="15"/>
        <v>100</v>
      </c>
      <c r="AN143" s="277" t="str">
        <f t="shared" si="16"/>
        <v>WA.4345.EBC.996.302.A.524111</v>
      </c>
      <c r="AO143" s="277" t="str">
        <f>IF(ISNUMBER(SEARCH("COVID",SP2D[[#This Row],[Akun]])),"COVID","Non COVID")</f>
        <v>Non COVID</v>
      </c>
      <c r="AP143" s="277"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Q143" s="277"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R143" s="292">
        <f>SUM('PER BULAN'!BA231)</f>
        <v>0</v>
      </c>
      <c r="AS143" s="292">
        <f>SUM('PER BULAN'!BB231)</f>
        <v>0</v>
      </c>
      <c r="AT143" s="292">
        <f>SUM('PER BULAN'!BC231)</f>
        <v>0</v>
      </c>
      <c r="AU143" s="292">
        <f>SUM('PER BULAN'!BD231)</f>
        <v>0</v>
      </c>
      <c r="AV143" s="292">
        <f>SUM('PER BULAN'!BE231)</f>
        <v>0</v>
      </c>
      <c r="AW143" s="292">
        <f>SUM('PER BULAN'!BF231)</f>
        <v>0</v>
      </c>
      <c r="AX143" s="292">
        <f>SUM('PER BULAN'!BG231)</f>
        <v>0</v>
      </c>
      <c r="AY143" s="292">
        <f>SUM('PER BULAN'!BH231)</f>
        <v>0</v>
      </c>
    </row>
    <row r="144" spans="1:51" x14ac:dyDescent="0.3">
      <c r="Q144" s="297">
        <f t="shared" ref="Q144:AD144" si="17">SUM(Q4:Q143)</f>
        <v>11375804000</v>
      </c>
      <c r="R144" s="297">
        <f t="shared" ref="R144" si="18">SUM(R4:R143)</f>
        <v>16863164000</v>
      </c>
      <c r="S144" s="297">
        <f t="shared" si="17"/>
        <v>0</v>
      </c>
      <c r="T144" s="297">
        <f t="shared" si="17"/>
        <v>74237800</v>
      </c>
      <c r="U144" s="297">
        <f t="shared" si="17"/>
        <v>672277677</v>
      </c>
      <c r="V144" s="297">
        <f t="shared" si="17"/>
        <v>1892688850</v>
      </c>
      <c r="W144" s="297">
        <f t="shared" si="17"/>
        <v>1260934024</v>
      </c>
      <c r="X144" s="297">
        <f t="shared" si="17"/>
        <v>2167184581</v>
      </c>
      <c r="Y144" s="297">
        <f t="shared" si="17"/>
        <v>0</v>
      </c>
      <c r="Z144" s="297">
        <f t="shared" si="17"/>
        <v>0</v>
      </c>
      <c r="AA144" s="297">
        <f t="shared" si="17"/>
        <v>0</v>
      </c>
      <c r="AB144" s="297">
        <f t="shared" si="17"/>
        <v>0</v>
      </c>
      <c r="AC144" s="297">
        <f t="shared" si="17"/>
        <v>0</v>
      </c>
      <c r="AD144" s="297">
        <f t="shared" si="17"/>
        <v>0</v>
      </c>
      <c r="AJ144" s="297">
        <f>SUM(AJ4:AJ143)</f>
        <v>6067322932</v>
      </c>
      <c r="AK144" s="298">
        <f>AJ144/Q144*100</f>
        <v>53.33533288724032</v>
      </c>
      <c r="AL144" s="297">
        <f>SUM(AL4:AL143)</f>
        <v>5308481068</v>
      </c>
      <c r="AM144" s="298">
        <f>AL144/Q144*100</f>
        <v>46.66466711275968</v>
      </c>
      <c r="AR144" s="297">
        <f>SUM(AR4:AR143)</f>
        <v>99961115</v>
      </c>
      <c r="AS144" s="297">
        <f>SUM(AS4:AS143)</f>
        <v>410500187</v>
      </c>
      <c r="AT144" s="297">
        <f t="shared" ref="AT144:AV144" si="19">SUM(AT4:AT143)</f>
        <v>98176375</v>
      </c>
      <c r="AU144" s="297">
        <f t="shared" si="19"/>
        <v>95254996</v>
      </c>
      <c r="AV144" s="297">
        <f t="shared" si="19"/>
        <v>95439616</v>
      </c>
      <c r="AW144" s="297">
        <f t="shared" ref="AW144:AX144" si="20">SUM(AW4:AW143)</f>
        <v>93838577</v>
      </c>
      <c r="AX144" s="297">
        <f t="shared" si="20"/>
        <v>312088731</v>
      </c>
      <c r="AY144" s="297">
        <f t="shared" ref="AY144" si="21">SUM(AY4:AY143)</f>
        <v>7559500</v>
      </c>
    </row>
    <row r="145" spans="1:51" x14ac:dyDescent="0.3">
      <c r="U145" s="276"/>
    </row>
    <row r="146" spans="1:51" s="275" customFormat="1" x14ac:dyDescent="0.3">
      <c r="A146" s="275" t="s">
        <v>4661</v>
      </c>
      <c r="B146" s="275" t="s">
        <v>4662</v>
      </c>
      <c r="C146" s="275" t="s">
        <v>4663</v>
      </c>
      <c r="D146" s="275" t="s">
        <v>496</v>
      </c>
      <c r="E146" s="275" t="s">
        <v>4664</v>
      </c>
      <c r="F146" s="275" t="s">
        <v>497</v>
      </c>
      <c r="G146" s="275" t="s">
        <v>4665</v>
      </c>
      <c r="H146" s="275" t="s">
        <v>4666</v>
      </c>
      <c r="I146" s="275" t="s">
        <v>4667</v>
      </c>
      <c r="J146" s="275" t="s">
        <v>4668</v>
      </c>
      <c r="K146" s="275" t="s">
        <v>4669</v>
      </c>
      <c r="L146" s="275" t="s">
        <v>498</v>
      </c>
      <c r="M146" s="275" t="s">
        <v>4670</v>
      </c>
      <c r="N146" s="275" t="s">
        <v>4671</v>
      </c>
      <c r="O146" s="275" t="s">
        <v>4672</v>
      </c>
      <c r="P146" s="275" t="s">
        <v>499</v>
      </c>
      <c r="Q146" s="415" t="s">
        <v>4650</v>
      </c>
      <c r="R146" s="415" t="s">
        <v>6234</v>
      </c>
      <c r="S146" s="275" t="s">
        <v>4673</v>
      </c>
      <c r="T146" s="275" t="s">
        <v>4674</v>
      </c>
      <c r="U146" s="275" t="s">
        <v>4675</v>
      </c>
      <c r="V146" s="275" t="s">
        <v>4676</v>
      </c>
      <c r="W146" s="275" t="s">
        <v>4677</v>
      </c>
      <c r="X146" s="275" t="s">
        <v>4678</v>
      </c>
      <c r="Y146" s="275" t="s">
        <v>4679</v>
      </c>
      <c r="Z146" s="275" t="s">
        <v>4680</v>
      </c>
      <c r="AA146" s="275" t="s">
        <v>4681</v>
      </c>
      <c r="AB146" s="275" t="s">
        <v>4682</v>
      </c>
      <c r="AC146" s="275" t="s">
        <v>4683</v>
      </c>
      <c r="AD146" s="275" t="s">
        <v>4684</v>
      </c>
      <c r="AE146" s="275" t="s">
        <v>4685</v>
      </c>
      <c r="AF146" s="275" t="s">
        <v>4686</v>
      </c>
      <c r="AG146" s="275" t="s">
        <v>500</v>
      </c>
      <c r="AH146" s="275" t="s">
        <v>4687</v>
      </c>
      <c r="AI146" s="275" t="s">
        <v>4688</v>
      </c>
      <c r="AJ146" s="415" t="s">
        <v>4651</v>
      </c>
      <c r="AK146" s="275" t="s">
        <v>4818</v>
      </c>
      <c r="AL146" s="415" t="s">
        <v>4652</v>
      </c>
      <c r="AM146" s="275" t="s">
        <v>6248</v>
      </c>
      <c r="AN146" s="275" t="s">
        <v>4689</v>
      </c>
      <c r="AO146" s="275" t="s">
        <v>4690</v>
      </c>
      <c r="AP146" s="275" t="s">
        <v>4691</v>
      </c>
      <c r="AQ146" s="275" t="s">
        <v>4692</v>
      </c>
      <c r="AR146" s="275" t="s">
        <v>4826</v>
      </c>
      <c r="AS146" s="275" t="s">
        <v>4827</v>
      </c>
      <c r="AT146" s="275" t="s">
        <v>4828</v>
      </c>
      <c r="AU146" s="275" t="s">
        <v>4836</v>
      </c>
      <c r="AV146" s="275" t="s">
        <v>5160</v>
      </c>
      <c r="AW146" s="275" t="s">
        <v>5196</v>
      </c>
      <c r="AX146" s="275" t="s">
        <v>5197</v>
      </c>
      <c r="AY146" s="275" t="s">
        <v>5352</v>
      </c>
    </row>
    <row r="147" spans="1:51" x14ac:dyDescent="0.3">
      <c r="A147" s="277" t="s">
        <v>4693</v>
      </c>
      <c r="B147" s="277" t="s">
        <v>4694</v>
      </c>
      <c r="C147" s="277" t="s">
        <v>4720</v>
      </c>
      <c r="D147" s="277" t="s">
        <v>4721</v>
      </c>
      <c r="E147" s="277" t="s">
        <v>197</v>
      </c>
      <c r="F147" s="277" t="s">
        <v>4722</v>
      </c>
      <c r="G147" s="277" t="s">
        <v>4737</v>
      </c>
      <c r="H147" s="277" t="s">
        <v>4738</v>
      </c>
      <c r="I147" s="414">
        <v>994</v>
      </c>
      <c r="J147" s="277" t="s">
        <v>4751</v>
      </c>
      <c r="K147" s="277" t="s">
        <v>501</v>
      </c>
      <c r="L147" s="277" t="s">
        <v>5000</v>
      </c>
      <c r="M147" s="277" t="s">
        <v>1807</v>
      </c>
      <c r="N147" s="277" t="s">
        <v>6362</v>
      </c>
      <c r="O147" s="277">
        <v>511111</v>
      </c>
      <c r="P147" s="277" t="s">
        <v>6351</v>
      </c>
      <c r="Q147" s="221" cm="1">
        <f t="array" ref="Q147">SUM(_xlfn._xlws.FILTER(DIPA2[PaguRevisi],DIPA2[Akun]=Gaji[[#This Row],[Kode Akun]],0))</f>
        <v>2483477000</v>
      </c>
      <c r="R147" s="494">
        <v>2483477000</v>
      </c>
      <c r="S147" s="292">
        <f>SUM('PER BULAN'!J238:L238)</f>
        <v>165683660</v>
      </c>
      <c r="T147" s="292">
        <f>SUM('PER BULAN'!M238:O238)</f>
        <v>164673160</v>
      </c>
      <c r="U147" s="292">
        <f>SUM('PER BULAN'!P238:R238)</f>
        <v>178479060</v>
      </c>
      <c r="V147" s="292">
        <f>SUM('PER BULAN'!S238:U238)</f>
        <v>333776320</v>
      </c>
      <c r="W147" s="292">
        <f>SUM('PER BULAN'!V238:X238)</f>
        <v>167793300</v>
      </c>
      <c r="X147" s="292">
        <f>SUM('PER BULAN'!Y238:AA238)</f>
        <v>171027300</v>
      </c>
      <c r="Y147" s="292">
        <f>SUM('PER BULAN'!AB238:AD238)</f>
        <v>0</v>
      </c>
      <c r="Z147" s="292">
        <f>SUM('PER BULAN'!AE238:AG238)</f>
        <v>0</v>
      </c>
      <c r="AA147" s="292">
        <f>SUM('PER BULAN'!AH238:AJ238)</f>
        <v>0</v>
      </c>
      <c r="AB147" s="292">
        <f>SUM('PER BULAN'!AK238:AM238)</f>
        <v>0</v>
      </c>
      <c r="AC147" s="292">
        <f>SUM('PER BULAN'!AN238:AP238)</f>
        <v>0</v>
      </c>
      <c r="AD147" s="276">
        <f>SUM('PER BULAN'!AQ238:AS238)</f>
        <v>0</v>
      </c>
      <c r="AE147" s="277" t="s">
        <v>530</v>
      </c>
      <c r="AF147" s="277" t="s">
        <v>576</v>
      </c>
      <c r="AG147" s="277" t="s">
        <v>546</v>
      </c>
      <c r="AH147" s="277">
        <v>51</v>
      </c>
      <c r="AI147" s="277" t="s">
        <v>4700</v>
      </c>
      <c r="AJ147" s="494">
        <f t="shared" ref="AJ147:AJ157" si="22">SUM(S147:AD147)</f>
        <v>1181432800</v>
      </c>
      <c r="AK147" s="291">
        <f t="shared" ref="AK147:AK157" si="23">IFERROR(AJ147/Q147*100,0)</f>
        <v>47.571723031862184</v>
      </c>
      <c r="AL147" s="494">
        <f t="shared" ref="AL147" si="24">Q147-AJ147</f>
        <v>1302044200</v>
      </c>
      <c r="AM147" s="291">
        <f t="shared" ref="AM147:AM157" si="25">IFERROR(AL147/Q147*100,0)</f>
        <v>52.428276968137823</v>
      </c>
      <c r="AN147" s="277" t="str">
        <f t="shared" ref="AN147:AN157" si="26">_xlfn.TEXTJOIN(".",TRUE,C147,E147,G147,I147,K147,M147,O147)</f>
        <v>WA.2378.EBA.994.001.GA.511111</v>
      </c>
      <c r="AO147" s="277" t="str">
        <f>IF(ISNUMBER(SEARCH("COVID",Gaji[[#This Row],[Akun]])),"COVID","Non COVID")</f>
        <v>Non COVID</v>
      </c>
      <c r="AP147"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47" s="277" t="str">
        <f>IF(AND(ISNUMBER(SEARCH("OPERASIONAL",Gaji[[#This Row],[Komponen]])),ISNUMBER(SEARCH("LAYANAN PERKANTORAN",Gaji[[#This Row],[SubOutput]]))),"Belanja Barang Operasional",IF(LEFT(Gaji[[#This Row],[kdakun]],2)="53","Belanja Modal",IF(LEFT(Gaji[[#This Row],[kdakun]],2)="51","Belanja Pegawai","Belanja Barang Non Operasional")))</f>
        <v>Belanja Pegawai</v>
      </c>
      <c r="AR147" s="292"/>
      <c r="AS147" s="292"/>
      <c r="AT147" s="292"/>
      <c r="AU147" s="277"/>
      <c r="AV147" s="277"/>
      <c r="AW147" s="277"/>
    </row>
    <row r="148" spans="1:51" x14ac:dyDescent="0.3">
      <c r="A148" s="277" t="s">
        <v>4693</v>
      </c>
      <c r="B148" s="277" t="s">
        <v>4694</v>
      </c>
      <c r="C148" s="277" t="s">
        <v>4720</v>
      </c>
      <c r="D148" s="277" t="s">
        <v>4721</v>
      </c>
      <c r="E148" s="277" t="s">
        <v>197</v>
      </c>
      <c r="F148" s="277" t="s">
        <v>4722</v>
      </c>
      <c r="G148" s="277" t="s">
        <v>4737</v>
      </c>
      <c r="H148" s="277" t="s">
        <v>4738</v>
      </c>
      <c r="I148" s="414">
        <v>994</v>
      </c>
      <c r="J148" s="277" t="s">
        <v>4751</v>
      </c>
      <c r="K148" s="277" t="s">
        <v>501</v>
      </c>
      <c r="L148" s="277" t="s">
        <v>5000</v>
      </c>
      <c r="M148" s="277" t="s">
        <v>1807</v>
      </c>
      <c r="N148" s="277" t="s">
        <v>6362</v>
      </c>
      <c r="O148" s="277">
        <v>511119</v>
      </c>
      <c r="P148" s="277" t="s">
        <v>6352</v>
      </c>
      <c r="Q148" s="221" cm="1">
        <f t="array" ref="Q148">SUM(_xlfn._xlws.FILTER(DIPA2[PaguRevisi],DIPA2[Akun]=Gaji[[#This Row],[Kode Akun]],0))</f>
        <v>38000</v>
      </c>
      <c r="R148" s="494">
        <v>38000</v>
      </c>
      <c r="S148" s="292">
        <f>SUM('PER BULAN'!J239:L239)</f>
        <v>2296</v>
      </c>
      <c r="T148" s="292">
        <f>SUM('PER BULAN'!M239:O239)</f>
        <v>2382</v>
      </c>
      <c r="U148" s="292">
        <f>SUM('PER BULAN'!P239:R239)</f>
        <v>3161</v>
      </c>
      <c r="V148" s="292">
        <f>SUM('PER BULAN'!S239:U239)</f>
        <v>5493</v>
      </c>
      <c r="W148" s="292">
        <f>SUM('PER BULAN'!V239:X239)</f>
        <v>2489</v>
      </c>
      <c r="X148" s="292">
        <f>SUM('PER BULAN'!Y239:AA239)</f>
        <v>2471</v>
      </c>
      <c r="Y148" s="292">
        <f>SUM('PER BULAN'!AB239:AD239)</f>
        <v>0</v>
      </c>
      <c r="Z148" s="292">
        <f>SUM('PER BULAN'!AE239:AG239)</f>
        <v>0</v>
      </c>
      <c r="AA148" s="292">
        <f>SUM('PER BULAN'!AH239:AJ239)</f>
        <v>0</v>
      </c>
      <c r="AB148" s="292">
        <f>SUM('PER BULAN'!AK239:AM239)</f>
        <v>0</v>
      </c>
      <c r="AC148" s="292">
        <f>SUM('PER BULAN'!AN239:AP239)</f>
        <v>0</v>
      </c>
      <c r="AD148" s="276">
        <f>SUM('PER BULAN'!AQ239:AS239)</f>
        <v>0</v>
      </c>
      <c r="AE148" s="277" t="s">
        <v>530</v>
      </c>
      <c r="AF148" s="277" t="s">
        <v>576</v>
      </c>
      <c r="AG148" s="277" t="s">
        <v>546</v>
      </c>
      <c r="AH148" s="277">
        <v>51</v>
      </c>
      <c r="AI148" s="277" t="s">
        <v>4700</v>
      </c>
      <c r="AJ148" s="416">
        <f t="shared" si="22"/>
        <v>18292</v>
      </c>
      <c r="AK148" s="291">
        <f t="shared" si="23"/>
        <v>48.136842105263156</v>
      </c>
      <c r="AL148" s="416">
        <f>Q148-AJ148</f>
        <v>19708</v>
      </c>
      <c r="AM148" s="291">
        <f t="shared" si="25"/>
        <v>51.863157894736844</v>
      </c>
      <c r="AN148" s="277" t="str">
        <f t="shared" si="26"/>
        <v>WA.2378.EBA.994.001.GA.511119</v>
      </c>
      <c r="AO148" s="277" t="str">
        <f>IF(ISNUMBER(SEARCH("COVID",Gaji[[#This Row],[Akun]])),"COVID","Non COVID")</f>
        <v>Non COVID</v>
      </c>
      <c r="AP148"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48"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48" s="292"/>
      <c r="AS148" s="292"/>
      <c r="AT148" s="292"/>
      <c r="AU148" s="277"/>
      <c r="AV148" s="277"/>
      <c r="AW148" s="277"/>
    </row>
    <row r="149" spans="1:51" x14ac:dyDescent="0.3">
      <c r="A149" s="277" t="s">
        <v>4693</v>
      </c>
      <c r="B149" s="277" t="s">
        <v>4694</v>
      </c>
      <c r="C149" s="277" t="s">
        <v>4720</v>
      </c>
      <c r="D149" s="277" t="s">
        <v>4721</v>
      </c>
      <c r="E149" s="277" t="s">
        <v>197</v>
      </c>
      <c r="F149" s="277" t="s">
        <v>4722</v>
      </c>
      <c r="G149" s="277" t="s">
        <v>4737</v>
      </c>
      <c r="H149" s="277" t="s">
        <v>4738</v>
      </c>
      <c r="I149" s="414">
        <v>994</v>
      </c>
      <c r="J149" s="277" t="s">
        <v>4751</v>
      </c>
      <c r="K149" s="277" t="s">
        <v>501</v>
      </c>
      <c r="L149" s="277" t="s">
        <v>5000</v>
      </c>
      <c r="M149" s="277" t="s">
        <v>1807</v>
      </c>
      <c r="N149" s="277" t="s">
        <v>6362</v>
      </c>
      <c r="O149" s="277">
        <v>511121</v>
      </c>
      <c r="P149" s="277" t="s">
        <v>6353</v>
      </c>
      <c r="Q149" s="221" cm="1">
        <f t="array" ref="Q149">SUM(_xlfn._xlws.FILTER(DIPA2[PaguRevisi],DIPA2[Akun]=Gaji[[#This Row],[Kode Akun]],0))</f>
        <v>171959000</v>
      </c>
      <c r="R149" s="494">
        <v>171959000</v>
      </c>
      <c r="S149" s="292">
        <f>SUM('PER BULAN'!J240:L240)</f>
        <v>11298990</v>
      </c>
      <c r="T149" s="292">
        <f>SUM('PER BULAN'!M240:O240)</f>
        <v>10479130</v>
      </c>
      <c r="U149" s="292">
        <f>SUM('PER BULAN'!P240:R240)</f>
        <v>11369370</v>
      </c>
      <c r="V149" s="292">
        <f>SUM('PER BULAN'!S240:U240)</f>
        <v>21754920</v>
      </c>
      <c r="W149" s="292">
        <f>SUM('PER BULAN'!V240:X240)</f>
        <v>10849200</v>
      </c>
      <c r="X149" s="292">
        <f>SUM('PER BULAN'!Y240:AA240)</f>
        <v>11193750</v>
      </c>
      <c r="Y149" s="292">
        <f>SUM('PER BULAN'!AB240:AD240)</f>
        <v>0</v>
      </c>
      <c r="Z149" s="292">
        <f>SUM('PER BULAN'!AE240:AG240)</f>
        <v>0</v>
      </c>
      <c r="AA149" s="292">
        <f>SUM('PER BULAN'!AH240:AJ240)</f>
        <v>0</v>
      </c>
      <c r="AB149" s="292">
        <f>SUM('PER BULAN'!AK240:AM240)</f>
        <v>0</v>
      </c>
      <c r="AC149" s="292">
        <f>SUM('PER BULAN'!AN240:AP240)</f>
        <v>0</v>
      </c>
      <c r="AD149" s="276">
        <f>SUM('PER BULAN'!AQ240:AS240)</f>
        <v>0</v>
      </c>
      <c r="AE149" s="277" t="s">
        <v>530</v>
      </c>
      <c r="AF149" s="277" t="s">
        <v>576</v>
      </c>
      <c r="AG149" s="277" t="s">
        <v>546</v>
      </c>
      <c r="AH149" s="277">
        <v>51</v>
      </c>
      <c r="AI149" s="277" t="s">
        <v>4700</v>
      </c>
      <c r="AJ149" s="416">
        <f t="shared" si="22"/>
        <v>76945360</v>
      </c>
      <c r="AK149" s="291">
        <f t="shared" si="23"/>
        <v>44.746340697491846</v>
      </c>
      <c r="AL149" s="416">
        <f>Q149-AJ149</f>
        <v>95013640</v>
      </c>
      <c r="AM149" s="291">
        <f t="shared" si="25"/>
        <v>55.253659302508154</v>
      </c>
      <c r="AN149" s="277" t="str">
        <f t="shared" si="26"/>
        <v>WA.2378.EBA.994.001.GA.511121</v>
      </c>
      <c r="AO149" s="277" t="str">
        <f>IF(ISNUMBER(SEARCH("COVID",Gaji[[#This Row],[Akun]])),"COVID","Non COVID")</f>
        <v>Non COVID</v>
      </c>
      <c r="AP149"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49"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49" s="292"/>
      <c r="AS149" s="292"/>
      <c r="AT149" s="292"/>
      <c r="AU149" s="277"/>
      <c r="AV149" s="277"/>
      <c r="AW149" s="277"/>
    </row>
    <row r="150" spans="1:51" x14ac:dyDescent="0.3">
      <c r="A150" s="277" t="s">
        <v>4693</v>
      </c>
      <c r="B150" s="277" t="s">
        <v>4694</v>
      </c>
      <c r="C150" s="277" t="s">
        <v>4720</v>
      </c>
      <c r="D150" s="277" t="s">
        <v>4721</v>
      </c>
      <c r="E150" s="277" t="s">
        <v>197</v>
      </c>
      <c r="F150" s="277" t="s">
        <v>4722</v>
      </c>
      <c r="G150" s="277" t="s">
        <v>4737</v>
      </c>
      <c r="H150" s="277" t="s">
        <v>4738</v>
      </c>
      <c r="I150" s="414">
        <v>994</v>
      </c>
      <c r="J150" s="277" t="s">
        <v>4751</v>
      </c>
      <c r="K150" s="277" t="s">
        <v>501</v>
      </c>
      <c r="L150" s="277" t="s">
        <v>5000</v>
      </c>
      <c r="M150" s="277" t="s">
        <v>1807</v>
      </c>
      <c r="N150" s="277" t="s">
        <v>6362</v>
      </c>
      <c r="O150" s="277">
        <v>511122</v>
      </c>
      <c r="P150" s="277" t="s">
        <v>6354</v>
      </c>
      <c r="Q150" s="221" cm="1">
        <f t="array" ref="Q150">SUM(_xlfn._xlws.FILTER(DIPA2[PaguRevisi],DIPA2[Akun]=Gaji[[#This Row],[Kode Akun]],0))</f>
        <v>46700000</v>
      </c>
      <c r="R150" s="494">
        <v>46700000</v>
      </c>
      <c r="S150" s="292">
        <f>SUM('PER BULAN'!J241:L241)</f>
        <v>3180974</v>
      </c>
      <c r="T150" s="292">
        <f>SUM('PER BULAN'!M241:O241)</f>
        <v>3106994</v>
      </c>
      <c r="U150" s="292">
        <f>SUM('PER BULAN'!P241:R241)</f>
        <v>3451660</v>
      </c>
      <c r="V150" s="292">
        <f>SUM('PER BULAN'!S241:U241)</f>
        <v>6510188</v>
      </c>
      <c r="W150" s="292">
        <f>SUM('PER BULAN'!V241:X241)</f>
        <v>3249442</v>
      </c>
      <c r="X150" s="292">
        <f>SUM('PER BULAN'!Y241:AA241)</f>
        <v>3387262</v>
      </c>
      <c r="Y150" s="292">
        <f>SUM('PER BULAN'!AB241:AD241)</f>
        <v>0</v>
      </c>
      <c r="Z150" s="292">
        <f>SUM('PER BULAN'!AE241:AG241)</f>
        <v>0</v>
      </c>
      <c r="AA150" s="292">
        <f>SUM('PER BULAN'!AH241:AJ241)</f>
        <v>0</v>
      </c>
      <c r="AB150" s="292">
        <f>SUM('PER BULAN'!AK241:AM241)</f>
        <v>0</v>
      </c>
      <c r="AC150" s="292">
        <f>SUM('PER BULAN'!AN241:AP241)</f>
        <v>0</v>
      </c>
      <c r="AD150" s="276">
        <f>SUM('PER BULAN'!AQ241:AS241)</f>
        <v>0</v>
      </c>
      <c r="AE150" s="277" t="s">
        <v>530</v>
      </c>
      <c r="AF150" s="277" t="s">
        <v>576</v>
      </c>
      <c r="AG150" s="277" t="s">
        <v>546</v>
      </c>
      <c r="AH150" s="277">
        <v>51</v>
      </c>
      <c r="AI150" s="277" t="s">
        <v>4700</v>
      </c>
      <c r="AJ150" s="416">
        <f t="shared" si="22"/>
        <v>22886520</v>
      </c>
      <c r="AK150" s="291">
        <f t="shared" si="23"/>
        <v>49.007537473233405</v>
      </c>
      <c r="AL150" s="416">
        <f>Q150-AJ150</f>
        <v>23813480</v>
      </c>
      <c r="AM150" s="291">
        <f t="shared" si="25"/>
        <v>50.992462526766587</v>
      </c>
      <c r="AN150" s="277" t="str">
        <f t="shared" si="26"/>
        <v>WA.2378.EBA.994.001.GA.511122</v>
      </c>
      <c r="AO150" s="277" t="str">
        <f>IF(ISNUMBER(SEARCH("COVID",Gaji[[#This Row],[Akun]])),"COVID","Non COVID")</f>
        <v>Non COVID</v>
      </c>
      <c r="AP150"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0"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0" s="292"/>
      <c r="AS150" s="292"/>
      <c r="AT150" s="292"/>
      <c r="AU150" s="277"/>
      <c r="AV150" s="277"/>
      <c r="AW150" s="277"/>
    </row>
    <row r="151" spans="1:51" x14ac:dyDescent="0.3">
      <c r="A151" s="277" t="s">
        <v>4693</v>
      </c>
      <c r="B151" s="277" t="s">
        <v>4694</v>
      </c>
      <c r="C151" s="277" t="s">
        <v>4720</v>
      </c>
      <c r="D151" s="277" t="s">
        <v>4721</v>
      </c>
      <c r="E151" s="277" t="s">
        <v>197</v>
      </c>
      <c r="F151" s="277" t="s">
        <v>4722</v>
      </c>
      <c r="G151" s="277" t="s">
        <v>4737</v>
      </c>
      <c r="H151" s="277" t="s">
        <v>4738</v>
      </c>
      <c r="I151" s="414">
        <v>994</v>
      </c>
      <c r="J151" s="277" t="s">
        <v>4751</v>
      </c>
      <c r="K151" s="277" t="s">
        <v>501</v>
      </c>
      <c r="L151" s="277" t="s">
        <v>5000</v>
      </c>
      <c r="M151" s="277" t="s">
        <v>1807</v>
      </c>
      <c r="N151" s="277" t="s">
        <v>6362</v>
      </c>
      <c r="O151" s="277">
        <v>511123</v>
      </c>
      <c r="P151" s="277" t="s">
        <v>6355</v>
      </c>
      <c r="Q151" s="221" cm="1">
        <f t="array" ref="Q151">SUM(_xlfn._xlws.FILTER(DIPA2[PaguRevisi],DIPA2[Akun]=Gaji[[#This Row],[Kode Akun]],0))</f>
        <v>158000000</v>
      </c>
      <c r="R151" s="494">
        <v>158000000</v>
      </c>
      <c r="S151" s="292">
        <f>SUM('PER BULAN'!J242:L242)</f>
        <v>9730000</v>
      </c>
      <c r="T151" s="292">
        <f>SUM('PER BULAN'!M242:O242)</f>
        <v>9730000</v>
      </c>
      <c r="U151" s="292">
        <f>SUM('PER BULAN'!P242:R242)</f>
        <v>9730000</v>
      </c>
      <c r="V151" s="292">
        <f>SUM('PER BULAN'!S242:U242)</f>
        <v>19460000</v>
      </c>
      <c r="W151" s="292">
        <f>SUM('PER BULAN'!V242:X242)</f>
        <v>9730000</v>
      </c>
      <c r="X151" s="292">
        <f>SUM('PER BULAN'!Y242:AA242)</f>
        <v>9730000</v>
      </c>
      <c r="Y151" s="292">
        <f>SUM('PER BULAN'!AB242:AD242)</f>
        <v>0</v>
      </c>
      <c r="Z151" s="292">
        <f>SUM('PER BULAN'!AE242:AG242)</f>
        <v>0</v>
      </c>
      <c r="AA151" s="292">
        <f>SUM('PER BULAN'!AH242:AJ242)</f>
        <v>0</v>
      </c>
      <c r="AB151" s="292">
        <f>SUM('PER BULAN'!AK242:AM242)</f>
        <v>0</v>
      </c>
      <c r="AC151" s="292">
        <f>SUM('PER BULAN'!AN242:AP242)</f>
        <v>0</v>
      </c>
      <c r="AD151" s="276">
        <f>SUM('PER BULAN'!AQ242:AS242)</f>
        <v>0</v>
      </c>
      <c r="AE151" s="277" t="s">
        <v>530</v>
      </c>
      <c r="AF151" s="277" t="s">
        <v>576</v>
      </c>
      <c r="AG151" s="277" t="s">
        <v>546</v>
      </c>
      <c r="AH151" s="277">
        <v>51</v>
      </c>
      <c r="AI151" s="277" t="s">
        <v>4700</v>
      </c>
      <c r="AJ151" s="416">
        <f t="shared" si="22"/>
        <v>68110000</v>
      </c>
      <c r="AK151" s="291">
        <f t="shared" si="23"/>
        <v>43.107594936708857</v>
      </c>
      <c r="AL151" s="416">
        <f>Q151-AJ151</f>
        <v>89890000</v>
      </c>
      <c r="AM151" s="291">
        <f t="shared" si="25"/>
        <v>56.892405063291143</v>
      </c>
      <c r="AN151" s="277" t="str">
        <f t="shared" si="26"/>
        <v>WA.2378.EBA.994.001.GA.511123</v>
      </c>
      <c r="AO151" s="277" t="str">
        <f>IF(ISNUMBER(SEARCH("COVID",Gaji[[#This Row],[Akun]])),"COVID","Non COVID")</f>
        <v>Non COVID</v>
      </c>
      <c r="AP151"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1"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1" s="292"/>
      <c r="AS151" s="292"/>
      <c r="AT151" s="292"/>
      <c r="AU151" s="277"/>
      <c r="AV151" s="277"/>
      <c r="AW151" s="277"/>
    </row>
    <row r="152" spans="1:51" x14ac:dyDescent="0.3">
      <c r="A152" s="277" t="s">
        <v>4693</v>
      </c>
      <c r="B152" s="277" t="s">
        <v>4694</v>
      </c>
      <c r="C152" s="277" t="s">
        <v>4720</v>
      </c>
      <c r="D152" s="277" t="s">
        <v>4721</v>
      </c>
      <c r="E152" s="277" t="s">
        <v>197</v>
      </c>
      <c r="F152" s="277" t="s">
        <v>4722</v>
      </c>
      <c r="G152" s="277" t="s">
        <v>4737</v>
      </c>
      <c r="H152" s="277" t="s">
        <v>4738</v>
      </c>
      <c r="I152" s="414">
        <v>994</v>
      </c>
      <c r="J152" s="277" t="s">
        <v>4751</v>
      </c>
      <c r="K152" s="277" t="s">
        <v>501</v>
      </c>
      <c r="L152" s="277" t="s">
        <v>5000</v>
      </c>
      <c r="M152" s="277" t="s">
        <v>1807</v>
      </c>
      <c r="N152" s="277" t="s">
        <v>6362</v>
      </c>
      <c r="O152" s="277">
        <v>511124</v>
      </c>
      <c r="P152" s="277" t="s">
        <v>6356</v>
      </c>
      <c r="Q152" s="221" cm="1">
        <f t="array" ref="Q152">SUM(_xlfn._xlws.FILTER(DIPA2[PaguRevisi],DIPA2[Akun]=Gaji[[#This Row],[Kode Akun]],0))</f>
        <v>48180000</v>
      </c>
      <c r="R152" s="494">
        <v>48180000</v>
      </c>
      <c r="S152" s="292">
        <f>SUM('PER BULAN'!J243:L243)</f>
        <v>4480000</v>
      </c>
      <c r="T152" s="292">
        <f>SUM('PER BULAN'!M243:O243)</f>
        <v>4480000</v>
      </c>
      <c r="U152" s="292">
        <f>SUM('PER BULAN'!P243:R243)</f>
        <v>5134000</v>
      </c>
      <c r="V152" s="292">
        <f>SUM('PER BULAN'!S243:U243)</f>
        <v>9614000</v>
      </c>
      <c r="W152" s="292">
        <f>SUM('PER BULAN'!V243:X243)</f>
        <v>4807000</v>
      </c>
      <c r="X152" s="292">
        <f>SUM('PER BULAN'!Y243:AA243)</f>
        <v>5287000</v>
      </c>
      <c r="Y152" s="292">
        <f>SUM('PER BULAN'!AB243:AD243)</f>
        <v>0</v>
      </c>
      <c r="Z152" s="292">
        <f>SUM('PER BULAN'!AE243:AG243)</f>
        <v>0</v>
      </c>
      <c r="AA152" s="292">
        <f>SUM('PER BULAN'!AH243:AJ243)</f>
        <v>0</v>
      </c>
      <c r="AB152" s="292">
        <f>SUM('PER BULAN'!AK243:AM243)</f>
        <v>0</v>
      </c>
      <c r="AC152" s="292">
        <f>SUM('PER BULAN'!AN243:AP243)</f>
        <v>0</v>
      </c>
      <c r="AD152" s="276">
        <f>SUM('PER BULAN'!AQ243:AS243)</f>
        <v>0</v>
      </c>
      <c r="AE152" s="277" t="s">
        <v>530</v>
      </c>
      <c r="AF152" s="277" t="s">
        <v>576</v>
      </c>
      <c r="AG152" s="277" t="s">
        <v>546</v>
      </c>
      <c r="AH152" s="277">
        <v>51</v>
      </c>
      <c r="AI152" s="277" t="s">
        <v>4700</v>
      </c>
      <c r="AJ152" s="416">
        <f t="shared" si="22"/>
        <v>33802000</v>
      </c>
      <c r="AK152" s="291">
        <f t="shared" si="23"/>
        <v>70.157741801577416</v>
      </c>
      <c r="AL152" s="416">
        <f>Q152-AJ152</f>
        <v>14378000</v>
      </c>
      <c r="AM152" s="291">
        <f t="shared" si="25"/>
        <v>29.842258198422584</v>
      </c>
      <c r="AN152" s="277" t="str">
        <f t="shared" si="26"/>
        <v>WA.2378.EBA.994.001.GA.511124</v>
      </c>
      <c r="AO152" s="277" t="str">
        <f>IF(ISNUMBER(SEARCH("COVID",Gaji[[#This Row],[Akun]])),"COVID","Non COVID")</f>
        <v>Non COVID</v>
      </c>
      <c r="AP152"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2"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2" s="292"/>
      <c r="AS152" s="292"/>
      <c r="AT152" s="292"/>
      <c r="AU152" s="277"/>
      <c r="AV152" s="277"/>
      <c r="AW152" s="277"/>
    </row>
    <row r="153" spans="1:51" x14ac:dyDescent="0.3">
      <c r="A153" s="277" t="s">
        <v>4693</v>
      </c>
      <c r="B153" s="277" t="s">
        <v>4694</v>
      </c>
      <c r="C153" s="277" t="s">
        <v>4720</v>
      </c>
      <c r="D153" s="277" t="s">
        <v>4721</v>
      </c>
      <c r="E153" s="277" t="s">
        <v>197</v>
      </c>
      <c r="F153" s="277" t="s">
        <v>4722</v>
      </c>
      <c r="G153" s="277" t="s">
        <v>4737</v>
      </c>
      <c r="H153" s="277" t="s">
        <v>4738</v>
      </c>
      <c r="I153" s="414">
        <v>994</v>
      </c>
      <c r="J153" s="277" t="s">
        <v>4751</v>
      </c>
      <c r="K153" s="277" t="s">
        <v>501</v>
      </c>
      <c r="L153" s="277" t="s">
        <v>5000</v>
      </c>
      <c r="M153" s="277" t="s">
        <v>1807</v>
      </c>
      <c r="N153" s="277" t="s">
        <v>6362</v>
      </c>
      <c r="O153" s="277">
        <v>511125</v>
      </c>
      <c r="P153" s="277" t="s">
        <v>6357</v>
      </c>
      <c r="Q153" s="221" cm="1">
        <f t="array" ref="Q153">SUM(_xlfn._xlws.FILTER(DIPA2[PaguRevisi],DIPA2[Akun]=Gaji[[#This Row],[Kode Akun]],0))</f>
        <v>13133000</v>
      </c>
      <c r="R153" s="494">
        <v>13133000</v>
      </c>
      <c r="S153" s="292">
        <f>SUM('PER BULAN'!J244:L244)</f>
        <v>265559</v>
      </c>
      <c r="T153" s="292">
        <f>SUM('PER BULAN'!M244:O244)</f>
        <v>273792</v>
      </c>
      <c r="U153" s="292">
        <f>SUM('PER BULAN'!P244:R244)</f>
        <v>399758</v>
      </c>
      <c r="V153" s="292">
        <f>SUM('PER BULAN'!S244:U244)</f>
        <v>2872401</v>
      </c>
      <c r="W153" s="292">
        <f>SUM('PER BULAN'!V244:X244)</f>
        <v>283217</v>
      </c>
      <c r="X153" s="292">
        <f>SUM('PER BULAN'!Y244:AA244)</f>
        <v>273209</v>
      </c>
      <c r="Y153" s="292">
        <f>SUM('PER BULAN'!AB244:AD244)</f>
        <v>0</v>
      </c>
      <c r="Z153" s="292">
        <f>SUM('PER BULAN'!AE244:AG244)</f>
        <v>0</v>
      </c>
      <c r="AA153" s="292">
        <f>SUM('PER BULAN'!AH244:AJ244)</f>
        <v>0</v>
      </c>
      <c r="AB153" s="292">
        <f>SUM('PER BULAN'!AK244:AM244)</f>
        <v>0</v>
      </c>
      <c r="AC153" s="292">
        <f>SUM('PER BULAN'!AN244:AP244)</f>
        <v>0</v>
      </c>
      <c r="AD153" s="276">
        <f>SUM('PER BULAN'!AQ244:AS244)</f>
        <v>0</v>
      </c>
      <c r="AE153" s="277" t="s">
        <v>530</v>
      </c>
      <c r="AF153" s="277" t="s">
        <v>576</v>
      </c>
      <c r="AG153" s="277" t="s">
        <v>546</v>
      </c>
      <c r="AH153" s="277">
        <v>51</v>
      </c>
      <c r="AI153" s="277" t="s">
        <v>4700</v>
      </c>
      <c r="AJ153" s="416">
        <f t="shared" si="22"/>
        <v>4367936</v>
      </c>
      <c r="AK153" s="291">
        <f t="shared" si="23"/>
        <v>33.259240082235593</v>
      </c>
      <c r="AL153" s="416">
        <f>Q153-AJ153</f>
        <v>8765064</v>
      </c>
      <c r="AM153" s="291">
        <f t="shared" si="25"/>
        <v>66.740759917764407</v>
      </c>
      <c r="AN153" s="277" t="str">
        <f t="shared" si="26"/>
        <v>WA.2378.EBA.994.001.GA.511125</v>
      </c>
      <c r="AO153" s="277" t="str">
        <f>IF(ISNUMBER(SEARCH("COVID",Gaji[[#This Row],[Akun]])),"COVID","Non COVID")</f>
        <v>Non COVID</v>
      </c>
      <c r="AP153"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3"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3" s="292"/>
      <c r="AS153" s="292"/>
      <c r="AT153" s="292"/>
      <c r="AU153" s="277"/>
      <c r="AV153" s="277"/>
      <c r="AW153" s="277"/>
    </row>
    <row r="154" spans="1:51" x14ac:dyDescent="0.3">
      <c r="A154" s="277" t="s">
        <v>4693</v>
      </c>
      <c r="B154" s="277" t="s">
        <v>4694</v>
      </c>
      <c r="C154" s="277" t="s">
        <v>4720</v>
      </c>
      <c r="D154" s="277" t="s">
        <v>4721</v>
      </c>
      <c r="E154" s="277" t="s">
        <v>197</v>
      </c>
      <c r="F154" s="277" t="s">
        <v>4722</v>
      </c>
      <c r="G154" s="277" t="s">
        <v>4737</v>
      </c>
      <c r="H154" s="277" t="s">
        <v>4738</v>
      </c>
      <c r="I154" s="414">
        <v>994</v>
      </c>
      <c r="J154" s="277" t="s">
        <v>4751</v>
      </c>
      <c r="K154" s="277" t="s">
        <v>501</v>
      </c>
      <c r="L154" s="277" t="s">
        <v>5000</v>
      </c>
      <c r="M154" s="277" t="s">
        <v>1807</v>
      </c>
      <c r="N154" s="277" t="s">
        <v>6362</v>
      </c>
      <c r="O154" s="277">
        <v>511126</v>
      </c>
      <c r="P154" s="277" t="s">
        <v>6358</v>
      </c>
      <c r="Q154" s="221" cm="1">
        <f t="array" ref="Q154">SUM(_xlfn._xlws.FILTER(DIPA2[PaguRevisi],DIPA2[Akun]=Gaji[[#This Row],[Kode Akun]],0))</f>
        <v>130333000</v>
      </c>
      <c r="R154" s="494">
        <v>130333000</v>
      </c>
      <c r="S154" s="292">
        <f>SUM('PER BULAN'!J245:L245)</f>
        <v>8762820</v>
      </c>
      <c r="T154" s="292">
        <f>SUM('PER BULAN'!M245:O245)</f>
        <v>8545560</v>
      </c>
      <c r="U154" s="292">
        <f>SUM('PER BULAN'!P245:R245)</f>
        <v>9197340</v>
      </c>
      <c r="V154" s="292">
        <f>SUM('PER BULAN'!S245:U245)</f>
        <v>17670480</v>
      </c>
      <c r="W154" s="292">
        <f>SUM('PER BULAN'!V245:X245)</f>
        <v>8835240</v>
      </c>
      <c r="X154" s="292">
        <f>SUM('PER BULAN'!Y245:AA245)</f>
        <v>9124920</v>
      </c>
      <c r="Y154" s="292">
        <f>SUM('PER BULAN'!AB245:AD245)</f>
        <v>0</v>
      </c>
      <c r="Z154" s="292">
        <f>SUM('PER BULAN'!AE245:AG245)</f>
        <v>0</v>
      </c>
      <c r="AA154" s="292">
        <f>SUM('PER BULAN'!AH245:AJ245)</f>
        <v>0</v>
      </c>
      <c r="AB154" s="292">
        <f>SUM('PER BULAN'!AK245:AM245)</f>
        <v>0</v>
      </c>
      <c r="AC154" s="292">
        <f>SUM('PER BULAN'!AN245:AP245)</f>
        <v>0</v>
      </c>
      <c r="AD154" s="276">
        <f>SUM('PER BULAN'!AQ245:AS245)</f>
        <v>0</v>
      </c>
      <c r="AE154" s="277" t="s">
        <v>530</v>
      </c>
      <c r="AF154" s="277" t="s">
        <v>576</v>
      </c>
      <c r="AG154" s="277" t="s">
        <v>546</v>
      </c>
      <c r="AH154" s="277">
        <v>51</v>
      </c>
      <c r="AI154" s="277" t="s">
        <v>4700</v>
      </c>
      <c r="AJ154" s="416">
        <f t="shared" si="22"/>
        <v>62136360</v>
      </c>
      <c r="AK154" s="494">
        <f t="shared" si="23"/>
        <v>47.675078452886069</v>
      </c>
      <c r="AL154" s="416">
        <f>Q154-AJ154</f>
        <v>68196640</v>
      </c>
      <c r="AM154" s="291">
        <f t="shared" si="25"/>
        <v>52.324921547113931</v>
      </c>
      <c r="AN154" s="277" t="str">
        <f t="shared" si="26"/>
        <v>WA.2378.EBA.994.001.GA.511126</v>
      </c>
      <c r="AO154" s="277" t="str">
        <f>IF(ISNUMBER(SEARCH("COVID",Gaji[[#This Row],[Akun]])),"COVID","Non COVID")</f>
        <v>Non COVID</v>
      </c>
      <c r="AP154"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4"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4" s="292"/>
      <c r="AS154" s="292"/>
      <c r="AT154" s="292"/>
      <c r="AU154" s="277"/>
      <c r="AV154" s="277"/>
      <c r="AW154" s="277"/>
    </row>
    <row r="155" spans="1:51" x14ac:dyDescent="0.3">
      <c r="A155" s="277" t="s">
        <v>4693</v>
      </c>
      <c r="B155" s="277" t="s">
        <v>4694</v>
      </c>
      <c r="C155" s="277" t="s">
        <v>4720</v>
      </c>
      <c r="D155" s="277" t="s">
        <v>4721</v>
      </c>
      <c r="E155" s="277" t="s">
        <v>197</v>
      </c>
      <c r="F155" s="277" t="s">
        <v>4722</v>
      </c>
      <c r="G155" s="277" t="s">
        <v>4737</v>
      </c>
      <c r="H155" s="277" t="s">
        <v>4738</v>
      </c>
      <c r="I155" s="414">
        <v>994</v>
      </c>
      <c r="J155" s="277" t="s">
        <v>4751</v>
      </c>
      <c r="K155" s="277" t="s">
        <v>501</v>
      </c>
      <c r="L155" s="277" t="s">
        <v>5000</v>
      </c>
      <c r="M155" s="277" t="s">
        <v>1807</v>
      </c>
      <c r="N155" s="277" t="s">
        <v>6362</v>
      </c>
      <c r="O155" s="277">
        <v>511129</v>
      </c>
      <c r="P155" s="277" t="s">
        <v>6359</v>
      </c>
      <c r="Q155" s="221" cm="1">
        <f t="array" ref="Q155">SUM(_xlfn._xlws.FILTER(DIPA2[PaguRevisi],DIPA2[Akun]=Gaji[[#This Row],[Kode Akun]],0))</f>
        <v>379379000</v>
      </c>
      <c r="R155" s="494">
        <v>379379000</v>
      </c>
      <c r="S155" s="292">
        <f>SUM('PER BULAN'!J246:L246)</f>
        <v>0</v>
      </c>
      <c r="T155" s="292">
        <f>SUM('PER BULAN'!M246:O246)</f>
        <v>31515000</v>
      </c>
      <c r="U155" s="292">
        <f>SUM('PER BULAN'!P246:R246)</f>
        <v>24572000</v>
      </c>
      <c r="V155" s="292">
        <f>SUM('PER BULAN'!S246:U246)</f>
        <v>27330000</v>
      </c>
      <c r="W155" s="292">
        <f>SUM('PER BULAN'!V246:X246)</f>
        <v>26312000</v>
      </c>
      <c r="X155" s="292">
        <f>SUM('PER BULAN'!Y246:AA246)</f>
        <v>16698000</v>
      </c>
      <c r="Y155" s="292">
        <f>SUM('PER BULAN'!AB246:AD246)</f>
        <v>0</v>
      </c>
      <c r="Z155" s="292">
        <f>SUM('PER BULAN'!AE246:AG246)</f>
        <v>0</v>
      </c>
      <c r="AA155" s="292">
        <f>SUM('PER BULAN'!AH246:AJ246)</f>
        <v>0</v>
      </c>
      <c r="AB155" s="292">
        <f>SUM('PER BULAN'!AK246:AM246)</f>
        <v>0</v>
      </c>
      <c r="AC155" s="292">
        <f>SUM('PER BULAN'!AN246:AP246)</f>
        <v>0</v>
      </c>
      <c r="AD155" s="276">
        <f>SUM('PER BULAN'!AQ246:AS246)</f>
        <v>0</v>
      </c>
      <c r="AE155" s="277" t="s">
        <v>530</v>
      </c>
      <c r="AF155" s="277" t="s">
        <v>576</v>
      </c>
      <c r="AG155" s="277" t="s">
        <v>546</v>
      </c>
      <c r="AH155" s="277">
        <v>51</v>
      </c>
      <c r="AI155" s="277" t="s">
        <v>4700</v>
      </c>
      <c r="AJ155" s="416">
        <f t="shared" si="22"/>
        <v>126427000</v>
      </c>
      <c r="AK155" s="291">
        <f t="shared" si="23"/>
        <v>33.324722770633059</v>
      </c>
      <c r="AL155" s="416">
        <f>Q155-AJ155</f>
        <v>252952000</v>
      </c>
      <c r="AM155" s="291">
        <f t="shared" si="25"/>
        <v>66.675277229366941</v>
      </c>
      <c r="AN155" s="277" t="str">
        <f t="shared" si="26"/>
        <v>WA.2378.EBA.994.001.GA.511129</v>
      </c>
      <c r="AO155" s="277" t="str">
        <f>IF(ISNUMBER(SEARCH("COVID",Gaji[[#This Row],[Akun]])),"COVID","Non COVID")</f>
        <v>Non COVID</v>
      </c>
      <c r="AP155"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5"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5" s="292"/>
      <c r="AS155" s="292"/>
      <c r="AT155" s="292"/>
      <c r="AU155" s="277"/>
      <c r="AV155" s="277"/>
      <c r="AW155" s="277"/>
    </row>
    <row r="156" spans="1:51" x14ac:dyDescent="0.3">
      <c r="A156" s="277" t="s">
        <v>4693</v>
      </c>
      <c r="B156" s="277" t="s">
        <v>4694</v>
      </c>
      <c r="C156" s="277" t="s">
        <v>4720</v>
      </c>
      <c r="D156" s="277" t="s">
        <v>4721</v>
      </c>
      <c r="E156" s="277" t="s">
        <v>197</v>
      </c>
      <c r="F156" s="277" t="s">
        <v>4722</v>
      </c>
      <c r="G156" s="277" t="s">
        <v>4737</v>
      </c>
      <c r="H156" s="277" t="s">
        <v>4738</v>
      </c>
      <c r="I156" s="414">
        <v>994</v>
      </c>
      <c r="J156" s="277" t="s">
        <v>4751</v>
      </c>
      <c r="K156" s="277" t="s">
        <v>501</v>
      </c>
      <c r="L156" s="277" t="s">
        <v>5000</v>
      </c>
      <c r="M156" s="277" t="s">
        <v>1807</v>
      </c>
      <c r="N156" s="277" t="s">
        <v>6362</v>
      </c>
      <c r="O156" s="277">
        <v>511151</v>
      </c>
      <c r="P156" s="277" t="s">
        <v>6360</v>
      </c>
      <c r="Q156" s="221" cm="1">
        <f t="array" ref="Q156">SUM(_xlfn._xlws.FILTER(DIPA2[PaguRevisi],DIPA2[Akun]=Gaji[[#This Row],[Kode Akun]],0))</f>
        <v>88360000</v>
      </c>
      <c r="R156" s="494">
        <v>88360000</v>
      </c>
      <c r="S156" s="292">
        <f>SUM('PER BULAN'!J247:L247)</f>
        <v>5545000</v>
      </c>
      <c r="T156" s="292">
        <f>SUM('PER BULAN'!M247:O247)</f>
        <v>5545000</v>
      </c>
      <c r="U156" s="292">
        <f>SUM('PER BULAN'!P247:R247)</f>
        <v>5735000</v>
      </c>
      <c r="V156" s="292">
        <f>SUM('PER BULAN'!S247:U247)</f>
        <v>11070000</v>
      </c>
      <c r="W156" s="292">
        <f>SUM('PER BULAN'!V247:X247)</f>
        <v>5535000</v>
      </c>
      <c r="X156" s="292">
        <f>SUM('PER BULAN'!Y247:AA247)</f>
        <v>5535000</v>
      </c>
      <c r="Y156" s="292">
        <f>SUM('PER BULAN'!AB247:AD247)</f>
        <v>0</v>
      </c>
      <c r="Z156" s="292">
        <f>SUM('PER BULAN'!AE247:AG247)</f>
        <v>0</v>
      </c>
      <c r="AA156" s="292">
        <f>SUM('PER BULAN'!AH247:AJ247)</f>
        <v>0</v>
      </c>
      <c r="AB156" s="292">
        <f>SUM('PER BULAN'!AK247:AM247)</f>
        <v>0</v>
      </c>
      <c r="AC156" s="292">
        <f>SUM('PER BULAN'!AN247:AP247)</f>
        <v>0</v>
      </c>
      <c r="AD156" s="276">
        <f>SUM('PER BULAN'!AQ247:AS247)</f>
        <v>0</v>
      </c>
      <c r="AE156" s="277" t="s">
        <v>530</v>
      </c>
      <c r="AF156" s="277" t="s">
        <v>576</v>
      </c>
      <c r="AG156" s="277" t="s">
        <v>546</v>
      </c>
      <c r="AH156" s="277">
        <v>51</v>
      </c>
      <c r="AI156" s="277" t="s">
        <v>4700</v>
      </c>
      <c r="AJ156" s="416">
        <f t="shared" si="22"/>
        <v>38965000</v>
      </c>
      <c r="AK156" s="291">
        <f t="shared" si="23"/>
        <v>44.098008148483473</v>
      </c>
      <c r="AL156" s="416">
        <f>Q156-AJ156</f>
        <v>49395000</v>
      </c>
      <c r="AM156" s="291">
        <f t="shared" si="25"/>
        <v>55.90199185151652</v>
      </c>
      <c r="AN156" s="277" t="str">
        <f t="shared" si="26"/>
        <v>WA.2378.EBA.994.001.GA.511151</v>
      </c>
      <c r="AO156" s="277" t="str">
        <f>IF(ISNUMBER(SEARCH("COVID",Gaji[[#This Row],[Akun]])),"COVID","Non COVID")</f>
        <v>Non COVID</v>
      </c>
      <c r="AP156"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6"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6" s="292"/>
      <c r="AS156" s="292"/>
      <c r="AT156" s="292"/>
      <c r="AU156" s="277"/>
      <c r="AV156" s="277"/>
      <c r="AW156" s="277"/>
    </row>
    <row r="157" spans="1:51" x14ac:dyDescent="0.3">
      <c r="A157" s="277" t="s">
        <v>4693</v>
      </c>
      <c r="B157" s="277" t="s">
        <v>4694</v>
      </c>
      <c r="C157" s="277" t="s">
        <v>4720</v>
      </c>
      <c r="D157" s="277" t="s">
        <v>4721</v>
      </c>
      <c r="E157" s="277" t="s">
        <v>197</v>
      </c>
      <c r="F157" s="277" t="s">
        <v>4722</v>
      </c>
      <c r="G157" s="277" t="s">
        <v>4737</v>
      </c>
      <c r="H157" s="277" t="s">
        <v>4738</v>
      </c>
      <c r="I157" s="414">
        <v>994</v>
      </c>
      <c r="J157" s="277" t="s">
        <v>4751</v>
      </c>
      <c r="K157" s="277" t="s">
        <v>501</v>
      </c>
      <c r="L157" s="277" t="s">
        <v>5000</v>
      </c>
      <c r="M157" s="277" t="s">
        <v>1807</v>
      </c>
      <c r="N157" s="277" t="s">
        <v>6362</v>
      </c>
      <c r="O157" s="277">
        <v>512411</v>
      </c>
      <c r="P157" s="277" t="s">
        <v>6361</v>
      </c>
      <c r="Q157" s="221" cm="1">
        <f t="array" ref="Q157">SUM(_xlfn._xlws.FILTER(DIPA2[PaguRevisi],DIPA2[Akun]=Gaji[[#This Row],[Kode Akun]],0))</f>
        <v>2635488000</v>
      </c>
      <c r="R157" s="494">
        <v>2635488000</v>
      </c>
      <c r="S157" s="292">
        <f>SUM('PER BULAN'!J248:L248)</f>
        <v>0</v>
      </c>
      <c r="T157" s="292">
        <f>SUM('PER BULAN'!M248:O248)</f>
        <v>233065910</v>
      </c>
      <c r="U157" s="292">
        <f>SUM('PER BULAN'!P248:R248)</f>
        <v>245174765</v>
      </c>
      <c r="V157" s="292">
        <f>SUM('PER BULAN'!S248:U248)</f>
        <v>361130227</v>
      </c>
      <c r="W157" s="292">
        <f>SUM('PER BULAN'!V248:X248)</f>
        <v>243208345</v>
      </c>
      <c r="X157" s="292">
        <f>SUM('PER BULAN'!Y248:AA248)</f>
        <v>242093442</v>
      </c>
      <c r="Y157" s="292">
        <f>SUM('PER BULAN'!AB248:AD248)</f>
        <v>0</v>
      </c>
      <c r="Z157" s="292">
        <f>SUM('PER BULAN'!AE248:AG248)</f>
        <v>0</v>
      </c>
      <c r="AA157" s="292">
        <f>SUM('PER BULAN'!AH248:AJ248)</f>
        <v>0</v>
      </c>
      <c r="AB157" s="292">
        <f>SUM('PER BULAN'!AK248:AM248)</f>
        <v>0</v>
      </c>
      <c r="AC157" s="292">
        <f>SUM('PER BULAN'!AN248:AP248)</f>
        <v>0</v>
      </c>
      <c r="AD157" s="276">
        <f>SUM('PER BULAN'!AQ248:AS248)</f>
        <v>0</v>
      </c>
      <c r="AE157" s="277" t="s">
        <v>530</v>
      </c>
      <c r="AF157" s="277" t="s">
        <v>576</v>
      </c>
      <c r="AG157" s="277" t="s">
        <v>546</v>
      </c>
      <c r="AH157" s="277">
        <v>51</v>
      </c>
      <c r="AI157" s="277" t="s">
        <v>4700</v>
      </c>
      <c r="AJ157" s="416">
        <f t="shared" si="22"/>
        <v>1324672689</v>
      </c>
      <c r="AK157" s="291">
        <f t="shared" si="23"/>
        <v>50.262899660328564</v>
      </c>
      <c r="AL157" s="416">
        <f>Q157-AJ157</f>
        <v>1310815311</v>
      </c>
      <c r="AM157" s="291">
        <f t="shared" si="25"/>
        <v>49.737100339671436</v>
      </c>
      <c r="AN157" s="277" t="str">
        <f t="shared" si="26"/>
        <v>WA.2378.EBA.994.001.GA.512411</v>
      </c>
      <c r="AO157" s="277" t="str">
        <f>IF(ISNUMBER(SEARCH("COVID",Gaji[[#This Row],[Akun]])),"COVID","Non COVID")</f>
        <v>Non COVID</v>
      </c>
      <c r="AP157" s="277" t="str">
        <f>IF(LEFT(Gaji[[#This Row],[kdakun]],2)="53","MODAL",IF(LEFT(Gaji[[#This Row],[kdakun]],2)="51","GAJI DAN TUNJANGAN",IF(ISNUMBER(SEARCH("521213",Gaji[[#This Row],[Akun]])),"HONOR OUTPUT KEGIATAN",IF(ISNUMBER(SEARCH("521115",Gaji[[#This Row],[Akun]])),"HONOR OPERASIONAL SATKER",IF(ISNUMBER(SEARCH("521111",Gaji[[#This Row],[Akun]])),"KEPERLUAN PERKANTORAN",IF(ISNUMBER(SEARCH("522141",Gaji[[#This Row],[Akun]])),"BELANJA SEWA",IF(ISNUMBER(SEARCH("521114",Gaji[[#This Row],[Akun]])),"PENGIRIMAN SURAT DINAS POS PUSAT",IF(ISNUMBER(SEARCH("524114",Gaji[[#This Row],[Akun]])),"PAKET MEETING DLM KOTA",IF(ISNUMBER(SEARCH("524113",Gaji[[#This Row],[Akun]])),"TRANSPORT LOKAL",IF(OR(ISNUMBER(SEARCH("PERJALANAN BIASA",Gaji[[#This Row],[Akun]])),ISNUMBER(SEARCH("PERJALANAN DINAS",Gaji[[#This Row],[Akun]]))),"PERJALANAN DINAS",IF(ISNUMBER(SEARCH("JASA",Gaji[[#This Row],[Akun]])),"BELANJA JASA",IF(ISNUMBER(SEARCH("BAHAN",Gaji[[#This Row],[Akun]])),"BELANJA BAHAN",IF(ISNUMBER(SEARCH("NON OPERASIONAL",Gaji[[#This Row],[Akun]])),"NON OPS LAINNYA",IF(ISNUMBER(SEARCH("5218",Gaji[[#This Row],[kdakun]])),"PERSEDIAAN",IF(ISNUMBER(SEARCH("pemeliharaan",Gaji[[#This Row],[Akun]])),"BELANJA PEMELIHARAAN",IF(AND(ISNUMBER(SEARCH("OPERASIONAL",Gaji[[#This Row],[Komponen]])),ISNUMBER(SEARCH("LAYANAN PERKANTORAN",Gaji[[#This Row],[SubOutput]]))),"BELANJA OPERASIONAL LAINNYA",IF(ISNUMBER(SEARCH("Belanja Barang Operasional",Gaji[[#This Row],[Akun]])),"BELANJA OPERASIONAL",IF(ISNUMBER(SEARCH("SEWA",Gaji[[#This Row],[Akun]])),"BELANJA SEWA"))))))))))))))))))</f>
        <v>GAJI DAN TUNJANGAN</v>
      </c>
      <c r="AQ157" s="493" t="str">
        <f>IF(AND(ISNUMBER(SEARCH("OPERASIONAL",Gaji[[#This Row],[Komponen]])),ISNUMBER(SEARCH("LAYANAN PERKANTORAN",Gaji[[#This Row],[SubOutput]]))),"Belanja Barang Operasional",IF(LEFT(Gaji[[#This Row],[kdakun]],2)="53","Belanja Modal",IF(LEFT(Gaji[[#This Row],[kdakun]],2)="51","Belanja Pegawai","Belanja Barang Non Operasional")))</f>
        <v>Belanja Pegawai</v>
      </c>
      <c r="AR157" s="292"/>
      <c r="AS157" s="292"/>
      <c r="AT157" s="292"/>
      <c r="AU157" s="277"/>
      <c r="AV157" s="277"/>
      <c r="AW157" s="277"/>
    </row>
  </sheetData>
  <phoneticPr fontId="27" type="noConversion"/>
  <pageMargins left="0.7" right="0.7" top="0.75" bottom="0.75" header="0.3" footer="0.3"/>
  <pageSetup orientation="portrait" horizontalDpi="0" verticalDpi="0"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tabSelected="1" zoomScale="70" zoomScaleNormal="70" workbookViewId="0">
      <pane xSplit="3" ySplit="14" topLeftCell="D231" activePane="bottomRight" state="frozen"/>
      <selection pane="topRight" activeCell="D1" sqref="D1"/>
      <selection pane="bottomLeft" activeCell="A15" sqref="A15"/>
      <selection pane="bottomRight" activeCell="I250" sqref="I250"/>
    </sheetView>
  </sheetViews>
  <sheetFormatPr defaultRowHeight="14.4" x14ac:dyDescent="0.3"/>
  <cols>
    <col min="1" max="1" width="8.6640625" customWidth="1"/>
    <col min="2" max="2" width="16.33203125" customWidth="1"/>
    <col min="3" max="3" width="62.44140625" customWidth="1"/>
    <col min="4" max="4" width="9.109375" customWidth="1"/>
    <col min="5" max="5" width="10.109375" customWidth="1"/>
    <col min="6" max="9" width="17.44140625" customWidth="1"/>
    <col min="10" max="10" width="13.44140625" customWidth="1"/>
    <col min="11" max="11" width="15.44140625" customWidth="1"/>
    <col min="12" max="12" width="16.44140625" customWidth="1"/>
    <col min="13" max="13" width="13.44140625" customWidth="1"/>
    <col min="14" max="15" width="10.77734375" customWidth="1"/>
    <col min="16" max="16" width="13" customWidth="1"/>
    <col min="17" max="18" width="15.6640625" customWidth="1"/>
    <col min="19" max="19" width="14.33203125" customWidth="1"/>
    <col min="20" max="21" width="11.88671875" customWidth="1"/>
    <col min="22" max="22" width="13" customWidth="1"/>
    <col min="23" max="23" width="15.109375" customWidth="1"/>
    <col min="24" max="24" width="13.33203125" bestFit="1" customWidth="1"/>
    <col min="25" max="25" width="14.88671875" bestFit="1" customWidth="1"/>
    <col min="26" max="26" width="11.88671875" customWidth="1"/>
    <col min="27" max="27" width="12.109375" customWidth="1"/>
    <col min="28" max="28" width="9.109375" customWidth="1"/>
    <col min="29" max="30" width="11.88671875" customWidth="1"/>
    <col min="31" max="31" width="11" customWidth="1"/>
    <col min="32" max="33" width="11.88671875" customWidth="1"/>
    <col min="34" max="34" width="12.88671875" customWidth="1"/>
    <col min="35" max="36" width="11.88671875" customWidth="1"/>
    <col min="37" max="37" width="11.109375" customWidth="1"/>
    <col min="38" max="39" width="11.88671875" customWidth="1"/>
    <col min="40" max="40" width="13" customWidth="1"/>
    <col min="41" max="42" width="11.88671875" customWidth="1"/>
    <col min="43" max="43" width="12.109375" customWidth="1"/>
    <col min="44" max="44" width="11.88671875" customWidth="1"/>
    <col min="45" max="45" width="15" bestFit="1" customWidth="1"/>
    <col min="46" max="46" width="15.88671875" customWidth="1"/>
    <col min="47" max="47" width="7.6640625" customWidth="1"/>
    <col min="48" max="48" width="18.44140625" customWidth="1"/>
    <col min="49" max="49" width="8.5546875" customWidth="1"/>
    <col min="50" max="50" width="28.109375" customWidth="1"/>
    <col min="51" max="51" width="33" customWidth="1"/>
    <col min="52" max="52" width="34.109375" customWidth="1"/>
    <col min="53" max="53" width="11.5546875" customWidth="1"/>
    <col min="54" max="54" width="12.5546875" style="274" customWidth="1"/>
    <col min="55" max="55" width="11.88671875" customWidth="1"/>
    <col min="56" max="56" width="11.88671875" style="274" customWidth="1"/>
    <col min="57" max="57" width="12.6640625" customWidth="1"/>
    <col min="58" max="58" width="15.88671875" customWidth="1"/>
    <col min="59" max="59" width="13.5546875" customWidth="1"/>
    <col min="60" max="60" width="17.88671875" customWidth="1"/>
  </cols>
  <sheetData>
    <row r="4" spans="2:60" x14ac:dyDescent="0.3">
      <c r="B4" s="245" t="s">
        <v>598</v>
      </c>
      <c r="C4" s="245"/>
    </row>
    <row r="5" spans="2:60" x14ac:dyDescent="0.3">
      <c r="B5" s="245" t="s">
        <v>6363</v>
      </c>
      <c r="C5" s="245"/>
    </row>
    <row r="6" spans="2:60" x14ac:dyDescent="0.3">
      <c r="B6" s="245"/>
      <c r="C6" s="245"/>
    </row>
    <row r="7" spans="2:60" x14ac:dyDescent="0.3">
      <c r="B7" s="245" t="s">
        <v>599</v>
      </c>
      <c r="C7" s="245" t="s">
        <v>600</v>
      </c>
    </row>
    <row r="8" spans="2:60" x14ac:dyDescent="0.3">
      <c r="B8" s="245" t="s">
        <v>601</v>
      </c>
      <c r="C8" s="245" t="s">
        <v>602</v>
      </c>
    </row>
    <row r="9" spans="2:60" x14ac:dyDescent="0.3">
      <c r="B9" s="245" t="s">
        <v>603</v>
      </c>
      <c r="C9" s="245" t="s">
        <v>604</v>
      </c>
    </row>
    <row r="10" spans="2:60" x14ac:dyDescent="0.3">
      <c r="B10" s="245" t="s">
        <v>605</v>
      </c>
      <c r="C10" s="245" t="s">
        <v>4816</v>
      </c>
    </row>
    <row r="12" spans="2:60" s="219" customFormat="1" x14ac:dyDescent="0.3">
      <c r="B12" s="305" t="s">
        <v>606</v>
      </c>
      <c r="C12" s="305" t="s">
        <v>607</v>
      </c>
      <c r="D12" s="305" t="s">
        <v>608</v>
      </c>
      <c r="E12" s="305" t="s">
        <v>609</v>
      </c>
      <c r="F12" s="305" t="s">
        <v>6233</v>
      </c>
      <c r="G12" s="410" t="s">
        <v>6234</v>
      </c>
      <c r="H12" s="436" t="s">
        <v>6364</v>
      </c>
      <c r="I12" s="436" t="s">
        <v>6365</v>
      </c>
      <c r="J12" s="467" t="s">
        <v>4629</v>
      </c>
      <c r="K12" s="467"/>
      <c r="L12" s="467"/>
      <c r="M12" s="467" t="s">
        <v>4630</v>
      </c>
      <c r="N12" s="467"/>
      <c r="O12" s="467"/>
      <c r="P12" s="467" t="s">
        <v>4631</v>
      </c>
      <c r="Q12" s="467"/>
      <c r="R12" s="467"/>
      <c r="S12" s="467" t="s">
        <v>4632</v>
      </c>
      <c r="T12" s="467"/>
      <c r="U12" s="467"/>
      <c r="V12" s="467" t="s">
        <v>4633</v>
      </c>
      <c r="W12" s="467"/>
      <c r="X12" s="467"/>
      <c r="Y12" s="467" t="s">
        <v>4634</v>
      </c>
      <c r="Z12" s="467"/>
      <c r="AA12" s="467"/>
      <c r="AB12" s="467" t="s">
        <v>4635</v>
      </c>
      <c r="AC12" s="467"/>
      <c r="AD12" s="467"/>
      <c r="AE12" s="467" t="s">
        <v>4636</v>
      </c>
      <c r="AF12" s="467"/>
      <c r="AG12" s="467"/>
      <c r="AH12" s="467" t="s">
        <v>4637</v>
      </c>
      <c r="AI12" s="467"/>
      <c r="AJ12" s="467"/>
      <c r="AK12" s="467" t="s">
        <v>4638</v>
      </c>
      <c r="AL12" s="467"/>
      <c r="AM12" s="467"/>
      <c r="AN12" s="467" t="s">
        <v>4639</v>
      </c>
      <c r="AO12" s="467"/>
      <c r="AP12" s="467"/>
      <c r="AQ12" s="467" t="s">
        <v>4640</v>
      </c>
      <c r="AR12" s="467"/>
      <c r="AS12" s="467"/>
      <c r="AT12" s="465" t="s">
        <v>4647</v>
      </c>
      <c r="AU12" s="466" t="s">
        <v>4648</v>
      </c>
      <c r="AV12" s="464" t="s">
        <v>4649</v>
      </c>
      <c r="AW12" s="464" t="s">
        <v>4648</v>
      </c>
      <c r="AX12" s="304" t="s">
        <v>4830</v>
      </c>
      <c r="AY12" s="304" t="s">
        <v>500</v>
      </c>
      <c r="AZ12" s="304" t="s">
        <v>4814</v>
      </c>
      <c r="BA12" s="303" t="s">
        <v>4829</v>
      </c>
      <c r="BB12" s="303"/>
      <c r="BC12" s="303"/>
      <c r="BD12" s="303"/>
      <c r="BE12" s="303"/>
      <c r="BF12" s="303"/>
      <c r="BG12" s="303"/>
      <c r="BH12" s="303"/>
    </row>
    <row r="13" spans="2:60" x14ac:dyDescent="0.3">
      <c r="B13" s="305"/>
      <c r="C13" s="305"/>
      <c r="D13" s="305"/>
      <c r="E13" s="305"/>
      <c r="F13" s="305"/>
      <c r="G13" s="410"/>
      <c r="H13" s="436"/>
      <c r="I13" s="436"/>
      <c r="J13" s="306" t="s">
        <v>4643</v>
      </c>
      <c r="K13" s="306" t="s">
        <v>4641</v>
      </c>
      <c r="L13" s="306" t="s">
        <v>4642</v>
      </c>
      <c r="M13" s="306" t="s">
        <v>4643</v>
      </c>
      <c r="N13" s="306" t="s">
        <v>4641</v>
      </c>
      <c r="O13" s="306" t="s">
        <v>4642</v>
      </c>
      <c r="P13" s="306" t="s">
        <v>4643</v>
      </c>
      <c r="Q13" s="306" t="s">
        <v>4641</v>
      </c>
      <c r="R13" s="306" t="s">
        <v>4642</v>
      </c>
      <c r="S13" s="306" t="s">
        <v>4643</v>
      </c>
      <c r="T13" s="306" t="s">
        <v>4641</v>
      </c>
      <c r="U13" s="306" t="s">
        <v>4642</v>
      </c>
      <c r="V13" s="306" t="s">
        <v>4643</v>
      </c>
      <c r="W13" s="306" t="s">
        <v>4641</v>
      </c>
      <c r="X13" s="306" t="s">
        <v>4642</v>
      </c>
      <c r="Y13" s="306" t="s">
        <v>4643</v>
      </c>
      <c r="Z13" s="306" t="s">
        <v>4641</v>
      </c>
      <c r="AA13" s="306" t="s">
        <v>4642</v>
      </c>
      <c r="AB13" s="306" t="s">
        <v>4643</v>
      </c>
      <c r="AC13" s="306" t="s">
        <v>4641</v>
      </c>
      <c r="AD13" s="306" t="s">
        <v>4642</v>
      </c>
      <c r="AE13" s="306" t="s">
        <v>4643</v>
      </c>
      <c r="AF13" s="306" t="s">
        <v>4641</v>
      </c>
      <c r="AG13" s="306" t="s">
        <v>4642</v>
      </c>
      <c r="AH13" s="306" t="s">
        <v>4643</v>
      </c>
      <c r="AI13" s="306" t="s">
        <v>4641</v>
      </c>
      <c r="AJ13" s="306" t="s">
        <v>4642</v>
      </c>
      <c r="AK13" s="306" t="s">
        <v>4643</v>
      </c>
      <c r="AL13" s="306" t="s">
        <v>4641</v>
      </c>
      <c r="AM13" s="306" t="s">
        <v>4642</v>
      </c>
      <c r="AN13" s="306" t="s">
        <v>4643</v>
      </c>
      <c r="AO13" s="306" t="s">
        <v>4641</v>
      </c>
      <c r="AP13" s="306" t="s">
        <v>4642</v>
      </c>
      <c r="AQ13" s="306" t="s">
        <v>4643</v>
      </c>
      <c r="AR13" s="306" t="s">
        <v>4641</v>
      </c>
      <c r="AS13" s="306" t="s">
        <v>4642</v>
      </c>
      <c r="AT13" s="465"/>
      <c r="AU13" s="466"/>
      <c r="AV13" s="464"/>
      <c r="AW13" s="464"/>
      <c r="AX13" s="304"/>
      <c r="AY13" s="304"/>
      <c r="AZ13" s="304"/>
      <c r="BA13" s="302" t="s">
        <v>4826</v>
      </c>
      <c r="BB13" s="301" t="s">
        <v>4827</v>
      </c>
      <c r="BC13" s="302" t="s">
        <v>4828</v>
      </c>
      <c r="BD13" s="301" t="s">
        <v>4836</v>
      </c>
      <c r="BE13" s="357" t="s">
        <v>5160</v>
      </c>
      <c r="BF13" s="357" t="s">
        <v>5196</v>
      </c>
      <c r="BG13" s="357" t="s">
        <v>5197</v>
      </c>
      <c r="BH13" s="357" t="s">
        <v>5352</v>
      </c>
    </row>
    <row r="14" spans="2:60" x14ac:dyDescent="0.3">
      <c r="B14" s="307" t="s">
        <v>4646</v>
      </c>
      <c r="C14" s="308" t="s">
        <v>613</v>
      </c>
      <c r="D14" s="308"/>
      <c r="E14" s="308"/>
      <c r="F14" s="309">
        <f>F15+F60</f>
        <v>11475804000</v>
      </c>
      <c r="G14" s="309">
        <f>G15+G60</f>
        <v>16863164000</v>
      </c>
      <c r="H14" s="309">
        <f>H15+H60</f>
        <v>100000000</v>
      </c>
      <c r="I14" s="309"/>
      <c r="J14" s="309">
        <f>J15+J60</f>
        <v>0</v>
      </c>
      <c r="K14" s="309">
        <f>K15+K60</f>
        <v>0</v>
      </c>
      <c r="L14" s="309">
        <f t="shared" ref="L14:AS14" si="0">L15+L60</f>
        <v>0</v>
      </c>
      <c r="M14" s="309">
        <f t="shared" si="0"/>
        <v>74237800</v>
      </c>
      <c r="N14" s="309">
        <f t="shared" si="0"/>
        <v>0</v>
      </c>
      <c r="O14" s="309">
        <f t="shared" si="0"/>
        <v>0</v>
      </c>
      <c r="P14" s="309">
        <f t="shared" si="0"/>
        <v>63640000</v>
      </c>
      <c r="Q14" s="309">
        <f t="shared" si="0"/>
        <v>198137490</v>
      </c>
      <c r="R14" s="309">
        <f t="shared" si="0"/>
        <v>410500187</v>
      </c>
      <c r="S14" s="309">
        <f>S15+S60</f>
        <v>1797433854</v>
      </c>
      <c r="T14" s="309">
        <f t="shared" si="0"/>
        <v>95254996</v>
      </c>
      <c r="U14" s="309">
        <f t="shared" si="0"/>
        <v>0</v>
      </c>
      <c r="V14" s="309">
        <f t="shared" si="0"/>
        <v>759567100</v>
      </c>
      <c r="W14" s="309">
        <f t="shared" si="0"/>
        <v>189278193</v>
      </c>
      <c r="X14" s="309">
        <f t="shared" si="0"/>
        <v>312088731</v>
      </c>
      <c r="Y14" s="309">
        <f t="shared" si="0"/>
        <v>2159625081</v>
      </c>
      <c r="Z14" s="309">
        <f t="shared" si="0"/>
        <v>0</v>
      </c>
      <c r="AA14" s="309">
        <f t="shared" si="0"/>
        <v>7559500</v>
      </c>
      <c r="AB14" s="309">
        <f t="shared" si="0"/>
        <v>0</v>
      </c>
      <c r="AC14" s="309">
        <f t="shared" si="0"/>
        <v>0</v>
      </c>
      <c r="AD14" s="309">
        <f t="shared" si="0"/>
        <v>0</v>
      </c>
      <c r="AE14" s="309">
        <f t="shared" si="0"/>
        <v>0</v>
      </c>
      <c r="AF14" s="309">
        <f t="shared" si="0"/>
        <v>0</v>
      </c>
      <c r="AG14" s="309">
        <f t="shared" si="0"/>
        <v>0</v>
      </c>
      <c r="AH14" s="309">
        <f t="shared" si="0"/>
        <v>0</v>
      </c>
      <c r="AI14" s="309">
        <f t="shared" si="0"/>
        <v>0</v>
      </c>
      <c r="AJ14" s="309">
        <f t="shared" si="0"/>
        <v>0</v>
      </c>
      <c r="AK14" s="309">
        <f t="shared" si="0"/>
        <v>0</v>
      </c>
      <c r="AL14" s="309">
        <f t="shared" si="0"/>
        <v>0</v>
      </c>
      <c r="AM14" s="309">
        <f t="shared" si="0"/>
        <v>0</v>
      </c>
      <c r="AN14" s="309">
        <f t="shared" si="0"/>
        <v>0</v>
      </c>
      <c r="AO14" s="309">
        <f t="shared" si="0"/>
        <v>0</v>
      </c>
      <c r="AP14" s="309">
        <f t="shared" si="0"/>
        <v>0</v>
      </c>
      <c r="AQ14" s="309">
        <f>AQ15+AQ60</f>
        <v>0</v>
      </c>
      <c r="AR14" s="309">
        <f>AR15+AR60</f>
        <v>0</v>
      </c>
      <c r="AS14" s="309">
        <f t="shared" si="0"/>
        <v>0</v>
      </c>
      <c r="AT14" s="309">
        <f>SUM(J14:AS14)</f>
        <v>6067322932</v>
      </c>
      <c r="AU14" s="310">
        <f>IFERROR(AT14/F14*100,0)</f>
        <v>52.870569521752032</v>
      </c>
      <c r="AV14" s="311">
        <f>F14-AT14</f>
        <v>5408481068</v>
      </c>
      <c r="AW14" s="310">
        <f>AV14/F14*100</f>
        <v>47.129430478247976</v>
      </c>
      <c r="AX14" s="220"/>
      <c r="AY14" s="220"/>
      <c r="AZ14" s="220" t="s">
        <v>4729</v>
      </c>
      <c r="BA14" s="309">
        <f>BA15+BA60</f>
        <v>99961115</v>
      </c>
      <c r="BB14" s="309">
        <f>BB15+BB60</f>
        <v>410500187</v>
      </c>
      <c r="BC14" s="309">
        <f>BC15+BC60</f>
        <v>98176375</v>
      </c>
      <c r="BD14" s="309">
        <f>BD15+BD60</f>
        <v>95254996</v>
      </c>
      <c r="BE14" s="309">
        <f t="shared" ref="BE14" si="1">BE15+BE60</f>
        <v>95439616</v>
      </c>
      <c r="BF14" s="309">
        <f t="shared" ref="BF14:BG14" si="2">BF15+BF60</f>
        <v>93838577</v>
      </c>
      <c r="BG14" s="309">
        <f t="shared" si="2"/>
        <v>312088731</v>
      </c>
      <c r="BH14" s="309">
        <f t="shared" ref="BH14" si="3">BH15+BH60</f>
        <v>7559500</v>
      </c>
    </row>
    <row r="15" spans="2:60" x14ac:dyDescent="0.3">
      <c r="B15" s="246" t="s">
        <v>0</v>
      </c>
      <c r="C15" s="247" t="s">
        <v>1</v>
      </c>
      <c r="D15" s="247"/>
      <c r="E15" s="247"/>
      <c r="F15" s="248">
        <f>F16</f>
        <v>1000000000</v>
      </c>
      <c r="G15" s="248">
        <f>G16</f>
        <v>1000000000</v>
      </c>
      <c r="H15" s="248">
        <f>H16</f>
        <v>0</v>
      </c>
      <c r="I15" s="248"/>
      <c r="J15" s="248">
        <f t="shared" ref="J15:AS17" si="4">J16</f>
        <v>0</v>
      </c>
      <c r="K15" s="248">
        <f t="shared" si="4"/>
        <v>0</v>
      </c>
      <c r="L15" s="248">
        <f t="shared" si="4"/>
        <v>0</v>
      </c>
      <c r="M15" s="248">
        <f t="shared" si="4"/>
        <v>0</v>
      </c>
      <c r="N15" s="248">
        <f t="shared" si="4"/>
        <v>0</v>
      </c>
      <c r="O15" s="248">
        <f t="shared" si="4"/>
        <v>0</v>
      </c>
      <c r="P15" s="248">
        <f t="shared" si="4"/>
        <v>0</v>
      </c>
      <c r="Q15" s="248">
        <f t="shared" si="4"/>
        <v>30802300</v>
      </c>
      <c r="R15" s="248">
        <f t="shared" si="4"/>
        <v>89962700</v>
      </c>
      <c r="S15" s="248">
        <f t="shared" si="4"/>
        <v>34256000</v>
      </c>
      <c r="T15" s="248">
        <f t="shared" si="4"/>
        <v>0</v>
      </c>
      <c r="U15" s="248">
        <f t="shared" si="4"/>
        <v>0</v>
      </c>
      <c r="V15" s="248">
        <f t="shared" si="4"/>
        <v>2180000</v>
      </c>
      <c r="W15" s="248">
        <f t="shared" si="4"/>
        <v>10260100</v>
      </c>
      <c r="X15" s="248">
        <f t="shared" si="4"/>
        <v>76123900</v>
      </c>
      <c r="Y15" s="248">
        <f t="shared" si="4"/>
        <v>124937100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 t="shared" si="4"/>
        <v>0</v>
      </c>
      <c r="AR15" s="248">
        <f t="shared" si="4"/>
        <v>0</v>
      </c>
      <c r="AS15" s="248">
        <f t="shared" si="4"/>
        <v>0</v>
      </c>
      <c r="AT15" s="248">
        <f>SUM(J15:AS15)</f>
        <v>368522100</v>
      </c>
      <c r="AU15" s="249">
        <f t="shared" ref="AU15:AU78" si="5">IFERROR(AT15/F15*100,0)</f>
        <v>36.852209999999999</v>
      </c>
      <c r="AV15" s="250">
        <f t="shared" ref="AV15:AV78" si="6">F15-AT15</f>
        <v>631477900</v>
      </c>
      <c r="AW15" s="249">
        <f>AV15/F15*100</f>
        <v>63.147790000000001</v>
      </c>
      <c r="AX15" s="220"/>
      <c r="AY15" s="220"/>
      <c r="AZ15" s="220" t="s">
        <v>4729</v>
      </c>
      <c r="BA15" s="248">
        <f t="shared" ref="BA15:BH17" si="7">BA16</f>
        <v>0</v>
      </c>
      <c r="BB15" s="248">
        <f t="shared" si="7"/>
        <v>89962700</v>
      </c>
      <c r="BC15" s="248">
        <f t="shared" si="7"/>
        <v>30802300</v>
      </c>
      <c r="BD15" s="248">
        <f t="shared" si="7"/>
        <v>0</v>
      </c>
      <c r="BE15" s="248">
        <f t="shared" si="7"/>
        <v>1500000</v>
      </c>
      <c r="BF15" s="248">
        <f t="shared" si="7"/>
        <v>8760100</v>
      </c>
      <c r="BG15" s="248">
        <f t="shared" si="7"/>
        <v>76123900</v>
      </c>
      <c r="BH15" s="248">
        <f t="shared" si="7"/>
        <v>0</v>
      </c>
    </row>
    <row r="16" spans="2:60" x14ac:dyDescent="0.3">
      <c r="B16" s="240">
        <v>2376</v>
      </c>
      <c r="C16" s="241" t="s">
        <v>47</v>
      </c>
      <c r="D16" s="241"/>
      <c r="E16" s="241"/>
      <c r="F16" s="242">
        <f t="shared" ref="F16:X17" si="8">F17</f>
        <v>1000000000</v>
      </c>
      <c r="G16" s="242">
        <f t="shared" si="8"/>
        <v>1000000000</v>
      </c>
      <c r="H16" s="242">
        <f t="shared" si="8"/>
        <v>0</v>
      </c>
      <c r="I16" s="242"/>
      <c r="J16" s="242">
        <f t="shared" si="8"/>
        <v>0</v>
      </c>
      <c r="K16" s="242">
        <f t="shared" si="8"/>
        <v>0</v>
      </c>
      <c r="L16" s="242">
        <f t="shared" si="8"/>
        <v>0</v>
      </c>
      <c r="M16" s="242">
        <f t="shared" si="8"/>
        <v>0</v>
      </c>
      <c r="N16" s="242">
        <f t="shared" si="8"/>
        <v>0</v>
      </c>
      <c r="O16" s="242">
        <f t="shared" si="8"/>
        <v>0</v>
      </c>
      <c r="P16" s="242">
        <f t="shared" si="8"/>
        <v>0</v>
      </c>
      <c r="Q16" s="242">
        <f t="shared" si="8"/>
        <v>30802300</v>
      </c>
      <c r="R16" s="242">
        <f t="shared" si="8"/>
        <v>89962700</v>
      </c>
      <c r="S16" s="242">
        <f t="shared" si="8"/>
        <v>34256000</v>
      </c>
      <c r="T16" s="242">
        <f t="shared" si="8"/>
        <v>0</v>
      </c>
      <c r="U16" s="242">
        <f t="shared" si="8"/>
        <v>0</v>
      </c>
      <c r="V16" s="242">
        <f t="shared" si="8"/>
        <v>2180000</v>
      </c>
      <c r="W16" s="242">
        <f t="shared" si="8"/>
        <v>10260100</v>
      </c>
      <c r="X16" s="242">
        <f t="shared" si="8"/>
        <v>76123900</v>
      </c>
      <c r="Y16" s="242">
        <f t="shared" si="4"/>
        <v>124937100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 t="shared" si="4"/>
        <v>0</v>
      </c>
      <c r="AR16" s="242">
        <f t="shared" si="4"/>
        <v>0</v>
      </c>
      <c r="AS16" s="242">
        <f t="shared" si="4"/>
        <v>0</v>
      </c>
      <c r="AT16" s="242">
        <f>SUM(J16:AS16)</f>
        <v>368522100</v>
      </c>
      <c r="AU16" s="243">
        <f t="shared" si="5"/>
        <v>36.852209999999999</v>
      </c>
      <c r="AV16" s="244">
        <f t="shared" si="6"/>
        <v>631477900</v>
      </c>
      <c r="AW16" s="243">
        <f t="shared" ref="AW16:AW78" si="9">AV16/F16*100</f>
        <v>63.147790000000001</v>
      </c>
      <c r="AX16" s="220"/>
      <c r="AY16" s="220"/>
      <c r="AZ16" s="220" t="s">
        <v>4729</v>
      </c>
      <c r="BA16" s="242">
        <f t="shared" si="7"/>
        <v>0</v>
      </c>
      <c r="BB16" s="242">
        <f t="shared" si="7"/>
        <v>89962700</v>
      </c>
      <c r="BC16" s="242">
        <f t="shared" si="7"/>
        <v>30802300</v>
      </c>
      <c r="BD16" s="242">
        <f t="shared" si="7"/>
        <v>0</v>
      </c>
      <c r="BE16" s="242">
        <f t="shared" si="7"/>
        <v>1500000</v>
      </c>
      <c r="BF16" s="242">
        <f t="shared" si="7"/>
        <v>8760100</v>
      </c>
      <c r="BG16" s="242">
        <f t="shared" si="7"/>
        <v>76123900</v>
      </c>
      <c r="BH16" s="242">
        <f t="shared" si="7"/>
        <v>0</v>
      </c>
    </row>
    <row r="17" spans="2:60" x14ac:dyDescent="0.3">
      <c r="B17" s="236" t="s">
        <v>48</v>
      </c>
      <c r="C17" s="237" t="s">
        <v>615</v>
      </c>
      <c r="D17" s="237">
        <v>4</v>
      </c>
      <c r="E17" s="237" t="s">
        <v>3596</v>
      </c>
      <c r="F17" s="235">
        <f t="shared" si="8"/>
        <v>1000000000</v>
      </c>
      <c r="G17" s="235">
        <f t="shared" si="8"/>
        <v>1000000000</v>
      </c>
      <c r="H17" s="235">
        <f t="shared" si="8"/>
        <v>0</v>
      </c>
      <c r="I17" s="235"/>
      <c r="J17" s="235">
        <f t="shared" si="4"/>
        <v>0</v>
      </c>
      <c r="K17" s="235">
        <f t="shared" si="4"/>
        <v>0</v>
      </c>
      <c r="L17" s="235">
        <f t="shared" si="4"/>
        <v>0</v>
      </c>
      <c r="M17" s="235">
        <f t="shared" si="4"/>
        <v>0</v>
      </c>
      <c r="N17" s="235">
        <f t="shared" si="4"/>
        <v>0</v>
      </c>
      <c r="O17" s="235">
        <f t="shared" si="4"/>
        <v>0</v>
      </c>
      <c r="P17" s="235">
        <f t="shared" si="4"/>
        <v>0</v>
      </c>
      <c r="Q17" s="235">
        <f t="shared" si="4"/>
        <v>30802300</v>
      </c>
      <c r="R17" s="235">
        <f t="shared" si="4"/>
        <v>89962700</v>
      </c>
      <c r="S17" s="235">
        <f t="shared" si="4"/>
        <v>34256000</v>
      </c>
      <c r="T17" s="235">
        <f t="shared" si="4"/>
        <v>0</v>
      </c>
      <c r="U17" s="235">
        <f t="shared" si="4"/>
        <v>0</v>
      </c>
      <c r="V17" s="235">
        <f t="shared" si="4"/>
        <v>2180000</v>
      </c>
      <c r="W17" s="235">
        <f t="shared" si="4"/>
        <v>10260100</v>
      </c>
      <c r="X17" s="235">
        <f t="shared" si="4"/>
        <v>76123900</v>
      </c>
      <c r="Y17" s="235">
        <f t="shared" si="4"/>
        <v>124937100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 t="shared" si="4"/>
        <v>0</v>
      </c>
      <c r="AR17" s="235">
        <f t="shared" si="4"/>
        <v>0</v>
      </c>
      <c r="AS17" s="235">
        <f t="shared" si="4"/>
        <v>0</v>
      </c>
      <c r="AT17" s="235">
        <f>SUM(J17:AS17)</f>
        <v>368522100</v>
      </c>
      <c r="AU17" s="238">
        <f t="shared" si="5"/>
        <v>36.852209999999999</v>
      </c>
      <c r="AV17" s="239">
        <f t="shared" si="6"/>
        <v>631477900</v>
      </c>
      <c r="AW17" s="238">
        <f>AV17/F17*100</f>
        <v>63.147790000000001</v>
      </c>
      <c r="AX17" s="220"/>
      <c r="AY17" s="220"/>
      <c r="AZ17" s="220" t="s">
        <v>4729</v>
      </c>
      <c r="BA17" s="235">
        <f t="shared" si="7"/>
        <v>0</v>
      </c>
      <c r="BB17" s="235">
        <f t="shared" si="7"/>
        <v>89962700</v>
      </c>
      <c r="BC17" s="235">
        <f t="shared" si="7"/>
        <v>30802300</v>
      </c>
      <c r="BD17" s="235">
        <f t="shared" si="7"/>
        <v>0</v>
      </c>
      <c r="BE17" s="235">
        <f t="shared" si="7"/>
        <v>1500000</v>
      </c>
      <c r="BF17" s="235">
        <f t="shared" si="7"/>
        <v>8760100</v>
      </c>
      <c r="BG17" s="235">
        <f t="shared" si="7"/>
        <v>76123900</v>
      </c>
      <c r="BH17" s="235">
        <f t="shared" si="7"/>
        <v>0</v>
      </c>
    </row>
    <row r="18" spans="2:60" x14ac:dyDescent="0.3">
      <c r="B18" s="226" t="s">
        <v>3712</v>
      </c>
      <c r="C18" s="227" t="s">
        <v>49</v>
      </c>
      <c r="D18" s="227">
        <v>4</v>
      </c>
      <c r="E18" s="227" t="s">
        <v>3596</v>
      </c>
      <c r="F18" s="228">
        <f>F19+F28+F32+F53</f>
        <v>1000000000</v>
      </c>
      <c r="G18" s="228">
        <f>G19+G28+G32+G53</f>
        <v>1000000000</v>
      </c>
      <c r="H18" s="228">
        <f>H19+H28+H32+H53</f>
        <v>0</v>
      </c>
      <c r="I18" s="228"/>
      <c r="J18" s="228">
        <f t="shared" ref="J18:AS18" si="10">J19+J28+J32+J53</f>
        <v>0</v>
      </c>
      <c r="K18" s="228">
        <f t="shared" si="10"/>
        <v>0</v>
      </c>
      <c r="L18" s="228">
        <f t="shared" si="10"/>
        <v>0</v>
      </c>
      <c r="M18" s="228">
        <f t="shared" si="10"/>
        <v>0</v>
      </c>
      <c r="N18" s="228">
        <f t="shared" si="10"/>
        <v>0</v>
      </c>
      <c r="O18" s="228">
        <f t="shared" si="10"/>
        <v>0</v>
      </c>
      <c r="P18" s="228">
        <f t="shared" si="10"/>
        <v>0</v>
      </c>
      <c r="Q18" s="228">
        <f t="shared" si="10"/>
        <v>30802300</v>
      </c>
      <c r="R18" s="228">
        <f t="shared" si="10"/>
        <v>89962700</v>
      </c>
      <c r="S18" s="228">
        <f t="shared" si="10"/>
        <v>34256000</v>
      </c>
      <c r="T18" s="228">
        <f t="shared" si="10"/>
        <v>0</v>
      </c>
      <c r="U18" s="228">
        <f t="shared" si="10"/>
        <v>0</v>
      </c>
      <c r="V18" s="228">
        <f t="shared" si="10"/>
        <v>2180000</v>
      </c>
      <c r="W18" s="228">
        <f t="shared" si="10"/>
        <v>10260100</v>
      </c>
      <c r="X18" s="228">
        <f t="shared" si="10"/>
        <v>76123900</v>
      </c>
      <c r="Y18" s="228">
        <f t="shared" si="10"/>
        <v>124937100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 t="shared" si="10"/>
        <v>0</v>
      </c>
      <c r="AR18" s="228">
        <f t="shared" si="10"/>
        <v>0</v>
      </c>
      <c r="AS18" s="228">
        <f t="shared" si="10"/>
        <v>0</v>
      </c>
      <c r="AT18" s="228">
        <f>SUM(J18:AS18)</f>
        <v>368522100</v>
      </c>
      <c r="AU18" s="229">
        <f t="shared" si="5"/>
        <v>36.852209999999999</v>
      </c>
      <c r="AV18" s="230">
        <f t="shared" si="6"/>
        <v>631477900</v>
      </c>
      <c r="AW18" s="229">
        <f t="shared" si="9"/>
        <v>63.147790000000001</v>
      </c>
      <c r="AX18" s="220"/>
      <c r="AY18" s="220"/>
      <c r="AZ18" s="220" t="s">
        <v>4729</v>
      </c>
      <c r="BA18" s="228">
        <f>BA19+BA28+BA32+BA53</f>
        <v>0</v>
      </c>
      <c r="BB18" s="228">
        <f>BB19+BB28+BB32+BB53</f>
        <v>89962700</v>
      </c>
      <c r="BC18" s="228">
        <f>BC19+BC28+BC32+BC53</f>
        <v>30802300</v>
      </c>
      <c r="BD18" s="228">
        <f>BD19+BD28+BD32+BD53</f>
        <v>0</v>
      </c>
      <c r="BE18" s="228">
        <f t="shared" ref="BE18" si="11">BE19+BE28+BE32+BE53</f>
        <v>1500000</v>
      </c>
      <c r="BF18" s="228">
        <f t="shared" ref="BF18:BG18" si="12">BF19+BF28+BF32+BF53</f>
        <v>8760100</v>
      </c>
      <c r="BG18" s="228">
        <f t="shared" si="12"/>
        <v>76123900</v>
      </c>
      <c r="BH18" s="228">
        <f t="shared" ref="BH18" si="13">BH19+BH28+BH32+BH53</f>
        <v>0</v>
      </c>
    </row>
    <row r="19" spans="2:60" x14ac:dyDescent="0.3">
      <c r="B19" s="254" t="s">
        <v>502</v>
      </c>
      <c r="C19" s="255" t="s">
        <v>50</v>
      </c>
      <c r="D19" s="255"/>
      <c r="E19" s="255"/>
      <c r="F19" s="256">
        <f>F20+F24</f>
        <v>124100000</v>
      </c>
      <c r="G19" s="256">
        <f>G20+G24</f>
        <v>124100000</v>
      </c>
      <c r="H19" s="256">
        <f>H20+H24</f>
        <v>0</v>
      </c>
      <c r="I19" s="256"/>
      <c r="J19" s="256">
        <f t="shared" ref="J19:AS19" si="14">J20+J24</f>
        <v>0</v>
      </c>
      <c r="K19" s="256">
        <f t="shared" si="14"/>
        <v>0</v>
      </c>
      <c r="L19" s="256">
        <f t="shared" si="14"/>
        <v>0</v>
      </c>
      <c r="M19" s="256">
        <f t="shared" si="14"/>
        <v>0</v>
      </c>
      <c r="N19" s="256">
        <f t="shared" si="14"/>
        <v>0</v>
      </c>
      <c r="O19" s="256">
        <f t="shared" si="14"/>
        <v>0</v>
      </c>
      <c r="P19" s="256">
        <f t="shared" si="14"/>
        <v>0</v>
      </c>
      <c r="Q19" s="256">
        <f t="shared" si="14"/>
        <v>6196000</v>
      </c>
      <c r="R19" s="256">
        <f t="shared" si="14"/>
        <v>28225000</v>
      </c>
      <c r="S19" s="256">
        <f t="shared" si="14"/>
        <v>11716000</v>
      </c>
      <c r="T19" s="256">
        <f t="shared" si="14"/>
        <v>0</v>
      </c>
      <c r="U19" s="256">
        <f t="shared" si="14"/>
        <v>0</v>
      </c>
      <c r="V19" s="256">
        <f t="shared" si="14"/>
        <v>0</v>
      </c>
      <c r="W19" s="256">
        <f t="shared" si="14"/>
        <v>3406000</v>
      </c>
      <c r="X19" s="256">
        <f t="shared" si="14"/>
        <v>2965000</v>
      </c>
      <c r="Y19" s="256">
        <f t="shared" si="14"/>
        <v>3010000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si="14"/>
        <v>0</v>
      </c>
      <c r="AR19" s="256">
        <f t="shared" si="14"/>
        <v>0</v>
      </c>
      <c r="AS19" s="256">
        <f t="shared" si="14"/>
        <v>0</v>
      </c>
      <c r="AT19" s="256">
        <f t="shared" ref="AT19:AT23" si="15">SUM(J19:AS19)</f>
        <v>55518000</v>
      </c>
      <c r="AU19" s="257">
        <f t="shared" si="5"/>
        <v>44.736502820306207</v>
      </c>
      <c r="AV19" s="258">
        <f t="shared" si="6"/>
        <v>68582000</v>
      </c>
      <c r="AW19" s="257">
        <f t="shared" si="9"/>
        <v>55.2634971796938</v>
      </c>
      <c r="AX19" s="220" t="s">
        <v>531</v>
      </c>
      <c r="AY19" s="220" t="s">
        <v>532</v>
      </c>
      <c r="AZ19" s="220" t="s">
        <v>4729</v>
      </c>
      <c r="BA19" s="256">
        <f t="shared" ref="BA19:BB19" si="16">BA20+BA24</f>
        <v>0</v>
      </c>
      <c r="BB19" s="256">
        <f t="shared" si="16"/>
        <v>28225000</v>
      </c>
      <c r="BC19" s="256">
        <f t="shared" ref="BC19:BD19" si="17">BC20+BC24</f>
        <v>6196000</v>
      </c>
      <c r="BD19" s="256">
        <f t="shared" si="17"/>
        <v>0</v>
      </c>
      <c r="BE19" s="256">
        <f t="shared" ref="BE19" si="18">BE20+BE24</f>
        <v>0</v>
      </c>
      <c r="BF19" s="256">
        <f t="shared" ref="BF19:BG19" si="19">BF20+BF24</f>
        <v>3406000</v>
      </c>
      <c r="BG19" s="256">
        <f t="shared" si="19"/>
        <v>2965000</v>
      </c>
      <c r="BH19" s="256">
        <f t="shared" ref="BH19" si="20">BH20+BH24</f>
        <v>0</v>
      </c>
    </row>
    <row r="20" spans="2:60" x14ac:dyDescent="0.3">
      <c r="B20" s="290" t="s">
        <v>8</v>
      </c>
      <c r="C20" s="222" t="s">
        <v>51</v>
      </c>
      <c r="D20" s="222"/>
      <c r="E20" s="222"/>
      <c r="F20" s="223">
        <f>SUM(F21:F23)</f>
        <v>83135000</v>
      </c>
      <c r="G20" s="223">
        <f>SUM(G21:G23)</f>
        <v>83135000</v>
      </c>
      <c r="H20" s="223">
        <f>SUM(H21:H23)</f>
        <v>0</v>
      </c>
      <c r="I20" s="223"/>
      <c r="J20" s="223">
        <f>SUM(J21:J23)</f>
        <v>0</v>
      </c>
      <c r="K20" s="223">
        <f t="shared" ref="K20:AS20" si="21">SUM(K21:K23)</f>
        <v>0</v>
      </c>
      <c r="L20" s="223">
        <f t="shared" si="21"/>
        <v>0</v>
      </c>
      <c r="M20" s="223">
        <f t="shared" si="21"/>
        <v>0</v>
      </c>
      <c r="N20" s="223">
        <f t="shared" si="21"/>
        <v>0</v>
      </c>
      <c r="O20" s="223">
        <f t="shared" si="21"/>
        <v>0</v>
      </c>
      <c r="P20" s="223">
        <f t="shared" si="21"/>
        <v>0</v>
      </c>
      <c r="Q20" s="223">
        <f t="shared" si="21"/>
        <v>1500000</v>
      </c>
      <c r="R20" s="223">
        <f t="shared" si="21"/>
        <v>12840000</v>
      </c>
      <c r="S20" s="223">
        <f t="shared" si="21"/>
        <v>11716000</v>
      </c>
      <c r="T20" s="223">
        <f t="shared" si="21"/>
        <v>0</v>
      </c>
      <c r="U20" s="223">
        <f t="shared" si="21"/>
        <v>0</v>
      </c>
      <c r="V20" s="223">
        <f t="shared" si="21"/>
        <v>0</v>
      </c>
      <c r="W20" s="223">
        <f t="shared" si="21"/>
        <v>3406000</v>
      </c>
      <c r="X20" s="223">
        <f t="shared" si="21"/>
        <v>1485000</v>
      </c>
      <c r="Y20" s="223">
        <f t="shared" si="21"/>
        <v>3010000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 t="shared" si="21"/>
        <v>0</v>
      </c>
      <c r="AR20" s="223">
        <f t="shared" si="21"/>
        <v>0</v>
      </c>
      <c r="AS20" s="223">
        <f t="shared" si="21"/>
        <v>0</v>
      </c>
      <c r="AT20" s="223">
        <f>SUM(J20:AS20)</f>
        <v>33957000</v>
      </c>
      <c r="AU20" s="231">
        <f t="shared" si="5"/>
        <v>40.845612557887776</v>
      </c>
      <c r="AV20" s="232">
        <f t="shared" si="6"/>
        <v>49178000</v>
      </c>
      <c r="AW20" s="231">
        <f t="shared" si="9"/>
        <v>59.154387442112224</v>
      </c>
      <c r="AX20" s="220" t="s">
        <v>531</v>
      </c>
      <c r="AY20" s="220" t="s">
        <v>532</v>
      </c>
      <c r="AZ20" s="220" t="s">
        <v>4729</v>
      </c>
      <c r="BA20" s="223">
        <f>SUM(BA21:BA23)</f>
        <v>0</v>
      </c>
      <c r="BB20" s="223">
        <f>SUM(BB21:BB23)</f>
        <v>12840000</v>
      </c>
      <c r="BC20" s="223">
        <f>SUM(BC21:BC23)</f>
        <v>1500000</v>
      </c>
      <c r="BD20" s="223">
        <f>SUM(BD21:BD23)</f>
        <v>0</v>
      </c>
      <c r="BE20" s="223">
        <f t="shared" ref="BE20" si="22">SUM(BE21:BE23)</f>
        <v>0</v>
      </c>
      <c r="BF20" s="223">
        <f t="shared" ref="BF20:BG20" si="23">SUM(BF21:BF23)</f>
        <v>3406000</v>
      </c>
      <c r="BG20" s="223">
        <f t="shared" si="23"/>
        <v>1485000</v>
      </c>
      <c r="BH20" s="223">
        <f t="shared" ref="BH20" si="24">SUM(BH21:BH23)</f>
        <v>0</v>
      </c>
    </row>
    <row r="21" spans="2:60" x14ac:dyDescent="0.3">
      <c r="B21" s="288">
        <v>521211</v>
      </c>
      <c r="C21" s="220" t="s">
        <v>7</v>
      </c>
      <c r="D21" s="220"/>
      <c r="E21" s="220"/>
      <c r="F21" s="221">
        <v>19875000</v>
      </c>
      <c r="G21" s="221">
        <v>19875000</v>
      </c>
      <c r="H21" s="221"/>
      <c r="I21" s="221"/>
      <c r="J21" s="221"/>
      <c r="K21" s="221"/>
      <c r="L21" s="221"/>
      <c r="M21" s="221"/>
      <c r="N21" s="221"/>
      <c r="O21" s="221"/>
      <c r="P21" s="221"/>
      <c r="Q21" s="300">
        <v>1500000</v>
      </c>
      <c r="R21" s="300">
        <v>990000</v>
      </c>
      <c r="S21" s="221"/>
      <c r="T21" s="221"/>
      <c r="U21" s="221"/>
      <c r="V21" s="221"/>
      <c r="W21" s="221">
        <v>1606000</v>
      </c>
      <c r="X21" s="221">
        <v>1485000</v>
      </c>
      <c r="Y21" s="221"/>
      <c r="Z21" s="221"/>
      <c r="AA21" s="221"/>
      <c r="AB21" s="221"/>
      <c r="AC21" s="221"/>
      <c r="AD21" s="221"/>
      <c r="AE21" s="221"/>
      <c r="AF21" s="221"/>
      <c r="AG21" s="221"/>
      <c r="AH21" s="221"/>
      <c r="AI21" s="221"/>
      <c r="AJ21" s="221"/>
      <c r="AK21" s="221"/>
      <c r="AL21" s="221"/>
      <c r="AM21" s="221"/>
      <c r="AN21" s="221"/>
      <c r="AO21" s="221"/>
      <c r="AP21" s="221"/>
      <c r="AQ21" s="221"/>
      <c r="AR21" s="221"/>
      <c r="AS21" s="221"/>
      <c r="AT21" s="221">
        <f t="shared" si="15"/>
        <v>5581000</v>
      </c>
      <c r="AU21" s="224">
        <f t="shared" si="5"/>
        <v>28.080503144654088</v>
      </c>
      <c r="AV21" s="225">
        <f t="shared" si="6"/>
        <v>14294000</v>
      </c>
      <c r="AW21" s="224">
        <f t="shared" si="9"/>
        <v>71.919496855345912</v>
      </c>
      <c r="AX21" s="220" t="s">
        <v>531</v>
      </c>
      <c r="AY21" s="220" t="s">
        <v>532</v>
      </c>
      <c r="AZ21" s="220" t="s">
        <v>4729</v>
      </c>
      <c r="BA21" s="221"/>
      <c r="BB21" s="300">
        <v>990000</v>
      </c>
      <c r="BC21" s="300">
        <v>1500000</v>
      </c>
      <c r="BD21" s="221"/>
      <c r="BE21" s="221"/>
      <c r="BF21" s="221">
        <v>1606000</v>
      </c>
      <c r="BG21" s="221">
        <v>1485000</v>
      </c>
      <c r="BH21" s="221"/>
    </row>
    <row r="22" spans="2:60" x14ac:dyDescent="0.3">
      <c r="B22" s="288">
        <v>522151</v>
      </c>
      <c r="C22" s="220" t="s">
        <v>11</v>
      </c>
      <c r="D22" s="220"/>
      <c r="E22" s="220"/>
      <c r="F22" s="221">
        <v>20000000</v>
      </c>
      <c r="G22" s="221">
        <v>20000000</v>
      </c>
      <c r="H22" s="221"/>
      <c r="I22" s="221"/>
      <c r="J22" s="221"/>
      <c r="K22" s="221"/>
      <c r="L22" s="221"/>
      <c r="M22" s="221"/>
      <c r="N22" s="221"/>
      <c r="O22" s="221"/>
      <c r="P22" s="221"/>
      <c r="Q22" s="221"/>
      <c r="R22" s="300">
        <v>900000</v>
      </c>
      <c r="S22" s="221"/>
      <c r="T22" s="221"/>
      <c r="U22" s="221"/>
      <c r="V22" s="221"/>
      <c r="W22" s="221"/>
      <c r="X22" s="221"/>
      <c r="Y22" s="221">
        <v>1200000</v>
      </c>
      <c r="Z22" s="221"/>
      <c r="AA22" s="221"/>
      <c r="AB22" s="221"/>
      <c r="AC22" s="221"/>
      <c r="AD22" s="221"/>
      <c r="AE22" s="221"/>
      <c r="AF22" s="221"/>
      <c r="AG22" s="221"/>
      <c r="AH22" s="221"/>
      <c r="AI22" s="221"/>
      <c r="AJ22" s="221"/>
      <c r="AK22" s="221"/>
      <c r="AL22" s="221"/>
      <c r="AM22" s="221"/>
      <c r="AN22" s="221"/>
      <c r="AO22" s="221"/>
      <c r="AP22" s="221"/>
      <c r="AQ22" s="221"/>
      <c r="AR22" s="221"/>
      <c r="AS22" s="221"/>
      <c r="AT22" s="221">
        <f t="shared" si="15"/>
        <v>2100000</v>
      </c>
      <c r="AU22" s="224">
        <f t="shared" si="5"/>
        <v>10.5</v>
      </c>
      <c r="AV22" s="225">
        <f t="shared" si="6"/>
        <v>17900000</v>
      </c>
      <c r="AW22" s="224">
        <f t="shared" si="9"/>
        <v>89.5</v>
      </c>
      <c r="AX22" s="220" t="s">
        <v>531</v>
      </c>
      <c r="AY22" s="220" t="s">
        <v>532</v>
      </c>
      <c r="AZ22" s="220" t="s">
        <v>4729</v>
      </c>
      <c r="BA22" s="221"/>
      <c r="BB22" s="300">
        <v>900000</v>
      </c>
      <c r="BC22" s="300"/>
      <c r="BD22" s="221"/>
      <c r="BE22" s="221"/>
      <c r="BF22" s="221"/>
      <c r="BG22" s="221"/>
      <c r="BH22" s="221"/>
    </row>
    <row r="23" spans="2:60" x14ac:dyDescent="0.3">
      <c r="B23" s="288">
        <v>524111</v>
      </c>
      <c r="C23" s="220" t="s">
        <v>19</v>
      </c>
      <c r="D23" s="220"/>
      <c r="E23" s="220"/>
      <c r="F23" s="221">
        <v>43260000</v>
      </c>
      <c r="G23" s="221">
        <v>43260000</v>
      </c>
      <c r="H23" s="221"/>
      <c r="I23" s="221"/>
      <c r="J23" s="221"/>
      <c r="K23" s="221"/>
      <c r="L23" s="221"/>
      <c r="M23" s="221"/>
      <c r="N23" s="221"/>
      <c r="O23" s="221"/>
      <c r="P23" s="221"/>
      <c r="Q23" s="221"/>
      <c r="R23" s="300">
        <v>10950000</v>
      </c>
      <c r="S23" s="221">
        <f>6060000+5656000</f>
        <v>11716000</v>
      </c>
      <c r="T23" s="221"/>
      <c r="U23" s="221"/>
      <c r="V23" s="221"/>
      <c r="W23" s="221">
        <v>1800000</v>
      </c>
      <c r="X23" s="221"/>
      <c r="Y23" s="221">
        <v>1810000</v>
      </c>
      <c r="Z23" s="221"/>
      <c r="AA23" s="221"/>
      <c r="AB23" s="221"/>
      <c r="AC23" s="221"/>
      <c r="AD23" s="221"/>
      <c r="AE23" s="221"/>
      <c r="AF23" s="221"/>
      <c r="AG23" s="221"/>
      <c r="AH23" s="221"/>
      <c r="AI23" s="221"/>
      <c r="AJ23" s="221"/>
      <c r="AK23" s="221"/>
      <c r="AL23" s="221"/>
      <c r="AM23" s="221"/>
      <c r="AN23" s="221"/>
      <c r="AO23" s="221"/>
      <c r="AP23" s="221"/>
      <c r="AQ23" s="221"/>
      <c r="AR23" s="221"/>
      <c r="AS23" s="221"/>
      <c r="AT23" s="221">
        <f t="shared" si="15"/>
        <v>26276000</v>
      </c>
      <c r="AU23" s="224">
        <f t="shared" si="5"/>
        <v>60.739713361072589</v>
      </c>
      <c r="AV23" s="225">
        <f t="shared" si="6"/>
        <v>16984000</v>
      </c>
      <c r="AW23" s="224">
        <f t="shared" si="9"/>
        <v>39.260286638927418</v>
      </c>
      <c r="AX23" s="220" t="s">
        <v>531</v>
      </c>
      <c r="AY23" s="220" t="s">
        <v>532</v>
      </c>
      <c r="AZ23" s="220" t="s">
        <v>4729</v>
      </c>
      <c r="BA23" s="221"/>
      <c r="BB23" s="300">
        <v>10950000</v>
      </c>
      <c r="BC23" s="300"/>
      <c r="BD23" s="221"/>
      <c r="BE23" s="221"/>
      <c r="BF23" s="221">
        <v>1800000</v>
      </c>
      <c r="BG23" s="221"/>
      <c r="BH23" s="221"/>
    </row>
    <row r="24" spans="2:60" x14ac:dyDescent="0.3">
      <c r="B24" s="290" t="s">
        <v>511</v>
      </c>
      <c r="C24" s="222" t="s">
        <v>55</v>
      </c>
      <c r="D24" s="222"/>
      <c r="E24" s="222"/>
      <c r="F24" s="223">
        <f>SUM(F25:F27)</f>
        <v>40965000</v>
      </c>
      <c r="G24" s="223">
        <f>SUM(G25:G27)</f>
        <v>40965000</v>
      </c>
      <c r="H24" s="223">
        <f>SUM(H25:H27)</f>
        <v>0</v>
      </c>
      <c r="I24" s="223"/>
      <c r="J24" s="223">
        <f t="shared" ref="J24:AS24" si="25">SUM(J25:J27)</f>
        <v>0</v>
      </c>
      <c r="K24" s="223">
        <f t="shared" si="25"/>
        <v>0</v>
      </c>
      <c r="L24" s="223">
        <f t="shared" si="25"/>
        <v>0</v>
      </c>
      <c r="M24" s="223">
        <f t="shared" si="25"/>
        <v>0</v>
      </c>
      <c r="N24" s="223">
        <f t="shared" si="25"/>
        <v>0</v>
      </c>
      <c r="O24" s="223">
        <f t="shared" si="25"/>
        <v>0</v>
      </c>
      <c r="P24" s="223">
        <f t="shared" si="25"/>
        <v>0</v>
      </c>
      <c r="Q24" s="223">
        <f t="shared" si="25"/>
        <v>4696000</v>
      </c>
      <c r="R24" s="223">
        <f t="shared" si="25"/>
        <v>15385000</v>
      </c>
      <c r="S24" s="223">
        <f t="shared" si="25"/>
        <v>0</v>
      </c>
      <c r="T24" s="223">
        <f t="shared" si="25"/>
        <v>0</v>
      </c>
      <c r="U24" s="223">
        <f t="shared" si="25"/>
        <v>0</v>
      </c>
      <c r="V24" s="223">
        <f t="shared" si="25"/>
        <v>0</v>
      </c>
      <c r="W24" s="223">
        <f t="shared" si="25"/>
        <v>0</v>
      </c>
      <c r="X24" s="223">
        <f t="shared" si="25"/>
        <v>1480000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 t="shared" si="25"/>
        <v>0</v>
      </c>
      <c r="AR24" s="223">
        <f t="shared" si="25"/>
        <v>0</v>
      </c>
      <c r="AS24" s="223">
        <f t="shared" si="25"/>
        <v>0</v>
      </c>
      <c r="AT24" s="223">
        <f>SUM(J24:AS24)</f>
        <v>21561000</v>
      </c>
      <c r="AU24" s="231">
        <f t="shared" si="5"/>
        <v>52.632735261808861</v>
      </c>
      <c r="AV24" s="232">
        <f t="shared" si="6"/>
        <v>19404000</v>
      </c>
      <c r="AW24" s="231">
        <f t="shared" si="9"/>
        <v>47.367264738191139</v>
      </c>
      <c r="AX24" s="220" t="s">
        <v>531</v>
      </c>
      <c r="AY24" s="220" t="s">
        <v>532</v>
      </c>
      <c r="AZ24" s="220" t="s">
        <v>4729</v>
      </c>
      <c r="BA24" s="223">
        <f t="shared" ref="BA24:BD24" si="26">SUM(BA25:BA27)</f>
        <v>0</v>
      </c>
      <c r="BB24" s="223">
        <f t="shared" si="26"/>
        <v>15385000</v>
      </c>
      <c r="BC24" s="223">
        <f t="shared" si="26"/>
        <v>4696000</v>
      </c>
      <c r="BD24" s="223">
        <f t="shared" si="26"/>
        <v>0</v>
      </c>
      <c r="BE24" s="223">
        <f t="shared" ref="BE24" si="27">SUM(BE25:BE27)</f>
        <v>0</v>
      </c>
      <c r="BF24" s="223">
        <f t="shared" ref="BF24:BG24" si="28">SUM(BF25:BF27)</f>
        <v>0</v>
      </c>
      <c r="BG24" s="223">
        <f t="shared" si="28"/>
        <v>1480000</v>
      </c>
      <c r="BH24" s="223">
        <f t="shared" ref="BH24" si="29">SUM(BH25:BH27)</f>
        <v>0</v>
      </c>
    </row>
    <row r="25" spans="2:60" x14ac:dyDescent="0.3">
      <c r="B25" s="288">
        <v>521211</v>
      </c>
      <c r="C25" s="220" t="s">
        <v>7</v>
      </c>
      <c r="D25" s="220"/>
      <c r="E25" s="220"/>
      <c r="F25" s="221">
        <v>19500000</v>
      </c>
      <c r="G25" s="221">
        <v>19500000</v>
      </c>
      <c r="H25" s="221"/>
      <c r="I25" s="221"/>
      <c r="J25" s="221"/>
      <c r="K25" s="221"/>
      <c r="L25" s="221"/>
      <c r="M25" s="221"/>
      <c r="N25" s="221"/>
      <c r="O25" s="221"/>
      <c r="P25" s="221"/>
      <c r="Q25" s="300">
        <v>1036000</v>
      </c>
      <c r="R25" s="300">
        <v>1525000</v>
      </c>
      <c r="S25" s="221"/>
      <c r="T25" s="221"/>
      <c r="U25" s="221"/>
      <c r="V25" s="221"/>
      <c r="W25" s="221"/>
      <c r="X25" s="221">
        <v>1480000</v>
      </c>
      <c r="Y25" s="221"/>
      <c r="Z25" s="221"/>
      <c r="AA25" s="221"/>
      <c r="AB25" s="221"/>
      <c r="AC25" s="221"/>
      <c r="AD25" s="221"/>
      <c r="AE25" s="221"/>
      <c r="AF25" s="221"/>
      <c r="AG25" s="221"/>
      <c r="AH25" s="221"/>
      <c r="AI25" s="221"/>
      <c r="AJ25" s="221"/>
      <c r="AK25" s="221"/>
      <c r="AL25" s="221"/>
      <c r="AM25" s="221"/>
      <c r="AN25" s="221"/>
      <c r="AO25" s="221"/>
      <c r="AP25" s="221"/>
      <c r="AQ25" s="221"/>
      <c r="AR25" s="221"/>
      <c r="AS25" s="221"/>
      <c r="AT25" s="221">
        <f t="shared" ref="AT25:AT78" si="30">SUM(J25:AS25)</f>
        <v>4041000</v>
      </c>
      <c r="AU25" s="224">
        <f t="shared" si="5"/>
        <v>20.723076923076921</v>
      </c>
      <c r="AV25" s="225">
        <f t="shared" si="6"/>
        <v>15459000</v>
      </c>
      <c r="AW25" s="224">
        <f t="shared" si="9"/>
        <v>79.276923076923083</v>
      </c>
      <c r="AX25" s="220" t="s">
        <v>531</v>
      </c>
      <c r="AY25" s="220" t="s">
        <v>532</v>
      </c>
      <c r="AZ25" s="220" t="s">
        <v>4729</v>
      </c>
      <c r="BA25" s="221"/>
      <c r="BB25" s="300">
        <v>1525000</v>
      </c>
      <c r="BC25" s="300">
        <v>1036000</v>
      </c>
      <c r="BD25" s="221"/>
      <c r="BE25" s="221"/>
      <c r="BF25" s="221"/>
      <c r="BG25" s="221">
        <v>1480000</v>
      </c>
      <c r="BH25" s="221"/>
    </row>
    <row r="26" spans="2:60" x14ac:dyDescent="0.3">
      <c r="B26" s="288">
        <v>522151</v>
      </c>
      <c r="C26" s="220" t="s">
        <v>11</v>
      </c>
      <c r="D26" s="220"/>
      <c r="E26" s="220"/>
      <c r="F26" s="221">
        <v>4000000</v>
      </c>
      <c r="G26" s="221">
        <v>4000000</v>
      </c>
      <c r="H26" s="221"/>
      <c r="I26" s="221"/>
      <c r="J26" s="221"/>
      <c r="K26" s="221"/>
      <c r="L26" s="221"/>
      <c r="M26" s="221"/>
      <c r="N26" s="221"/>
      <c r="O26" s="221"/>
      <c r="P26" s="221"/>
      <c r="Q26" s="300"/>
      <c r="R26" s="300">
        <v>900000</v>
      </c>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c r="AR26" s="221"/>
      <c r="AS26" s="221"/>
      <c r="AT26" s="221">
        <f t="shared" si="30"/>
        <v>900000</v>
      </c>
      <c r="AU26" s="224">
        <f t="shared" si="5"/>
        <v>22.5</v>
      </c>
      <c r="AV26" s="225">
        <f t="shared" si="6"/>
        <v>3100000</v>
      </c>
      <c r="AW26" s="224">
        <f t="shared" si="9"/>
        <v>77.5</v>
      </c>
      <c r="AX26" s="220" t="s">
        <v>531</v>
      </c>
      <c r="AY26" s="220" t="s">
        <v>532</v>
      </c>
      <c r="AZ26" s="220" t="s">
        <v>4729</v>
      </c>
      <c r="BA26" s="221"/>
      <c r="BB26" s="300">
        <v>900000</v>
      </c>
      <c r="BC26" s="300"/>
      <c r="BD26" s="221"/>
      <c r="BE26" s="221"/>
      <c r="BF26" s="221"/>
      <c r="BG26" s="221"/>
      <c r="BH26" s="221"/>
    </row>
    <row r="27" spans="2:60" x14ac:dyDescent="0.3">
      <c r="B27" s="288">
        <v>524111</v>
      </c>
      <c r="C27" s="220" t="s">
        <v>19</v>
      </c>
      <c r="D27" s="220"/>
      <c r="E27" s="220"/>
      <c r="F27" s="221">
        <v>17465000</v>
      </c>
      <c r="G27" s="221">
        <v>17465000</v>
      </c>
      <c r="H27" s="221"/>
      <c r="I27" s="221"/>
      <c r="J27" s="221"/>
      <c r="K27" s="221"/>
      <c r="L27" s="221"/>
      <c r="M27" s="221"/>
      <c r="N27" s="221"/>
      <c r="O27" s="221"/>
      <c r="P27" s="221"/>
      <c r="Q27" s="300">
        <v>3660000</v>
      </c>
      <c r="R27" s="300">
        <v>12960000</v>
      </c>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c r="AR27" s="221"/>
      <c r="AS27" s="221"/>
      <c r="AT27" s="221">
        <f t="shared" si="30"/>
        <v>16620000</v>
      </c>
      <c r="AU27" s="224">
        <f t="shared" si="5"/>
        <v>95.161752075579727</v>
      </c>
      <c r="AV27" s="225">
        <f t="shared" si="6"/>
        <v>845000</v>
      </c>
      <c r="AW27" s="224">
        <f t="shared" si="9"/>
        <v>4.8382479244202692</v>
      </c>
      <c r="AX27" s="220" t="s">
        <v>531</v>
      </c>
      <c r="AY27" s="220" t="s">
        <v>532</v>
      </c>
      <c r="AZ27" s="220" t="s">
        <v>4729</v>
      </c>
      <c r="BA27" s="221"/>
      <c r="BB27" s="300">
        <v>12960000</v>
      </c>
      <c r="BC27" s="300">
        <v>3660000</v>
      </c>
      <c r="BD27" s="221"/>
      <c r="BE27" s="221"/>
      <c r="BF27" s="221"/>
      <c r="BG27" s="221"/>
      <c r="BH27" s="221"/>
    </row>
    <row r="28" spans="2:60" x14ac:dyDescent="0.3">
      <c r="B28" s="254" t="s">
        <v>520</v>
      </c>
      <c r="C28" s="255" t="s">
        <v>57</v>
      </c>
      <c r="D28" s="255"/>
      <c r="E28" s="255"/>
      <c r="F28" s="256">
        <f>F29</f>
        <v>54500000</v>
      </c>
      <c r="G28" s="256">
        <f>G29</f>
        <v>54500000</v>
      </c>
      <c r="H28" s="256">
        <f>H29</f>
        <v>0</v>
      </c>
      <c r="I28" s="256"/>
      <c r="J28" s="256">
        <f t="shared" ref="J28:AR28" si="31">J29</f>
        <v>0</v>
      </c>
      <c r="K28" s="256">
        <f t="shared" si="31"/>
        <v>0</v>
      </c>
      <c r="L28" s="256">
        <f t="shared" si="31"/>
        <v>0</v>
      </c>
      <c r="M28" s="256">
        <f t="shared" si="31"/>
        <v>0</v>
      </c>
      <c r="N28" s="256">
        <f t="shared" si="31"/>
        <v>0</v>
      </c>
      <c r="O28" s="256">
        <f t="shared" si="31"/>
        <v>0</v>
      </c>
      <c r="P28" s="256">
        <f t="shared" si="31"/>
        <v>0</v>
      </c>
      <c r="Q28" s="256">
        <f t="shared" si="31"/>
        <v>2700000</v>
      </c>
      <c r="R28" s="256">
        <f t="shared" si="31"/>
        <v>3540000</v>
      </c>
      <c r="S28" s="256">
        <f t="shared" si="31"/>
        <v>2840000</v>
      </c>
      <c r="T28" s="256">
        <f t="shared" si="31"/>
        <v>0</v>
      </c>
      <c r="U28" s="256">
        <f t="shared" si="31"/>
        <v>0</v>
      </c>
      <c r="V28" s="256">
        <f t="shared" si="31"/>
        <v>1250000</v>
      </c>
      <c r="W28" s="256">
        <f t="shared" si="31"/>
        <v>4280000</v>
      </c>
      <c r="X28" s="256">
        <f t="shared" si="31"/>
        <v>9244500</v>
      </c>
      <c r="Y28" s="256">
        <f t="shared" si="31"/>
        <v>360000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 t="shared" si="31"/>
        <v>0</v>
      </c>
      <c r="AQ28" s="256">
        <f t="shared" si="31"/>
        <v>0</v>
      </c>
      <c r="AR28" s="256">
        <f t="shared" si="31"/>
        <v>0</v>
      </c>
      <c r="AS28" s="256">
        <f>AS29</f>
        <v>0</v>
      </c>
      <c r="AT28" s="256">
        <f>SUM(J28:AS28)</f>
        <v>24214500</v>
      </c>
      <c r="AU28" s="257">
        <f t="shared" si="5"/>
        <v>44.430275229357797</v>
      </c>
      <c r="AV28" s="258">
        <f>F28-AT28</f>
        <v>30285500</v>
      </c>
      <c r="AW28" s="257">
        <f t="shared" si="9"/>
        <v>55.569724770642203</v>
      </c>
      <c r="AX28" s="220" t="s">
        <v>531</v>
      </c>
      <c r="AY28" s="220" t="s">
        <v>534</v>
      </c>
      <c r="AZ28" s="220" t="s">
        <v>4729</v>
      </c>
      <c r="BA28" s="256">
        <f t="shared" ref="BA28:BH28" si="32">BA29</f>
        <v>0</v>
      </c>
      <c r="BB28" s="256">
        <f t="shared" si="32"/>
        <v>3540000</v>
      </c>
      <c r="BC28" s="256">
        <f t="shared" si="32"/>
        <v>2700000</v>
      </c>
      <c r="BD28" s="256">
        <f t="shared" si="32"/>
        <v>0</v>
      </c>
      <c r="BE28" s="256">
        <f t="shared" si="32"/>
        <v>0</v>
      </c>
      <c r="BF28" s="256">
        <f t="shared" si="32"/>
        <v>4280000</v>
      </c>
      <c r="BG28" s="256">
        <f t="shared" si="32"/>
        <v>9244500</v>
      </c>
      <c r="BH28" s="256">
        <f t="shared" si="32"/>
        <v>0</v>
      </c>
    </row>
    <row r="29" spans="2:60" x14ac:dyDescent="0.3">
      <c r="B29" s="290" t="s">
        <v>8</v>
      </c>
      <c r="C29" s="222" t="s">
        <v>59</v>
      </c>
      <c r="D29" s="222"/>
      <c r="E29" s="222"/>
      <c r="F29" s="223">
        <f>SUM(F30:F31)</f>
        <v>54500000</v>
      </c>
      <c r="G29" s="223">
        <f>SUM(G30:G31)</f>
        <v>54500000</v>
      </c>
      <c r="H29" s="223">
        <f>SUM(H30:H31)</f>
        <v>0</v>
      </c>
      <c r="I29" s="223"/>
      <c r="J29" s="223">
        <f t="shared" ref="J29:AS29" si="33">SUM(J30:J31)</f>
        <v>0</v>
      </c>
      <c r="K29" s="223">
        <f t="shared" si="33"/>
        <v>0</v>
      </c>
      <c r="L29" s="223">
        <f t="shared" si="33"/>
        <v>0</v>
      </c>
      <c r="M29" s="223">
        <f t="shared" si="33"/>
        <v>0</v>
      </c>
      <c r="N29" s="223">
        <f t="shared" si="33"/>
        <v>0</v>
      </c>
      <c r="O29" s="223">
        <f t="shared" si="33"/>
        <v>0</v>
      </c>
      <c r="P29" s="223">
        <f t="shared" si="33"/>
        <v>0</v>
      </c>
      <c r="Q29" s="223">
        <f t="shared" si="33"/>
        <v>2700000</v>
      </c>
      <c r="R29" s="223">
        <f t="shared" si="33"/>
        <v>3540000</v>
      </c>
      <c r="S29" s="223">
        <f t="shared" si="33"/>
        <v>2840000</v>
      </c>
      <c r="T29" s="223">
        <f t="shared" si="33"/>
        <v>0</v>
      </c>
      <c r="U29" s="223">
        <f t="shared" si="33"/>
        <v>0</v>
      </c>
      <c r="V29" s="223">
        <f t="shared" si="33"/>
        <v>1250000</v>
      </c>
      <c r="W29" s="223">
        <f t="shared" si="33"/>
        <v>4280000</v>
      </c>
      <c r="X29" s="223">
        <f t="shared" si="33"/>
        <v>9244500</v>
      </c>
      <c r="Y29" s="223">
        <f t="shared" si="33"/>
        <v>360000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3"/>
        <v>0</v>
      </c>
      <c r="AR29" s="223">
        <f t="shared" si="33"/>
        <v>0</v>
      </c>
      <c r="AS29" s="223">
        <f t="shared" si="33"/>
        <v>0</v>
      </c>
      <c r="AT29" s="223">
        <f t="shared" si="30"/>
        <v>24214500</v>
      </c>
      <c r="AU29" s="231">
        <f t="shared" si="5"/>
        <v>44.430275229357797</v>
      </c>
      <c r="AV29" s="232">
        <f t="shared" si="6"/>
        <v>30285500</v>
      </c>
      <c r="AW29" s="231">
        <f t="shared" si="9"/>
        <v>55.569724770642203</v>
      </c>
      <c r="AX29" s="220" t="s">
        <v>531</v>
      </c>
      <c r="AY29" s="220" t="s">
        <v>534</v>
      </c>
      <c r="AZ29" s="220" t="s">
        <v>4729</v>
      </c>
      <c r="BA29" s="223">
        <f t="shared" ref="BA29" si="34">SUM(BA30:BA31)</f>
        <v>0</v>
      </c>
      <c r="BB29" s="223">
        <f t="shared" ref="BB29:BC29" si="35">SUM(BB30:BB31)</f>
        <v>3540000</v>
      </c>
      <c r="BC29" s="223">
        <f t="shared" si="35"/>
        <v>2700000</v>
      </c>
      <c r="BD29" s="223">
        <f t="shared" ref="BD29" si="36">SUM(BD30:BD31)</f>
        <v>0</v>
      </c>
      <c r="BE29" s="223">
        <f t="shared" ref="BE29" si="37">SUM(BE30:BE31)</f>
        <v>0</v>
      </c>
      <c r="BF29" s="223">
        <f t="shared" ref="BF29:BG29" si="38">SUM(BF30:BF31)</f>
        <v>4280000</v>
      </c>
      <c r="BG29" s="223">
        <f t="shared" si="38"/>
        <v>9244500</v>
      </c>
      <c r="BH29" s="223">
        <f t="shared" ref="BH29" si="39">SUM(BH30:BH31)</f>
        <v>0</v>
      </c>
    </row>
    <row r="30" spans="2:60" x14ac:dyDescent="0.3">
      <c r="B30" s="288">
        <v>521211</v>
      </c>
      <c r="C30" s="220" t="s">
        <v>7</v>
      </c>
      <c r="D30" s="220"/>
      <c r="E30" s="220"/>
      <c r="F30" s="221">
        <v>21250000</v>
      </c>
      <c r="G30" s="221">
        <v>21250000</v>
      </c>
      <c r="H30" s="221"/>
      <c r="I30" s="221"/>
      <c r="J30" s="221"/>
      <c r="K30" s="221"/>
      <c r="L30" s="221"/>
      <c r="M30" s="221"/>
      <c r="N30" s="221"/>
      <c r="O30" s="221"/>
      <c r="P30" s="221"/>
      <c r="Q30" s="221"/>
      <c r="R30" s="300">
        <v>2460000</v>
      </c>
      <c r="S30" s="221"/>
      <c r="T30" s="221"/>
      <c r="U30" s="221"/>
      <c r="V30" s="221"/>
      <c r="W30" s="221">
        <v>660000</v>
      </c>
      <c r="X30" s="221"/>
      <c r="Y30" s="221"/>
      <c r="Z30" s="221"/>
      <c r="AA30" s="221"/>
      <c r="AB30" s="221"/>
      <c r="AC30" s="221"/>
      <c r="AD30" s="221"/>
      <c r="AE30" s="221"/>
      <c r="AF30" s="221"/>
      <c r="AG30" s="221"/>
      <c r="AH30" s="221"/>
      <c r="AI30" s="221"/>
      <c r="AJ30" s="221"/>
      <c r="AK30" s="221"/>
      <c r="AL30" s="221"/>
      <c r="AM30" s="221"/>
      <c r="AN30" s="221"/>
      <c r="AO30" s="221"/>
      <c r="AP30" s="221"/>
      <c r="AQ30" s="221"/>
      <c r="AR30" s="221"/>
      <c r="AS30" s="221"/>
      <c r="AT30" s="221">
        <f t="shared" si="30"/>
        <v>3120000</v>
      </c>
      <c r="AU30" s="224">
        <f t="shared" si="5"/>
        <v>14.682352941176472</v>
      </c>
      <c r="AV30" s="225">
        <f>F30-AT30</f>
        <v>18130000</v>
      </c>
      <c r="AW30" s="224">
        <f t="shared" si="9"/>
        <v>85.317647058823525</v>
      </c>
      <c r="AX30" s="220" t="s">
        <v>531</v>
      </c>
      <c r="AY30" s="220" t="s">
        <v>534</v>
      </c>
      <c r="AZ30" s="220" t="s">
        <v>4729</v>
      </c>
      <c r="BA30" s="221"/>
      <c r="BB30" s="300">
        <v>2460000</v>
      </c>
      <c r="BC30" s="300"/>
      <c r="BD30" s="221"/>
      <c r="BE30" s="221"/>
      <c r="BF30" s="221">
        <v>660000</v>
      </c>
      <c r="BG30" s="221"/>
      <c r="BH30" s="221"/>
    </row>
    <row r="31" spans="2:60" x14ac:dyDescent="0.3">
      <c r="B31" s="288">
        <v>524111</v>
      </c>
      <c r="C31" s="220" t="s">
        <v>19</v>
      </c>
      <c r="D31" s="220"/>
      <c r="E31" s="220"/>
      <c r="F31" s="221">
        <v>33250000</v>
      </c>
      <c r="G31" s="221">
        <v>33250000</v>
      </c>
      <c r="H31" s="221"/>
      <c r="I31" s="221"/>
      <c r="J31" s="221"/>
      <c r="K31" s="221"/>
      <c r="L31" s="221"/>
      <c r="M31" s="221"/>
      <c r="N31" s="221"/>
      <c r="O31" s="221"/>
      <c r="P31" s="221"/>
      <c r="Q31" s="300">
        <v>2700000</v>
      </c>
      <c r="R31" s="300">
        <v>1080000</v>
      </c>
      <c r="S31" s="221">
        <f>1800000+1040000</f>
        <v>2840000</v>
      </c>
      <c r="T31" s="221"/>
      <c r="U31" s="221"/>
      <c r="V31" s="221">
        <v>1250000</v>
      </c>
      <c r="W31" s="221">
        <v>3620000</v>
      </c>
      <c r="X31" s="221">
        <v>9244500</v>
      </c>
      <c r="Y31" s="221">
        <v>360000</v>
      </c>
      <c r="Z31" s="221"/>
      <c r="AA31" s="221"/>
      <c r="AB31" s="221"/>
      <c r="AC31" s="221"/>
      <c r="AD31" s="221"/>
      <c r="AE31" s="221"/>
      <c r="AF31" s="221"/>
      <c r="AG31" s="221"/>
      <c r="AH31" s="221"/>
      <c r="AI31" s="221"/>
      <c r="AJ31" s="221"/>
      <c r="AK31" s="221"/>
      <c r="AL31" s="221"/>
      <c r="AM31" s="221"/>
      <c r="AN31" s="221"/>
      <c r="AO31" s="221"/>
      <c r="AP31" s="221"/>
      <c r="AQ31" s="221"/>
      <c r="AR31" s="221"/>
      <c r="AS31" s="221"/>
      <c r="AT31" s="221">
        <f t="shared" si="30"/>
        <v>21094500</v>
      </c>
      <c r="AU31" s="224">
        <f t="shared" si="5"/>
        <v>63.442105263157899</v>
      </c>
      <c r="AV31" s="225">
        <f t="shared" si="6"/>
        <v>12155500</v>
      </c>
      <c r="AW31" s="224">
        <f t="shared" si="9"/>
        <v>36.557894736842108</v>
      </c>
      <c r="AX31" s="220" t="s">
        <v>531</v>
      </c>
      <c r="AY31" s="220" t="s">
        <v>534</v>
      </c>
      <c r="AZ31" s="220" t="s">
        <v>4729</v>
      </c>
      <c r="BA31" s="221"/>
      <c r="BB31" s="300">
        <v>1080000</v>
      </c>
      <c r="BC31" s="300">
        <v>2700000</v>
      </c>
      <c r="BD31" s="221"/>
      <c r="BE31" s="221"/>
      <c r="BF31" s="221">
        <v>3620000</v>
      </c>
      <c r="BG31" s="221">
        <v>9244500</v>
      </c>
      <c r="BH31" s="221"/>
    </row>
    <row r="32" spans="2:60" x14ac:dyDescent="0.3">
      <c r="B32" s="254" t="s">
        <v>523</v>
      </c>
      <c r="C32" s="255" t="s">
        <v>61</v>
      </c>
      <c r="D32" s="255"/>
      <c r="E32" s="255"/>
      <c r="F32" s="256">
        <f>F33+F41+F48</f>
        <v>686300000</v>
      </c>
      <c r="G32" s="256">
        <f>G33+G41+G48</f>
        <v>686300000</v>
      </c>
      <c r="H32" s="256">
        <f>H33+H41+H48</f>
        <v>0</v>
      </c>
      <c r="I32" s="256"/>
      <c r="J32" s="256">
        <f t="shared" ref="J32:AS32" si="40">J33+J41+J48</f>
        <v>0</v>
      </c>
      <c r="K32" s="256">
        <f t="shared" si="40"/>
        <v>0</v>
      </c>
      <c r="L32" s="256">
        <f t="shared" si="40"/>
        <v>0</v>
      </c>
      <c r="M32" s="256">
        <f t="shared" si="40"/>
        <v>0</v>
      </c>
      <c r="N32" s="256">
        <f t="shared" si="40"/>
        <v>0</v>
      </c>
      <c r="O32" s="256">
        <f t="shared" si="40"/>
        <v>0</v>
      </c>
      <c r="P32" s="256">
        <f t="shared" si="40"/>
        <v>0</v>
      </c>
      <c r="Q32" s="256">
        <f t="shared" si="40"/>
        <v>7572800</v>
      </c>
      <c r="R32" s="256">
        <f t="shared" si="40"/>
        <v>35690450</v>
      </c>
      <c r="S32" s="256">
        <f t="shared" si="40"/>
        <v>6180000</v>
      </c>
      <c r="T32" s="256">
        <f t="shared" si="40"/>
        <v>0</v>
      </c>
      <c r="U32" s="256">
        <f t="shared" si="40"/>
        <v>0</v>
      </c>
      <c r="V32" s="256">
        <f t="shared" si="40"/>
        <v>930000</v>
      </c>
      <c r="W32" s="256">
        <f t="shared" si="40"/>
        <v>1074100</v>
      </c>
      <c r="X32" s="256">
        <f t="shared" si="40"/>
        <v>63914400</v>
      </c>
      <c r="Y32" s="256">
        <f t="shared" si="40"/>
        <v>98818490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 t="shared" si="40"/>
        <v>0</v>
      </c>
      <c r="AR32" s="256">
        <f t="shared" si="40"/>
        <v>0</v>
      </c>
      <c r="AS32" s="256">
        <f t="shared" si="40"/>
        <v>0</v>
      </c>
      <c r="AT32" s="256">
        <f>SUM(J32:AS32)</f>
        <v>214180240</v>
      </c>
      <c r="AU32" s="257">
        <f t="shared" si="5"/>
        <v>31.207961532857354</v>
      </c>
      <c r="AV32" s="258">
        <f t="shared" si="6"/>
        <v>472119760</v>
      </c>
      <c r="AW32" s="257">
        <f t="shared" si="9"/>
        <v>68.792038467142646</v>
      </c>
      <c r="AX32" s="220" t="s">
        <v>535</v>
      </c>
      <c r="AY32" s="220" t="s">
        <v>536</v>
      </c>
      <c r="AZ32" s="220" t="s">
        <v>4729</v>
      </c>
      <c r="BA32" s="256">
        <f t="shared" ref="BA32" si="41">BA33+BA41+BA48</f>
        <v>0</v>
      </c>
      <c r="BB32" s="256">
        <f t="shared" ref="BB32:BC32" si="42">BB33+BB41+BB48</f>
        <v>35690450</v>
      </c>
      <c r="BC32" s="256">
        <f t="shared" si="42"/>
        <v>7572800</v>
      </c>
      <c r="BD32" s="256">
        <f t="shared" ref="BD32" si="43">BD33+BD41+BD48</f>
        <v>0</v>
      </c>
      <c r="BE32" s="256">
        <f t="shared" ref="BE32" si="44">BE33+BE41+BE48</f>
        <v>0</v>
      </c>
      <c r="BF32" s="256">
        <f t="shared" ref="BF32:BG32" si="45">BF33+BF41+BF48</f>
        <v>1074100</v>
      </c>
      <c r="BG32" s="256">
        <f t="shared" si="45"/>
        <v>63914400</v>
      </c>
      <c r="BH32" s="256">
        <f t="shared" ref="BH32" si="46">BH33+BH41+BH48</f>
        <v>0</v>
      </c>
    </row>
    <row r="33" spans="2:60" x14ac:dyDescent="0.3">
      <c r="B33" s="290" t="s">
        <v>8</v>
      </c>
      <c r="C33" s="222" t="s">
        <v>62</v>
      </c>
      <c r="D33" s="222"/>
      <c r="E33" s="222"/>
      <c r="F33" s="223">
        <f>SUM(F34:F40)</f>
        <v>386924000</v>
      </c>
      <c r="G33" s="223">
        <f>SUM(G34:G40)</f>
        <v>386924000</v>
      </c>
      <c r="H33" s="223">
        <f>SUM(H34:H40)</f>
        <v>0</v>
      </c>
      <c r="I33" s="223"/>
      <c r="J33" s="223">
        <f t="shared" ref="J33:AS33" si="47">SUM(J34:J40)</f>
        <v>0</v>
      </c>
      <c r="K33" s="223">
        <f t="shared" si="47"/>
        <v>0</v>
      </c>
      <c r="L33" s="223">
        <f t="shared" si="47"/>
        <v>0</v>
      </c>
      <c r="M33" s="223">
        <f t="shared" si="47"/>
        <v>0</v>
      </c>
      <c r="N33" s="223">
        <f t="shared" si="47"/>
        <v>0</v>
      </c>
      <c r="O33" s="223">
        <f t="shared" si="47"/>
        <v>0</v>
      </c>
      <c r="P33" s="223">
        <f t="shared" si="47"/>
        <v>0</v>
      </c>
      <c r="Q33" s="223">
        <f t="shared" si="47"/>
        <v>7572800</v>
      </c>
      <c r="R33" s="223">
        <f t="shared" si="47"/>
        <v>16947450</v>
      </c>
      <c r="S33" s="223">
        <f t="shared" si="47"/>
        <v>6180000</v>
      </c>
      <c r="T33" s="223">
        <f t="shared" si="47"/>
        <v>0</v>
      </c>
      <c r="U33" s="223">
        <f t="shared" si="47"/>
        <v>0</v>
      </c>
      <c r="V33" s="223">
        <f t="shared" si="47"/>
        <v>930000</v>
      </c>
      <c r="W33" s="223">
        <f t="shared" si="47"/>
        <v>771250</v>
      </c>
      <c r="X33" s="223">
        <f t="shared" si="47"/>
        <v>3813500</v>
      </c>
      <c r="Y33" s="223">
        <f t="shared" si="47"/>
        <v>22708650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47"/>
        <v>0</v>
      </c>
      <c r="AR33" s="223">
        <f t="shared" si="47"/>
        <v>0</v>
      </c>
      <c r="AS33" s="223">
        <f t="shared" si="47"/>
        <v>0</v>
      </c>
      <c r="AT33" s="223">
        <f t="shared" si="30"/>
        <v>58923650</v>
      </c>
      <c r="AU33" s="231">
        <f t="shared" si="5"/>
        <v>15.228740010958225</v>
      </c>
      <c r="AV33" s="232">
        <f t="shared" si="6"/>
        <v>328000350</v>
      </c>
      <c r="AW33" s="231">
        <f t="shared" si="9"/>
        <v>84.771259989041781</v>
      </c>
      <c r="AX33" s="220" t="s">
        <v>535</v>
      </c>
      <c r="AY33" s="220" t="s">
        <v>536</v>
      </c>
      <c r="AZ33" s="220" t="s">
        <v>4729</v>
      </c>
      <c r="BA33" s="223">
        <f t="shared" ref="BA33" si="48">SUM(BA34:BA40)</f>
        <v>0</v>
      </c>
      <c r="BB33" s="223">
        <f t="shared" ref="BB33:BC33" si="49">SUM(BB34:BB40)</f>
        <v>16947450</v>
      </c>
      <c r="BC33" s="223">
        <f t="shared" si="49"/>
        <v>7572800</v>
      </c>
      <c r="BD33" s="223">
        <f t="shared" ref="BD33" si="50">SUM(BD34:BD40)</f>
        <v>0</v>
      </c>
      <c r="BE33" s="223">
        <f t="shared" ref="BE33" si="51">SUM(BE34:BE40)</f>
        <v>0</v>
      </c>
      <c r="BF33" s="223">
        <f t="shared" ref="BF33:BG33" si="52">SUM(BF34:BF40)</f>
        <v>771250</v>
      </c>
      <c r="BG33" s="223">
        <f t="shared" si="52"/>
        <v>3813500</v>
      </c>
      <c r="BH33" s="223">
        <f t="shared" ref="BH33" si="53">SUM(BH34:BH40)</f>
        <v>0</v>
      </c>
    </row>
    <row r="34" spans="2:60" x14ac:dyDescent="0.3">
      <c r="B34" s="288">
        <v>521211</v>
      </c>
      <c r="C34" s="220" t="s">
        <v>7</v>
      </c>
      <c r="D34" s="220"/>
      <c r="E34" s="220"/>
      <c r="F34" s="221">
        <v>64900000</v>
      </c>
      <c r="G34" s="221">
        <v>64900000</v>
      </c>
      <c r="H34" s="221"/>
      <c r="I34" s="221"/>
      <c r="J34" s="221"/>
      <c r="K34" s="221"/>
      <c r="L34" s="221"/>
      <c r="M34" s="221"/>
      <c r="N34" s="221"/>
      <c r="O34" s="221"/>
      <c r="P34" s="221"/>
      <c r="Q34" s="300">
        <v>1461500</v>
      </c>
      <c r="R34" s="300">
        <v>2871000</v>
      </c>
      <c r="S34" s="221"/>
      <c r="T34" s="221"/>
      <c r="U34" s="221"/>
      <c r="V34" s="221"/>
      <c r="W34" s="221">
        <v>440000</v>
      </c>
      <c r="X34" s="221">
        <v>1422500</v>
      </c>
      <c r="Y34" s="221"/>
      <c r="Z34" s="221"/>
      <c r="AA34" s="221"/>
      <c r="AB34" s="221"/>
      <c r="AC34" s="221"/>
      <c r="AD34" s="221"/>
      <c r="AE34" s="221"/>
      <c r="AF34" s="221"/>
      <c r="AG34" s="221"/>
      <c r="AH34" s="221"/>
      <c r="AI34" s="221"/>
      <c r="AJ34" s="221"/>
      <c r="AK34" s="221"/>
      <c r="AL34" s="221"/>
      <c r="AM34" s="221"/>
      <c r="AN34" s="221"/>
      <c r="AO34" s="221"/>
      <c r="AP34" s="221"/>
      <c r="AQ34" s="221"/>
      <c r="AR34" s="221"/>
      <c r="AS34" s="221"/>
      <c r="AT34" s="221">
        <f t="shared" si="30"/>
        <v>6195000</v>
      </c>
      <c r="AU34" s="224">
        <f t="shared" si="5"/>
        <v>9.5454545454545467</v>
      </c>
      <c r="AV34" s="225">
        <f>F34-AT34</f>
        <v>58705000</v>
      </c>
      <c r="AW34" s="224">
        <f t="shared" si="9"/>
        <v>90.454545454545453</v>
      </c>
      <c r="AX34" s="220" t="s">
        <v>535</v>
      </c>
      <c r="AY34" s="220" t="s">
        <v>536</v>
      </c>
      <c r="AZ34" s="220" t="s">
        <v>4729</v>
      </c>
      <c r="BA34" s="221"/>
      <c r="BB34" s="300">
        <v>2871000</v>
      </c>
      <c r="BC34" s="300">
        <v>1461500</v>
      </c>
      <c r="BD34" s="221"/>
      <c r="BE34" s="221"/>
      <c r="BF34" s="221">
        <v>440000</v>
      </c>
      <c r="BG34" s="221">
        <v>1422500</v>
      </c>
      <c r="BH34" s="221"/>
    </row>
    <row r="35" spans="2:60" x14ac:dyDescent="0.3">
      <c r="B35" s="288">
        <v>521219</v>
      </c>
      <c r="C35" s="220" t="s">
        <v>53</v>
      </c>
      <c r="D35" s="220"/>
      <c r="E35" s="220"/>
      <c r="F35" s="221">
        <v>6000000</v>
      </c>
      <c r="G35" s="221">
        <v>6000000</v>
      </c>
      <c r="H35" s="221"/>
      <c r="I35" s="221"/>
      <c r="J35" s="221"/>
      <c r="K35" s="221"/>
      <c r="L35" s="221"/>
      <c r="M35" s="221"/>
      <c r="N35" s="221"/>
      <c r="O35" s="221"/>
      <c r="P35" s="221"/>
      <c r="Q35" s="300">
        <v>331300</v>
      </c>
      <c r="R35" s="300">
        <v>300450</v>
      </c>
      <c r="S35" s="221"/>
      <c r="T35" s="221"/>
      <c r="U35" s="221"/>
      <c r="V35" s="221"/>
      <c r="W35" s="221">
        <v>331250</v>
      </c>
      <c r="X35" s="221"/>
      <c r="Y35" s="221"/>
      <c r="Z35" s="221"/>
      <c r="AA35" s="221"/>
      <c r="AB35" s="221"/>
      <c r="AC35" s="221"/>
      <c r="AD35" s="221"/>
      <c r="AE35" s="221"/>
      <c r="AF35" s="221"/>
      <c r="AG35" s="221"/>
      <c r="AH35" s="221"/>
      <c r="AI35" s="221"/>
      <c r="AJ35" s="221"/>
      <c r="AK35" s="221"/>
      <c r="AL35" s="221"/>
      <c r="AM35" s="221"/>
      <c r="AN35" s="221"/>
      <c r="AO35" s="221"/>
      <c r="AP35" s="221"/>
      <c r="AQ35" s="221"/>
      <c r="AR35" s="221"/>
      <c r="AS35" s="221"/>
      <c r="AT35" s="221">
        <f t="shared" si="30"/>
        <v>963000</v>
      </c>
      <c r="AU35" s="224">
        <f t="shared" si="5"/>
        <v>16.05</v>
      </c>
      <c r="AV35" s="225">
        <f t="shared" si="6"/>
        <v>5037000</v>
      </c>
      <c r="AW35" s="224">
        <f t="shared" si="9"/>
        <v>83.95</v>
      </c>
      <c r="AX35" s="220" t="s">
        <v>535</v>
      </c>
      <c r="AY35" s="220" t="s">
        <v>536</v>
      </c>
      <c r="AZ35" s="220" t="s">
        <v>4729</v>
      </c>
      <c r="BA35" s="221"/>
      <c r="BB35" s="300">
        <v>300450</v>
      </c>
      <c r="BC35" s="300">
        <v>331300</v>
      </c>
      <c r="BD35" s="221"/>
      <c r="BE35" s="221"/>
      <c r="BF35" s="221">
        <v>331250</v>
      </c>
      <c r="BG35" s="221"/>
      <c r="BH35" s="221"/>
    </row>
    <row r="36" spans="2:60" x14ac:dyDescent="0.3">
      <c r="B36" s="288">
        <v>521811</v>
      </c>
      <c r="C36" s="220" t="s">
        <v>64</v>
      </c>
      <c r="D36" s="220"/>
      <c r="E36" s="220"/>
      <c r="F36" s="221">
        <v>30000000</v>
      </c>
      <c r="G36" s="221">
        <v>30000000</v>
      </c>
      <c r="H36" s="221"/>
      <c r="I36" s="221"/>
      <c r="J36" s="221"/>
      <c r="K36" s="221"/>
      <c r="L36" s="221"/>
      <c r="M36" s="221"/>
      <c r="N36" s="221"/>
      <c r="O36" s="221"/>
      <c r="P36" s="221"/>
      <c r="Q36" s="300">
        <v>2300000</v>
      </c>
      <c r="R36" s="300">
        <v>4846000</v>
      </c>
      <c r="S36" s="221"/>
      <c r="T36" s="221"/>
      <c r="U36" s="221"/>
      <c r="V36" s="221"/>
      <c r="W36" s="221"/>
      <c r="X36" s="221">
        <v>2391000</v>
      </c>
      <c r="Y36" s="221"/>
      <c r="Z36" s="221"/>
      <c r="AA36" s="221"/>
      <c r="AB36" s="221"/>
      <c r="AC36" s="221"/>
      <c r="AD36" s="221"/>
      <c r="AE36" s="221"/>
      <c r="AF36" s="221"/>
      <c r="AG36" s="221"/>
      <c r="AH36" s="221"/>
      <c r="AI36" s="221"/>
      <c r="AJ36" s="221"/>
      <c r="AK36" s="221"/>
      <c r="AL36" s="221"/>
      <c r="AM36" s="221"/>
      <c r="AN36" s="221"/>
      <c r="AO36" s="221"/>
      <c r="AP36" s="221"/>
      <c r="AQ36" s="221"/>
      <c r="AR36" s="221"/>
      <c r="AS36" s="221"/>
      <c r="AT36" s="221">
        <f t="shared" si="30"/>
        <v>9537000</v>
      </c>
      <c r="AU36" s="224">
        <f t="shared" si="5"/>
        <v>31.790000000000003</v>
      </c>
      <c r="AV36" s="225">
        <f t="shared" si="6"/>
        <v>20463000</v>
      </c>
      <c r="AW36" s="224">
        <f t="shared" si="9"/>
        <v>68.210000000000008</v>
      </c>
      <c r="AX36" s="220" t="s">
        <v>535</v>
      </c>
      <c r="AY36" s="220" t="s">
        <v>536</v>
      </c>
      <c r="AZ36" s="220" t="s">
        <v>4729</v>
      </c>
      <c r="BA36" s="221"/>
      <c r="BB36" s="300">
        <v>4846000</v>
      </c>
      <c r="BC36" s="300">
        <v>2300000</v>
      </c>
      <c r="BD36" s="221"/>
      <c r="BE36" s="221"/>
      <c r="BF36" s="221"/>
      <c r="BG36" s="221">
        <v>2391000</v>
      </c>
      <c r="BH36" s="221"/>
    </row>
    <row r="37" spans="2:60" x14ac:dyDescent="0.3">
      <c r="B37" s="289">
        <v>522151</v>
      </c>
      <c r="C37" s="220" t="s">
        <v>11</v>
      </c>
      <c r="D37" s="220"/>
      <c r="E37" s="220"/>
      <c r="F37" s="221">
        <v>25200000</v>
      </c>
      <c r="G37" s="221">
        <v>25200000</v>
      </c>
      <c r="H37" s="221"/>
      <c r="I37" s="221"/>
      <c r="J37" s="221"/>
      <c r="K37" s="221"/>
      <c r="L37" s="221"/>
      <c r="M37" s="221"/>
      <c r="N37" s="221"/>
      <c r="O37" s="221"/>
      <c r="P37" s="221"/>
      <c r="Q37" s="221"/>
      <c r="R37" s="300">
        <v>1800000</v>
      </c>
      <c r="S37" s="221"/>
      <c r="T37" s="221"/>
      <c r="U37" s="221"/>
      <c r="V37" s="221"/>
      <c r="W37" s="221"/>
      <c r="X37" s="221"/>
      <c r="Y37" s="221">
        <v>7200000</v>
      </c>
      <c r="Z37" s="221"/>
      <c r="AA37" s="221"/>
      <c r="AB37" s="221"/>
      <c r="AC37" s="221"/>
      <c r="AD37" s="221"/>
      <c r="AE37" s="221"/>
      <c r="AF37" s="221"/>
      <c r="AG37" s="221"/>
      <c r="AH37" s="221"/>
      <c r="AI37" s="221"/>
      <c r="AJ37" s="221"/>
      <c r="AK37" s="221"/>
      <c r="AL37" s="221"/>
      <c r="AM37" s="221"/>
      <c r="AN37" s="221"/>
      <c r="AO37" s="221"/>
      <c r="AP37" s="221"/>
      <c r="AQ37" s="221"/>
      <c r="AR37" s="221"/>
      <c r="AS37" s="221"/>
      <c r="AT37" s="221">
        <f t="shared" si="30"/>
        <v>9000000</v>
      </c>
      <c r="AU37" s="224">
        <f t="shared" si="5"/>
        <v>35.714285714285715</v>
      </c>
      <c r="AV37" s="225">
        <f t="shared" si="6"/>
        <v>16200000</v>
      </c>
      <c r="AW37" s="224">
        <f t="shared" si="9"/>
        <v>64.285714285714292</v>
      </c>
      <c r="AX37" s="220" t="s">
        <v>535</v>
      </c>
      <c r="AY37" s="220" t="s">
        <v>536</v>
      </c>
      <c r="AZ37" s="220" t="s">
        <v>4729</v>
      </c>
      <c r="BA37" s="221"/>
      <c r="BB37" s="300">
        <v>1800000</v>
      </c>
      <c r="BC37" s="300"/>
      <c r="BD37" s="221"/>
      <c r="BE37" s="221"/>
      <c r="BF37" s="221"/>
      <c r="BG37" s="221"/>
      <c r="BH37" s="221"/>
    </row>
    <row r="38" spans="2:60" x14ac:dyDescent="0.3">
      <c r="B38" s="288">
        <v>522192</v>
      </c>
      <c r="C38" s="220" t="s">
        <v>24</v>
      </c>
      <c r="D38" s="220"/>
      <c r="E38" s="220"/>
      <c r="F38" s="221">
        <v>6000000</v>
      </c>
      <c r="G38" s="221">
        <v>6000000</v>
      </c>
      <c r="H38" s="221"/>
      <c r="I38" s="221"/>
      <c r="J38" s="221"/>
      <c r="K38" s="221"/>
      <c r="L38" s="221"/>
      <c r="M38" s="221"/>
      <c r="N38" s="221"/>
      <c r="O38" s="221"/>
      <c r="P38" s="221"/>
      <c r="Q38" s="221"/>
      <c r="R38" s="300"/>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c r="AS38" s="221"/>
      <c r="AT38" s="221">
        <f t="shared" si="30"/>
        <v>0</v>
      </c>
      <c r="AU38" s="224">
        <f t="shared" si="5"/>
        <v>0</v>
      </c>
      <c r="AV38" s="225">
        <f t="shared" si="6"/>
        <v>6000000</v>
      </c>
      <c r="AW38" s="224">
        <f t="shared" si="9"/>
        <v>100</v>
      </c>
      <c r="AX38" s="220" t="s">
        <v>535</v>
      </c>
      <c r="AY38" s="220" t="s">
        <v>536</v>
      </c>
      <c r="AZ38" s="220" t="s">
        <v>4729</v>
      </c>
      <c r="BA38" s="221"/>
      <c r="BB38" s="300"/>
      <c r="BC38" s="300"/>
      <c r="BD38" s="221"/>
      <c r="BE38" s="221"/>
      <c r="BF38" s="221"/>
      <c r="BG38" s="221"/>
      <c r="BH38" s="221"/>
    </row>
    <row r="39" spans="2:60" x14ac:dyDescent="0.3">
      <c r="B39" s="288">
        <v>524111</v>
      </c>
      <c r="C39" s="220" t="s">
        <v>19</v>
      </c>
      <c r="D39" s="220"/>
      <c r="E39" s="220"/>
      <c r="F39" s="221">
        <v>253324000</v>
      </c>
      <c r="G39" s="221">
        <v>253324000</v>
      </c>
      <c r="H39" s="221"/>
      <c r="I39" s="221"/>
      <c r="J39" s="221"/>
      <c r="K39" s="221"/>
      <c r="L39" s="221"/>
      <c r="M39" s="221"/>
      <c r="N39" s="221"/>
      <c r="O39" s="221"/>
      <c r="P39" s="221"/>
      <c r="Q39" s="300">
        <v>3480000</v>
      </c>
      <c r="R39" s="300">
        <v>7130000</v>
      </c>
      <c r="S39" s="221">
        <v>6180000</v>
      </c>
      <c r="T39" s="221"/>
      <c r="U39" s="221"/>
      <c r="V39" s="221">
        <v>930000</v>
      </c>
      <c r="W39" s="221"/>
      <c r="X39" s="221"/>
      <c r="Y39" s="221">
        <v>15508650</v>
      </c>
      <c r="Z39" s="221"/>
      <c r="AA39" s="221"/>
      <c r="AB39" s="221"/>
      <c r="AC39" s="221"/>
      <c r="AD39" s="221"/>
      <c r="AE39" s="221"/>
      <c r="AF39" s="221"/>
      <c r="AG39" s="221"/>
      <c r="AH39" s="221"/>
      <c r="AI39" s="221"/>
      <c r="AJ39" s="221"/>
      <c r="AK39" s="221"/>
      <c r="AL39" s="221"/>
      <c r="AM39" s="221"/>
      <c r="AN39" s="221"/>
      <c r="AO39" s="221"/>
      <c r="AP39" s="221"/>
      <c r="AQ39" s="221"/>
      <c r="AR39" s="221"/>
      <c r="AS39" s="221"/>
      <c r="AT39" s="221">
        <f t="shared" si="30"/>
        <v>33228650</v>
      </c>
      <c r="AU39" s="224">
        <f t="shared" si="5"/>
        <v>13.117055628365257</v>
      </c>
      <c r="AV39" s="225">
        <f>F39-AT39</f>
        <v>220095350</v>
      </c>
      <c r="AW39" s="224">
        <f t="shared" si="9"/>
        <v>86.882944371634736</v>
      </c>
      <c r="AX39" s="220" t="s">
        <v>535</v>
      </c>
      <c r="AY39" s="220" t="s">
        <v>536</v>
      </c>
      <c r="AZ39" s="220" t="s">
        <v>4729</v>
      </c>
      <c r="BA39" s="221"/>
      <c r="BB39" s="300">
        <v>7130000</v>
      </c>
      <c r="BC39" s="300">
        <v>3480000</v>
      </c>
      <c r="BD39" s="221"/>
      <c r="BE39" s="221"/>
      <c r="BF39" s="221"/>
      <c r="BG39" s="221"/>
      <c r="BH39" s="221"/>
    </row>
    <row r="40" spans="2:60" x14ac:dyDescent="0.3">
      <c r="B40" s="288">
        <v>524113</v>
      </c>
      <c r="C40" s="220" t="s">
        <v>13</v>
      </c>
      <c r="D40" s="220"/>
      <c r="E40" s="220"/>
      <c r="F40" s="221">
        <v>1500000</v>
      </c>
      <c r="G40" s="221">
        <v>1500000</v>
      </c>
      <c r="H40" s="221"/>
      <c r="I40" s="221"/>
      <c r="J40" s="221"/>
      <c r="K40" s="221"/>
      <c r="L40" s="221"/>
      <c r="M40" s="221"/>
      <c r="N40" s="221"/>
      <c r="O40" s="221"/>
      <c r="P40" s="221"/>
      <c r="Q40" s="221"/>
      <c r="R40" s="300"/>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c r="AS40" s="221"/>
      <c r="AT40" s="221">
        <f t="shared" si="30"/>
        <v>0</v>
      </c>
      <c r="AU40" s="224">
        <f t="shared" si="5"/>
        <v>0</v>
      </c>
      <c r="AV40" s="225">
        <f t="shared" si="6"/>
        <v>1500000</v>
      </c>
      <c r="AW40" s="224">
        <f t="shared" si="9"/>
        <v>100</v>
      </c>
      <c r="AX40" s="220" t="s">
        <v>535</v>
      </c>
      <c r="AY40" s="220" t="s">
        <v>536</v>
      </c>
      <c r="AZ40" s="220" t="s">
        <v>4729</v>
      </c>
      <c r="BA40" s="221"/>
      <c r="BB40" s="300"/>
      <c r="BC40" s="300"/>
      <c r="BD40" s="221"/>
      <c r="BE40" s="221"/>
      <c r="BF40" s="221"/>
      <c r="BG40" s="221"/>
      <c r="BH40" s="221"/>
    </row>
    <row r="41" spans="2:60" x14ac:dyDescent="0.3">
      <c r="B41" s="290" t="s">
        <v>511</v>
      </c>
      <c r="C41" s="222" t="s">
        <v>65</v>
      </c>
      <c r="D41" s="222"/>
      <c r="E41" s="222"/>
      <c r="F41" s="223">
        <f>SUM(F42:F47)</f>
        <v>247816000</v>
      </c>
      <c r="G41" s="223">
        <f>SUM(G42:G47)</f>
        <v>247816000</v>
      </c>
      <c r="H41" s="223">
        <f>SUM(H42:H47)</f>
        <v>0</v>
      </c>
      <c r="I41" s="223"/>
      <c r="J41" s="223">
        <f t="shared" ref="J41:AS41" si="54">SUM(J42:J47)</f>
        <v>0</v>
      </c>
      <c r="K41" s="223">
        <f t="shared" si="54"/>
        <v>0</v>
      </c>
      <c r="L41" s="223">
        <f t="shared" si="54"/>
        <v>0</v>
      </c>
      <c r="M41" s="223">
        <f t="shared" si="54"/>
        <v>0</v>
      </c>
      <c r="N41" s="223">
        <f t="shared" si="54"/>
        <v>0</v>
      </c>
      <c r="O41" s="223">
        <f t="shared" si="54"/>
        <v>0</v>
      </c>
      <c r="P41" s="223">
        <f t="shared" si="54"/>
        <v>0</v>
      </c>
      <c r="Q41" s="223">
        <f t="shared" si="54"/>
        <v>0</v>
      </c>
      <c r="R41" s="223">
        <f t="shared" si="54"/>
        <v>18743000</v>
      </c>
      <c r="S41" s="223">
        <f t="shared" si="54"/>
        <v>0</v>
      </c>
      <c r="T41" s="223">
        <f t="shared" si="54"/>
        <v>0</v>
      </c>
      <c r="U41" s="223">
        <f t="shared" si="54"/>
        <v>0</v>
      </c>
      <c r="V41" s="223">
        <f t="shared" si="54"/>
        <v>0</v>
      </c>
      <c r="W41" s="223">
        <f t="shared" si="54"/>
        <v>302850</v>
      </c>
      <c r="X41" s="223">
        <f t="shared" si="54"/>
        <v>60100900</v>
      </c>
      <c r="Y41" s="223">
        <f t="shared" si="54"/>
        <v>76109840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 t="shared" si="54"/>
        <v>0</v>
      </c>
      <c r="AR41" s="223">
        <f t="shared" si="54"/>
        <v>0</v>
      </c>
      <c r="AS41" s="223">
        <f t="shared" si="54"/>
        <v>0</v>
      </c>
      <c r="AT41" s="223">
        <f>SUM(J41:AS41)</f>
        <v>155256590</v>
      </c>
      <c r="AU41" s="231">
        <f t="shared" si="5"/>
        <v>62.649945927623719</v>
      </c>
      <c r="AV41" s="232">
        <f t="shared" si="6"/>
        <v>92559410</v>
      </c>
      <c r="AW41" s="231">
        <f t="shared" si="9"/>
        <v>37.350054072376281</v>
      </c>
      <c r="AX41" s="220" t="s">
        <v>535</v>
      </c>
      <c r="AY41" s="220" t="s">
        <v>536</v>
      </c>
      <c r="AZ41" s="220" t="s">
        <v>4729</v>
      </c>
      <c r="BA41" s="223">
        <f t="shared" ref="BA41:BD41" si="55">SUM(BA42:BA47)</f>
        <v>0</v>
      </c>
      <c r="BB41" s="223">
        <f t="shared" si="55"/>
        <v>18743000</v>
      </c>
      <c r="BC41" s="223">
        <f t="shared" si="55"/>
        <v>0</v>
      </c>
      <c r="BD41" s="223">
        <f t="shared" si="55"/>
        <v>0</v>
      </c>
      <c r="BE41" s="223">
        <f t="shared" ref="BE41" si="56">SUM(BE42:BE47)</f>
        <v>0</v>
      </c>
      <c r="BF41" s="223">
        <f t="shared" ref="BF41:BG41" si="57">SUM(BF42:BF47)</f>
        <v>302850</v>
      </c>
      <c r="BG41" s="223">
        <f t="shared" si="57"/>
        <v>60100900</v>
      </c>
      <c r="BH41" s="223">
        <f t="shared" ref="BH41" si="58">SUM(BH42:BH47)</f>
        <v>0</v>
      </c>
    </row>
    <row r="42" spans="2:60" x14ac:dyDescent="0.3">
      <c r="B42" s="288">
        <v>521211</v>
      </c>
      <c r="C42" s="220" t="s">
        <v>7</v>
      </c>
      <c r="D42" s="220"/>
      <c r="E42" s="220"/>
      <c r="F42" s="221">
        <v>71456000</v>
      </c>
      <c r="G42" s="221">
        <v>71456000</v>
      </c>
      <c r="H42" s="221"/>
      <c r="I42" s="221"/>
      <c r="J42" s="221"/>
      <c r="K42" s="221"/>
      <c r="L42" s="221"/>
      <c r="M42" s="221"/>
      <c r="N42" s="221"/>
      <c r="O42" s="221"/>
      <c r="P42" s="221"/>
      <c r="Q42" s="221"/>
      <c r="R42" s="221"/>
      <c r="S42" s="221"/>
      <c r="T42" s="221"/>
      <c r="U42" s="221"/>
      <c r="V42" s="221"/>
      <c r="W42" s="221"/>
      <c r="X42" s="221">
        <v>10438550</v>
      </c>
      <c r="Y42" s="221"/>
      <c r="Z42" s="221"/>
      <c r="AA42" s="221"/>
      <c r="AB42" s="221"/>
      <c r="AC42" s="221"/>
      <c r="AD42" s="221"/>
      <c r="AE42" s="221"/>
      <c r="AF42" s="221"/>
      <c r="AG42" s="221"/>
      <c r="AH42" s="221"/>
      <c r="AI42" s="221"/>
      <c r="AJ42" s="221"/>
      <c r="AK42" s="221"/>
      <c r="AL42" s="221"/>
      <c r="AM42" s="221"/>
      <c r="AN42" s="221"/>
      <c r="AO42" s="221"/>
      <c r="AP42" s="221"/>
      <c r="AQ42" s="221"/>
      <c r="AR42" s="221"/>
      <c r="AS42" s="221"/>
      <c r="AT42" s="221">
        <f t="shared" si="30"/>
        <v>10438550</v>
      </c>
      <c r="AU42" s="224">
        <f t="shared" si="5"/>
        <v>14.60836038961039</v>
      </c>
      <c r="AV42" s="225">
        <f t="shared" si="6"/>
        <v>61017450</v>
      </c>
      <c r="AW42" s="224">
        <f t="shared" si="9"/>
        <v>85.391639610389618</v>
      </c>
      <c r="AX42" s="220" t="s">
        <v>535</v>
      </c>
      <c r="AY42" s="220" t="s">
        <v>536</v>
      </c>
      <c r="AZ42" s="220" t="s">
        <v>4729</v>
      </c>
      <c r="BA42" s="221"/>
      <c r="BB42" s="300"/>
      <c r="BC42" s="300"/>
      <c r="BD42" s="221"/>
      <c r="BE42" s="221"/>
      <c r="BF42" s="221"/>
      <c r="BG42" s="221">
        <v>10438550</v>
      </c>
      <c r="BH42" s="221"/>
    </row>
    <row r="43" spans="2:60" x14ac:dyDescent="0.3">
      <c r="B43" s="288">
        <v>521219</v>
      </c>
      <c r="C43" s="220" t="s">
        <v>53</v>
      </c>
      <c r="D43" s="220"/>
      <c r="E43" s="220"/>
      <c r="F43" s="221">
        <v>5000000</v>
      </c>
      <c r="G43" s="221">
        <v>5000000</v>
      </c>
      <c r="H43" s="221"/>
      <c r="I43" s="221"/>
      <c r="J43" s="221"/>
      <c r="K43" s="221"/>
      <c r="L43" s="221"/>
      <c r="M43" s="221"/>
      <c r="N43" s="221"/>
      <c r="O43" s="221"/>
      <c r="P43" s="221"/>
      <c r="Q43" s="221"/>
      <c r="R43" s="221"/>
      <c r="S43" s="221"/>
      <c r="T43" s="221"/>
      <c r="U43" s="221"/>
      <c r="V43" s="221"/>
      <c r="W43" s="221">
        <v>302850</v>
      </c>
      <c r="X43" s="221">
        <v>3960000</v>
      </c>
      <c r="Y43" s="221"/>
      <c r="Z43" s="221"/>
      <c r="AA43" s="221"/>
      <c r="AB43" s="221"/>
      <c r="AC43" s="221"/>
      <c r="AD43" s="221"/>
      <c r="AE43" s="221"/>
      <c r="AF43" s="221"/>
      <c r="AG43" s="221"/>
      <c r="AH43" s="221"/>
      <c r="AI43" s="221"/>
      <c r="AJ43" s="221"/>
      <c r="AK43" s="221"/>
      <c r="AL43" s="221"/>
      <c r="AM43" s="221"/>
      <c r="AN43" s="221"/>
      <c r="AO43" s="221"/>
      <c r="AP43" s="221"/>
      <c r="AQ43" s="221"/>
      <c r="AR43" s="221"/>
      <c r="AS43" s="221"/>
      <c r="AT43" s="221">
        <f t="shared" si="30"/>
        <v>4262850</v>
      </c>
      <c r="AU43" s="224">
        <f t="shared" si="5"/>
        <v>85.257000000000005</v>
      </c>
      <c r="AV43" s="225">
        <f t="shared" si="6"/>
        <v>737150</v>
      </c>
      <c r="AW43" s="224">
        <f t="shared" si="9"/>
        <v>14.743</v>
      </c>
      <c r="AX43" s="220" t="s">
        <v>535</v>
      </c>
      <c r="AY43" s="220" t="s">
        <v>536</v>
      </c>
      <c r="AZ43" s="220" t="s">
        <v>4729</v>
      </c>
      <c r="BA43" s="221"/>
      <c r="BB43" s="300"/>
      <c r="BC43" s="300"/>
      <c r="BD43" s="221"/>
      <c r="BE43" s="221"/>
      <c r="BF43" s="221">
        <v>302850</v>
      </c>
      <c r="BG43" s="221">
        <v>3960000</v>
      </c>
      <c r="BH43" s="221"/>
    </row>
    <row r="44" spans="2:60" x14ac:dyDescent="0.3">
      <c r="B44" s="288">
        <v>521811</v>
      </c>
      <c r="C44" s="220" t="s">
        <v>64</v>
      </c>
      <c r="D44" s="220"/>
      <c r="E44" s="220"/>
      <c r="F44" s="221">
        <v>15000000</v>
      </c>
      <c r="G44" s="221">
        <v>15000000</v>
      </c>
      <c r="H44" s="221"/>
      <c r="I44" s="221"/>
      <c r="J44" s="221"/>
      <c r="K44" s="221"/>
      <c r="L44" s="221"/>
      <c r="M44" s="221"/>
      <c r="N44" s="221"/>
      <c r="O44" s="221"/>
      <c r="P44" s="221"/>
      <c r="Q44" s="221"/>
      <c r="R44" s="221"/>
      <c r="S44" s="221"/>
      <c r="T44" s="221"/>
      <c r="U44" s="221"/>
      <c r="V44" s="221"/>
      <c r="W44" s="221"/>
      <c r="X44" s="221">
        <v>2453500</v>
      </c>
      <c r="Y44" s="221"/>
      <c r="Z44" s="221"/>
      <c r="AA44" s="221"/>
      <c r="AB44" s="221"/>
      <c r="AC44" s="221"/>
      <c r="AD44" s="221"/>
      <c r="AE44" s="221"/>
      <c r="AF44" s="221"/>
      <c r="AG44" s="221"/>
      <c r="AH44" s="221"/>
      <c r="AI44" s="221"/>
      <c r="AJ44" s="221"/>
      <c r="AK44" s="221"/>
      <c r="AL44" s="221"/>
      <c r="AM44" s="221"/>
      <c r="AN44" s="221"/>
      <c r="AO44" s="221"/>
      <c r="AP44" s="221"/>
      <c r="AQ44" s="221"/>
      <c r="AR44" s="221"/>
      <c r="AS44" s="221"/>
      <c r="AT44" s="221">
        <f t="shared" si="30"/>
        <v>2453500</v>
      </c>
      <c r="AU44" s="224">
        <f t="shared" si="5"/>
        <v>16.356666666666666</v>
      </c>
      <c r="AV44" s="225">
        <f t="shared" si="6"/>
        <v>12546500</v>
      </c>
      <c r="AW44" s="224">
        <f t="shared" si="9"/>
        <v>83.643333333333331</v>
      </c>
      <c r="AX44" s="220" t="s">
        <v>535</v>
      </c>
      <c r="AY44" s="220" t="s">
        <v>536</v>
      </c>
      <c r="AZ44" s="220" t="s">
        <v>4729</v>
      </c>
      <c r="BA44" s="221"/>
      <c r="BB44" s="300"/>
      <c r="BC44" s="300"/>
      <c r="BD44" s="221"/>
      <c r="BE44" s="221"/>
      <c r="BF44" s="221"/>
      <c r="BG44" s="221">
        <v>2453500</v>
      </c>
      <c r="BH44" s="221"/>
    </row>
    <row r="45" spans="2:60" x14ac:dyDescent="0.3">
      <c r="B45" s="288">
        <v>522151</v>
      </c>
      <c r="C45" s="220" t="s">
        <v>11</v>
      </c>
      <c r="D45" s="220"/>
      <c r="E45" s="220"/>
      <c r="F45" s="221">
        <v>16200000</v>
      </c>
      <c r="G45" s="221">
        <v>16200000</v>
      </c>
      <c r="H45" s="221"/>
      <c r="I45" s="221"/>
      <c r="J45" s="221"/>
      <c r="K45" s="221"/>
      <c r="L45" s="221"/>
      <c r="M45" s="221"/>
      <c r="N45" s="221"/>
      <c r="O45" s="221"/>
      <c r="P45" s="221"/>
      <c r="Q45" s="221"/>
      <c r="R45" s="221"/>
      <c r="S45" s="221"/>
      <c r="T45" s="221"/>
      <c r="U45" s="221"/>
      <c r="V45" s="221"/>
      <c r="W45" s="221"/>
      <c r="X45" s="221">
        <v>6300000</v>
      </c>
      <c r="Y45" s="221"/>
      <c r="Z45" s="221"/>
      <c r="AA45" s="221"/>
      <c r="AB45" s="221"/>
      <c r="AC45" s="221"/>
      <c r="AD45" s="221"/>
      <c r="AE45" s="221"/>
      <c r="AF45" s="221"/>
      <c r="AG45" s="221"/>
      <c r="AH45" s="221"/>
      <c r="AI45" s="221"/>
      <c r="AJ45" s="221"/>
      <c r="AK45" s="221"/>
      <c r="AL45" s="221"/>
      <c r="AM45" s="221"/>
      <c r="AN45" s="221"/>
      <c r="AO45" s="221"/>
      <c r="AP45" s="221"/>
      <c r="AQ45" s="221"/>
      <c r="AR45" s="221"/>
      <c r="AS45" s="221"/>
      <c r="AT45" s="221">
        <f t="shared" si="30"/>
        <v>6300000</v>
      </c>
      <c r="AU45" s="224">
        <f t="shared" si="5"/>
        <v>38.888888888888893</v>
      </c>
      <c r="AV45" s="225">
        <f t="shared" si="6"/>
        <v>9900000</v>
      </c>
      <c r="AW45" s="224">
        <f t="shared" si="9"/>
        <v>61.111111111111114</v>
      </c>
      <c r="AX45" s="220" t="s">
        <v>535</v>
      </c>
      <c r="AY45" s="220" t="s">
        <v>536</v>
      </c>
      <c r="AZ45" s="220" t="s">
        <v>4729</v>
      </c>
      <c r="BA45" s="221"/>
      <c r="BB45" s="300"/>
      <c r="BC45" s="300"/>
      <c r="BD45" s="221"/>
      <c r="BE45" s="221"/>
      <c r="BF45" s="221"/>
      <c r="BG45" s="221">
        <v>6300000</v>
      </c>
      <c r="BH45" s="221"/>
    </row>
    <row r="46" spans="2:60" x14ac:dyDescent="0.3">
      <c r="B46" s="288">
        <v>522192</v>
      </c>
      <c r="C46" s="220" t="s">
        <v>24</v>
      </c>
      <c r="D46" s="220"/>
      <c r="E46" s="220"/>
      <c r="F46" s="221">
        <v>2000000</v>
      </c>
      <c r="G46" s="221">
        <v>2000000</v>
      </c>
      <c r="H46" s="221"/>
      <c r="I46" s="221"/>
      <c r="J46" s="221"/>
      <c r="K46" s="221"/>
      <c r="L46" s="221"/>
      <c r="M46" s="221"/>
      <c r="N46" s="221"/>
      <c r="O46" s="221"/>
      <c r="P46" s="221"/>
      <c r="Q46" s="221"/>
      <c r="R46" s="300">
        <v>365000</v>
      </c>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c r="AR46" s="221"/>
      <c r="AS46" s="221"/>
      <c r="AT46" s="221">
        <f t="shared" si="30"/>
        <v>365000</v>
      </c>
      <c r="AU46" s="224">
        <f t="shared" si="5"/>
        <v>18.25</v>
      </c>
      <c r="AV46" s="225">
        <f t="shared" si="6"/>
        <v>1635000</v>
      </c>
      <c r="AW46" s="224">
        <f t="shared" si="9"/>
        <v>81.75</v>
      </c>
      <c r="AX46" s="220" t="s">
        <v>535</v>
      </c>
      <c r="AY46" s="220" t="s">
        <v>536</v>
      </c>
      <c r="AZ46" s="220" t="s">
        <v>4729</v>
      </c>
      <c r="BA46" s="221"/>
      <c r="BB46" s="300">
        <v>365000</v>
      </c>
      <c r="BC46" s="300"/>
      <c r="BD46" s="221"/>
      <c r="BE46" s="221"/>
      <c r="BF46" s="221"/>
      <c r="BG46" s="221"/>
      <c r="BH46" s="221"/>
    </row>
    <row r="47" spans="2:60" x14ac:dyDescent="0.3">
      <c r="B47" s="288">
        <v>524111</v>
      </c>
      <c r="C47" s="220" t="s">
        <v>19</v>
      </c>
      <c r="D47" s="220"/>
      <c r="E47" s="220"/>
      <c r="F47" s="221">
        <v>138160000</v>
      </c>
      <c r="G47" s="221">
        <v>138160000</v>
      </c>
      <c r="H47" s="221"/>
      <c r="I47" s="221"/>
      <c r="J47" s="221"/>
      <c r="K47" s="221"/>
      <c r="L47" s="221"/>
      <c r="M47" s="221"/>
      <c r="N47" s="221"/>
      <c r="O47" s="221"/>
      <c r="P47" s="221"/>
      <c r="Q47" s="221"/>
      <c r="R47" s="300">
        <v>18378000</v>
      </c>
      <c r="S47" s="221"/>
      <c r="T47" s="221"/>
      <c r="U47" s="221"/>
      <c r="V47" s="221"/>
      <c r="W47" s="221"/>
      <c r="X47" s="221">
        <v>36948850</v>
      </c>
      <c r="Y47" s="221">
        <f>27294800+48815040</f>
        <v>76109840</v>
      </c>
      <c r="Z47" s="221"/>
      <c r="AA47" s="221"/>
      <c r="AB47" s="221"/>
      <c r="AC47" s="221"/>
      <c r="AD47" s="221"/>
      <c r="AE47" s="221"/>
      <c r="AF47" s="221"/>
      <c r="AG47" s="221"/>
      <c r="AH47" s="221"/>
      <c r="AI47" s="221"/>
      <c r="AJ47" s="221"/>
      <c r="AK47" s="221"/>
      <c r="AL47" s="221"/>
      <c r="AM47" s="221"/>
      <c r="AN47" s="221"/>
      <c r="AO47" s="221"/>
      <c r="AP47" s="221"/>
      <c r="AQ47" s="221"/>
      <c r="AR47" s="221"/>
      <c r="AS47" s="221"/>
      <c r="AT47" s="221">
        <f t="shared" si="30"/>
        <v>131436690</v>
      </c>
      <c r="AU47" s="224">
        <f t="shared" si="5"/>
        <v>95.133678343949043</v>
      </c>
      <c r="AV47" s="225">
        <f t="shared" si="6"/>
        <v>6723310</v>
      </c>
      <c r="AW47" s="224">
        <f t="shared" si="9"/>
        <v>4.866321656050955</v>
      </c>
      <c r="AX47" s="220" t="s">
        <v>535</v>
      </c>
      <c r="AY47" s="220" t="s">
        <v>536</v>
      </c>
      <c r="AZ47" s="220" t="s">
        <v>4729</v>
      </c>
      <c r="BA47" s="221"/>
      <c r="BB47" s="300">
        <v>18378000</v>
      </c>
      <c r="BC47" s="300"/>
      <c r="BD47" s="221"/>
      <c r="BE47" s="221"/>
      <c r="BF47" s="221"/>
      <c r="BG47" s="221">
        <v>36948850</v>
      </c>
      <c r="BH47" s="221"/>
    </row>
    <row r="48" spans="2:60" x14ac:dyDescent="0.3">
      <c r="B48" s="290" t="s">
        <v>512</v>
      </c>
      <c r="C48" s="222" t="s">
        <v>795</v>
      </c>
      <c r="D48" s="222"/>
      <c r="E48" s="222"/>
      <c r="F48" s="223">
        <f>SUM(F49:F52)</f>
        <v>51560000</v>
      </c>
      <c r="G48" s="223">
        <f>SUM(G49:G52)</f>
        <v>51560000</v>
      </c>
      <c r="H48" s="223">
        <f>SUM(H49:H52)</f>
        <v>0</v>
      </c>
      <c r="I48" s="223"/>
      <c r="J48" s="223">
        <f t="shared" ref="J48:AR48" si="59">SUM(J49:J52)</f>
        <v>0</v>
      </c>
      <c r="K48" s="223">
        <f t="shared" si="59"/>
        <v>0</v>
      </c>
      <c r="L48" s="223">
        <f t="shared" si="59"/>
        <v>0</v>
      </c>
      <c r="M48" s="223">
        <f t="shared" si="59"/>
        <v>0</v>
      </c>
      <c r="N48" s="223">
        <f t="shared" si="59"/>
        <v>0</v>
      </c>
      <c r="O48" s="223">
        <f t="shared" si="59"/>
        <v>0</v>
      </c>
      <c r="P48" s="223">
        <f t="shared" si="59"/>
        <v>0</v>
      </c>
      <c r="Q48" s="223">
        <f t="shared" si="59"/>
        <v>0</v>
      </c>
      <c r="R48" s="223">
        <f t="shared" si="59"/>
        <v>0</v>
      </c>
      <c r="S48" s="223">
        <f t="shared" si="59"/>
        <v>0</v>
      </c>
      <c r="T48" s="223">
        <f t="shared" si="59"/>
        <v>0</v>
      </c>
      <c r="U48" s="223">
        <f t="shared" si="59"/>
        <v>0</v>
      </c>
      <c r="V48" s="223">
        <f t="shared" si="59"/>
        <v>0</v>
      </c>
      <c r="W48" s="223">
        <f t="shared" si="59"/>
        <v>0</v>
      </c>
      <c r="X48" s="223">
        <f t="shared" si="59"/>
        <v>0</v>
      </c>
      <c r="Y48" s="223">
        <f t="shared" si="59"/>
        <v>0</v>
      </c>
      <c r="Z48" s="223">
        <f t="shared" si="59"/>
        <v>0</v>
      </c>
      <c r="AA48" s="223">
        <f t="shared" si="59"/>
        <v>0</v>
      </c>
      <c r="AB48" s="223">
        <f t="shared" si="59"/>
        <v>0</v>
      </c>
      <c r="AC48" s="223">
        <f t="shared" si="59"/>
        <v>0</v>
      </c>
      <c r="AD48" s="223">
        <f t="shared" si="59"/>
        <v>0</v>
      </c>
      <c r="AE48" s="223">
        <f t="shared" si="59"/>
        <v>0</v>
      </c>
      <c r="AF48" s="223">
        <f t="shared" si="59"/>
        <v>0</v>
      </c>
      <c r="AG48" s="223">
        <f t="shared" si="59"/>
        <v>0</v>
      </c>
      <c r="AH48" s="223">
        <f t="shared" si="59"/>
        <v>0</v>
      </c>
      <c r="AI48" s="223">
        <f t="shared" si="59"/>
        <v>0</v>
      </c>
      <c r="AJ48" s="223">
        <f t="shared" si="59"/>
        <v>0</v>
      </c>
      <c r="AK48" s="223">
        <f t="shared" si="59"/>
        <v>0</v>
      </c>
      <c r="AL48" s="223">
        <f t="shared" si="59"/>
        <v>0</v>
      </c>
      <c r="AM48" s="223">
        <f t="shared" si="59"/>
        <v>0</v>
      </c>
      <c r="AN48" s="223">
        <f t="shared" si="59"/>
        <v>0</v>
      </c>
      <c r="AO48" s="223">
        <f t="shared" si="59"/>
        <v>0</v>
      </c>
      <c r="AP48" s="223">
        <f t="shared" si="59"/>
        <v>0</v>
      </c>
      <c r="AQ48" s="223">
        <f t="shared" si="59"/>
        <v>0</v>
      </c>
      <c r="AR48" s="223">
        <f t="shared" si="59"/>
        <v>0</v>
      </c>
      <c r="AS48" s="223">
        <f>SUM(AS49:AS52)</f>
        <v>0</v>
      </c>
      <c r="AT48" s="223">
        <f>SUM(J48:AS48)</f>
        <v>0</v>
      </c>
      <c r="AU48" s="231">
        <f t="shared" si="5"/>
        <v>0</v>
      </c>
      <c r="AV48" s="232">
        <f t="shared" ref="AV48" si="60">F48-AT48</f>
        <v>51560000</v>
      </c>
      <c r="AW48" s="231">
        <f t="shared" ref="AW48" si="61">AV48/F48*100</f>
        <v>100</v>
      </c>
      <c r="AX48" s="220" t="s">
        <v>535</v>
      </c>
      <c r="AY48" s="220" t="s">
        <v>536</v>
      </c>
      <c r="AZ48" s="220" t="s">
        <v>4729</v>
      </c>
      <c r="BA48" s="223">
        <f t="shared" ref="BA48:BD48" si="62">SUM(BA49:BA52)</f>
        <v>0</v>
      </c>
      <c r="BB48" s="223">
        <f t="shared" si="62"/>
        <v>0</v>
      </c>
      <c r="BC48" s="223">
        <f t="shared" si="62"/>
        <v>0</v>
      </c>
      <c r="BD48" s="223">
        <f t="shared" si="62"/>
        <v>0</v>
      </c>
      <c r="BE48" s="223">
        <f t="shared" ref="BE48" si="63">SUM(BE49:BE52)</f>
        <v>0</v>
      </c>
      <c r="BF48" s="223">
        <f t="shared" ref="BF48:BG48" si="64">SUM(BF49:BF52)</f>
        <v>0</v>
      </c>
      <c r="BG48" s="223">
        <f t="shared" si="64"/>
        <v>0</v>
      </c>
      <c r="BH48" s="223">
        <f t="shared" ref="BH48" si="65">SUM(BH49:BH52)</f>
        <v>0</v>
      </c>
    </row>
    <row r="49" spans="2:60" x14ac:dyDescent="0.3">
      <c r="B49" s="288">
        <v>521211</v>
      </c>
      <c r="C49" s="220" t="s">
        <v>7</v>
      </c>
      <c r="D49" s="220"/>
      <c r="E49" s="220"/>
      <c r="F49" s="221">
        <v>20830000</v>
      </c>
      <c r="G49" s="221">
        <v>20830000</v>
      </c>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c r="AR49" s="221"/>
      <c r="AS49" s="221"/>
      <c r="AT49" s="221">
        <f t="shared" si="30"/>
        <v>0</v>
      </c>
      <c r="AU49" s="224">
        <f t="shared" si="5"/>
        <v>0</v>
      </c>
      <c r="AV49" s="225">
        <f t="shared" si="6"/>
        <v>20830000</v>
      </c>
      <c r="AW49" s="224">
        <f t="shared" si="9"/>
        <v>100</v>
      </c>
      <c r="AX49" s="220" t="s">
        <v>535</v>
      </c>
      <c r="AY49" s="220" t="s">
        <v>536</v>
      </c>
      <c r="AZ49" s="220" t="s">
        <v>4729</v>
      </c>
      <c r="BA49" s="221"/>
      <c r="BB49" s="300"/>
      <c r="BC49" s="300"/>
      <c r="BD49" s="221"/>
      <c r="BE49" s="221"/>
      <c r="BF49" s="221"/>
      <c r="BG49" s="221"/>
      <c r="BH49" s="221"/>
    </row>
    <row r="50" spans="2:60" x14ac:dyDescent="0.3">
      <c r="B50" s="288">
        <v>521219</v>
      </c>
      <c r="C50" s="220" t="s">
        <v>53</v>
      </c>
      <c r="D50" s="220"/>
      <c r="E50" s="220"/>
      <c r="F50" s="221">
        <v>500000</v>
      </c>
      <c r="G50" s="221">
        <v>500000</v>
      </c>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c r="AR50" s="221"/>
      <c r="AS50" s="221"/>
      <c r="AT50" s="221">
        <f t="shared" si="30"/>
        <v>0</v>
      </c>
      <c r="AU50" s="224">
        <f t="shared" si="5"/>
        <v>0</v>
      </c>
      <c r="AV50" s="225">
        <f t="shared" si="6"/>
        <v>500000</v>
      </c>
      <c r="AW50" s="224">
        <f t="shared" si="9"/>
        <v>100</v>
      </c>
      <c r="AX50" s="220" t="s">
        <v>535</v>
      </c>
      <c r="AY50" s="220" t="s">
        <v>536</v>
      </c>
      <c r="AZ50" s="220" t="s">
        <v>4729</v>
      </c>
      <c r="BA50" s="221"/>
      <c r="BB50" s="300"/>
      <c r="BC50" s="300"/>
      <c r="BD50" s="221"/>
      <c r="BE50" s="221"/>
      <c r="BF50" s="221"/>
      <c r="BG50" s="221"/>
      <c r="BH50" s="221"/>
    </row>
    <row r="51" spans="2:60" x14ac:dyDescent="0.3">
      <c r="B51" s="288">
        <v>522151</v>
      </c>
      <c r="C51" s="220" t="s">
        <v>11</v>
      </c>
      <c r="D51" s="220"/>
      <c r="E51" s="220"/>
      <c r="F51" s="221">
        <v>7200000</v>
      </c>
      <c r="G51" s="221">
        <v>7200000</v>
      </c>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c r="AS51" s="221"/>
      <c r="AT51" s="221">
        <f t="shared" si="30"/>
        <v>0</v>
      </c>
      <c r="AU51" s="224">
        <f t="shared" si="5"/>
        <v>0</v>
      </c>
      <c r="AV51" s="225">
        <f t="shared" si="6"/>
        <v>7200000</v>
      </c>
      <c r="AW51" s="224">
        <f t="shared" si="9"/>
        <v>100</v>
      </c>
      <c r="AX51" s="220" t="s">
        <v>535</v>
      </c>
      <c r="AY51" s="220" t="s">
        <v>536</v>
      </c>
      <c r="AZ51" s="220" t="s">
        <v>4729</v>
      </c>
      <c r="BA51" s="221"/>
      <c r="BB51" s="300"/>
      <c r="BC51" s="300"/>
      <c r="BD51" s="221"/>
      <c r="BE51" s="221"/>
      <c r="BF51" s="221"/>
      <c r="BG51" s="221"/>
      <c r="BH51" s="221"/>
    </row>
    <row r="52" spans="2:60" x14ac:dyDescent="0.3">
      <c r="B52" s="288">
        <v>524111</v>
      </c>
      <c r="C52" s="220" t="s">
        <v>19</v>
      </c>
      <c r="D52" s="220"/>
      <c r="E52" s="220"/>
      <c r="F52" s="221">
        <v>23030000</v>
      </c>
      <c r="G52" s="221">
        <v>23030000</v>
      </c>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c r="AR52" s="221"/>
      <c r="AS52" s="221"/>
      <c r="AT52" s="221">
        <f t="shared" si="30"/>
        <v>0</v>
      </c>
      <c r="AU52" s="224">
        <f t="shared" si="5"/>
        <v>0</v>
      </c>
      <c r="AV52" s="225">
        <f t="shared" si="6"/>
        <v>23030000</v>
      </c>
      <c r="AW52" s="224">
        <f t="shared" si="9"/>
        <v>100</v>
      </c>
      <c r="AX52" s="220" t="s">
        <v>535</v>
      </c>
      <c r="AY52" s="220" t="s">
        <v>536</v>
      </c>
      <c r="AZ52" s="220" t="s">
        <v>4729</v>
      </c>
      <c r="BA52" s="221"/>
      <c r="BB52" s="300"/>
      <c r="BC52" s="300"/>
      <c r="BD52" s="221"/>
      <c r="BE52" s="221"/>
      <c r="BF52" s="221"/>
      <c r="BG52" s="221"/>
      <c r="BH52" s="221"/>
    </row>
    <row r="53" spans="2:60" x14ac:dyDescent="0.3">
      <c r="B53" s="254" t="s">
        <v>526</v>
      </c>
      <c r="C53" s="255" t="s">
        <v>67</v>
      </c>
      <c r="D53" s="255"/>
      <c r="E53" s="255"/>
      <c r="F53" s="256">
        <f>F54</f>
        <v>135100000</v>
      </c>
      <c r="G53" s="256">
        <f>G54</f>
        <v>135100000</v>
      </c>
      <c r="H53" s="256">
        <f>H54</f>
        <v>0</v>
      </c>
      <c r="I53" s="256"/>
      <c r="J53" s="256">
        <f t="shared" ref="J53:AS53" si="66">J54</f>
        <v>0</v>
      </c>
      <c r="K53" s="256">
        <f t="shared" si="66"/>
        <v>0</v>
      </c>
      <c r="L53" s="256">
        <f t="shared" si="66"/>
        <v>0</v>
      </c>
      <c r="M53" s="256">
        <f t="shared" si="66"/>
        <v>0</v>
      </c>
      <c r="N53" s="256">
        <f t="shared" si="66"/>
        <v>0</v>
      </c>
      <c r="O53" s="256">
        <f t="shared" si="66"/>
        <v>0</v>
      </c>
      <c r="P53" s="256">
        <f t="shared" si="66"/>
        <v>0</v>
      </c>
      <c r="Q53" s="256">
        <f t="shared" si="66"/>
        <v>14333500</v>
      </c>
      <c r="R53" s="256">
        <f t="shared" si="66"/>
        <v>22507250</v>
      </c>
      <c r="S53" s="256">
        <f t="shared" si="66"/>
        <v>13520000</v>
      </c>
      <c r="T53" s="256">
        <f t="shared" si="66"/>
        <v>0</v>
      </c>
      <c r="U53" s="256">
        <f t="shared" si="66"/>
        <v>0</v>
      </c>
      <c r="V53" s="256">
        <f t="shared" si="66"/>
        <v>0</v>
      </c>
      <c r="W53" s="256">
        <f t="shared" si="66"/>
        <v>1500000</v>
      </c>
      <c r="X53" s="256">
        <f t="shared" si="66"/>
        <v>0</v>
      </c>
      <c r="Y53" s="256">
        <f t="shared" si="66"/>
        <v>22748610</v>
      </c>
      <c r="Z53" s="256">
        <f t="shared" si="66"/>
        <v>0</v>
      </c>
      <c r="AA53" s="256">
        <f t="shared" si="66"/>
        <v>0</v>
      </c>
      <c r="AB53" s="256">
        <f t="shared" si="66"/>
        <v>0</v>
      </c>
      <c r="AC53" s="256">
        <f t="shared" si="66"/>
        <v>0</v>
      </c>
      <c r="AD53" s="256">
        <f t="shared" si="66"/>
        <v>0</v>
      </c>
      <c r="AE53" s="256">
        <f t="shared" si="66"/>
        <v>0</v>
      </c>
      <c r="AF53" s="256">
        <f t="shared" si="66"/>
        <v>0</v>
      </c>
      <c r="AG53" s="256">
        <f t="shared" si="66"/>
        <v>0</v>
      </c>
      <c r="AH53" s="256">
        <f t="shared" si="66"/>
        <v>0</v>
      </c>
      <c r="AI53" s="256">
        <f t="shared" si="66"/>
        <v>0</v>
      </c>
      <c r="AJ53" s="256">
        <f t="shared" si="66"/>
        <v>0</v>
      </c>
      <c r="AK53" s="256">
        <f t="shared" si="66"/>
        <v>0</v>
      </c>
      <c r="AL53" s="256">
        <f t="shared" si="66"/>
        <v>0</v>
      </c>
      <c r="AM53" s="256">
        <f t="shared" si="66"/>
        <v>0</v>
      </c>
      <c r="AN53" s="256">
        <f t="shared" si="66"/>
        <v>0</v>
      </c>
      <c r="AO53" s="256">
        <f t="shared" si="66"/>
        <v>0</v>
      </c>
      <c r="AP53" s="256">
        <f t="shared" si="66"/>
        <v>0</v>
      </c>
      <c r="AQ53" s="256">
        <f t="shared" si="66"/>
        <v>0</v>
      </c>
      <c r="AR53" s="256">
        <f t="shared" si="66"/>
        <v>0</v>
      </c>
      <c r="AS53" s="256">
        <f t="shared" si="66"/>
        <v>0</v>
      </c>
      <c r="AT53" s="256">
        <f>SUM(J53:AS53)</f>
        <v>74609360</v>
      </c>
      <c r="AU53" s="257">
        <f t="shared" si="5"/>
        <v>55.22528497409327</v>
      </c>
      <c r="AV53" s="258">
        <f t="shared" si="6"/>
        <v>60490640</v>
      </c>
      <c r="AW53" s="257">
        <f t="shared" si="9"/>
        <v>44.774715025906737</v>
      </c>
      <c r="AX53" s="220" t="s">
        <v>535</v>
      </c>
      <c r="AY53" s="220" t="s">
        <v>538</v>
      </c>
      <c r="AZ53" s="220" t="s">
        <v>4729</v>
      </c>
      <c r="BA53" s="256">
        <f t="shared" ref="BA53:BH53" si="67">BA54</f>
        <v>0</v>
      </c>
      <c r="BB53" s="256">
        <f t="shared" si="67"/>
        <v>22507250</v>
      </c>
      <c r="BC53" s="256">
        <f t="shared" si="67"/>
        <v>14333500</v>
      </c>
      <c r="BD53" s="256">
        <f t="shared" si="67"/>
        <v>0</v>
      </c>
      <c r="BE53" s="256">
        <f t="shared" si="67"/>
        <v>1500000</v>
      </c>
      <c r="BF53" s="256">
        <f t="shared" si="67"/>
        <v>0</v>
      </c>
      <c r="BG53" s="256">
        <f t="shared" si="67"/>
        <v>0</v>
      </c>
      <c r="BH53" s="256">
        <f t="shared" si="67"/>
        <v>0</v>
      </c>
    </row>
    <row r="54" spans="2:60" x14ac:dyDescent="0.3">
      <c r="B54" s="290" t="s">
        <v>8</v>
      </c>
      <c r="C54" s="222" t="s">
        <v>68</v>
      </c>
      <c r="D54" s="222"/>
      <c r="E54" s="222"/>
      <c r="F54" s="223">
        <f>SUM(F55:F59)</f>
        <v>135100000</v>
      </c>
      <c r="G54" s="223">
        <f>SUM(G55:G59)</f>
        <v>135100000</v>
      </c>
      <c r="H54" s="223">
        <f>SUM(H55:H59)</f>
        <v>0</v>
      </c>
      <c r="I54" s="223"/>
      <c r="J54" s="223">
        <f t="shared" ref="J54:AS54" si="68">SUM(J55:J59)</f>
        <v>0</v>
      </c>
      <c r="K54" s="223">
        <f t="shared" si="68"/>
        <v>0</v>
      </c>
      <c r="L54" s="223">
        <f t="shared" si="68"/>
        <v>0</v>
      </c>
      <c r="M54" s="223">
        <f t="shared" si="68"/>
        <v>0</v>
      </c>
      <c r="N54" s="223">
        <f t="shared" si="68"/>
        <v>0</v>
      </c>
      <c r="O54" s="223">
        <f t="shared" si="68"/>
        <v>0</v>
      </c>
      <c r="P54" s="223">
        <f t="shared" si="68"/>
        <v>0</v>
      </c>
      <c r="Q54" s="223">
        <f t="shared" si="68"/>
        <v>14333500</v>
      </c>
      <c r="R54" s="223">
        <f t="shared" si="68"/>
        <v>22507250</v>
      </c>
      <c r="S54" s="223">
        <f t="shared" si="68"/>
        <v>13520000</v>
      </c>
      <c r="T54" s="223">
        <f t="shared" si="68"/>
        <v>0</v>
      </c>
      <c r="U54" s="223">
        <f t="shared" si="68"/>
        <v>0</v>
      </c>
      <c r="V54" s="223">
        <f t="shared" si="68"/>
        <v>0</v>
      </c>
      <c r="W54" s="223">
        <f t="shared" si="68"/>
        <v>1500000</v>
      </c>
      <c r="X54" s="223">
        <f t="shared" si="68"/>
        <v>0</v>
      </c>
      <c r="Y54" s="223">
        <f t="shared" si="68"/>
        <v>22748610</v>
      </c>
      <c r="Z54" s="223">
        <f t="shared" si="68"/>
        <v>0</v>
      </c>
      <c r="AA54" s="223">
        <f t="shared" si="68"/>
        <v>0</v>
      </c>
      <c r="AB54" s="223">
        <f t="shared" si="68"/>
        <v>0</v>
      </c>
      <c r="AC54" s="223">
        <f t="shared" si="68"/>
        <v>0</v>
      </c>
      <c r="AD54" s="223">
        <f t="shared" si="68"/>
        <v>0</v>
      </c>
      <c r="AE54" s="223">
        <f t="shared" si="68"/>
        <v>0</v>
      </c>
      <c r="AF54" s="223">
        <f t="shared" si="68"/>
        <v>0</v>
      </c>
      <c r="AG54" s="223">
        <f t="shared" si="68"/>
        <v>0</v>
      </c>
      <c r="AH54" s="223">
        <f t="shared" si="68"/>
        <v>0</v>
      </c>
      <c r="AI54" s="223">
        <f t="shared" si="68"/>
        <v>0</v>
      </c>
      <c r="AJ54" s="223">
        <f t="shared" si="68"/>
        <v>0</v>
      </c>
      <c r="AK54" s="223">
        <f t="shared" si="68"/>
        <v>0</v>
      </c>
      <c r="AL54" s="223">
        <f t="shared" si="68"/>
        <v>0</v>
      </c>
      <c r="AM54" s="223">
        <f t="shared" si="68"/>
        <v>0</v>
      </c>
      <c r="AN54" s="223">
        <f t="shared" si="68"/>
        <v>0</v>
      </c>
      <c r="AO54" s="223">
        <f t="shared" si="68"/>
        <v>0</v>
      </c>
      <c r="AP54" s="223">
        <f t="shared" si="68"/>
        <v>0</v>
      </c>
      <c r="AQ54" s="223">
        <f t="shared" si="68"/>
        <v>0</v>
      </c>
      <c r="AR54" s="223">
        <f t="shared" si="68"/>
        <v>0</v>
      </c>
      <c r="AS54" s="223">
        <f t="shared" si="68"/>
        <v>0</v>
      </c>
      <c r="AT54" s="223">
        <f>SUM(J54:AS54)</f>
        <v>74609360</v>
      </c>
      <c r="AU54" s="231">
        <f t="shared" si="5"/>
        <v>55.22528497409327</v>
      </c>
      <c r="AV54" s="232">
        <f t="shared" si="6"/>
        <v>60490640</v>
      </c>
      <c r="AW54" s="231">
        <f t="shared" si="9"/>
        <v>44.774715025906737</v>
      </c>
      <c r="AX54" s="220" t="s">
        <v>535</v>
      </c>
      <c r="AY54" s="220" t="s">
        <v>538</v>
      </c>
      <c r="AZ54" s="220" t="s">
        <v>4729</v>
      </c>
      <c r="BA54" s="223">
        <f t="shared" ref="BA54" si="69">SUM(BA55:BA59)</f>
        <v>0</v>
      </c>
      <c r="BB54" s="223">
        <f t="shared" ref="BB54:BC54" si="70">SUM(BB55:BB59)</f>
        <v>22507250</v>
      </c>
      <c r="BC54" s="223">
        <f t="shared" si="70"/>
        <v>14333500</v>
      </c>
      <c r="BD54" s="223">
        <f t="shared" ref="BD54" si="71">SUM(BD55:BD59)</f>
        <v>0</v>
      </c>
      <c r="BE54" s="223">
        <f t="shared" ref="BE54" si="72">SUM(BE55:BE59)</f>
        <v>1500000</v>
      </c>
      <c r="BF54" s="223">
        <f t="shared" ref="BF54:BG54" si="73">SUM(BF55:BF59)</f>
        <v>0</v>
      </c>
      <c r="BG54" s="223">
        <f t="shared" si="73"/>
        <v>0</v>
      </c>
      <c r="BH54" s="223">
        <f t="shared" ref="BH54" si="74">SUM(BH55:BH59)</f>
        <v>0</v>
      </c>
    </row>
    <row r="55" spans="2:60" x14ac:dyDescent="0.3">
      <c r="B55" s="288">
        <v>521211</v>
      </c>
      <c r="C55" s="220" t="s">
        <v>7</v>
      </c>
      <c r="D55" s="220"/>
      <c r="E55" s="220"/>
      <c r="F55" s="221">
        <v>13900000</v>
      </c>
      <c r="G55" s="221">
        <v>13900000</v>
      </c>
      <c r="H55" s="221"/>
      <c r="I55" s="221"/>
      <c r="J55" s="221"/>
      <c r="K55" s="221"/>
      <c r="L55" s="221"/>
      <c r="M55" s="221"/>
      <c r="N55" s="221"/>
      <c r="O55" s="221"/>
      <c r="P55" s="221"/>
      <c r="Q55" s="300">
        <v>2493500</v>
      </c>
      <c r="R55" s="300">
        <v>5497250</v>
      </c>
      <c r="S55" s="221"/>
      <c r="T55" s="221"/>
      <c r="U55" s="221"/>
      <c r="V55" s="221"/>
      <c r="W55" s="221">
        <v>1500000</v>
      </c>
      <c r="X55" s="221"/>
      <c r="Y55" s="221"/>
      <c r="Z55" s="221"/>
      <c r="AA55" s="221"/>
      <c r="AB55" s="221"/>
      <c r="AC55" s="221"/>
      <c r="AD55" s="221"/>
      <c r="AE55" s="221"/>
      <c r="AF55" s="221"/>
      <c r="AG55" s="221"/>
      <c r="AH55" s="221"/>
      <c r="AI55" s="221"/>
      <c r="AJ55" s="221"/>
      <c r="AK55" s="221"/>
      <c r="AL55" s="221"/>
      <c r="AM55" s="221"/>
      <c r="AN55" s="221"/>
      <c r="AO55" s="221"/>
      <c r="AP55" s="221"/>
      <c r="AQ55" s="221"/>
      <c r="AR55" s="221"/>
      <c r="AS55" s="221"/>
      <c r="AT55" s="221">
        <f t="shared" si="30"/>
        <v>9490750</v>
      </c>
      <c r="AU55" s="224">
        <f t="shared" si="5"/>
        <v>68.27877697841727</v>
      </c>
      <c r="AV55" s="225">
        <f t="shared" si="6"/>
        <v>4409250</v>
      </c>
      <c r="AW55" s="224">
        <f t="shared" si="9"/>
        <v>31.721223021582734</v>
      </c>
      <c r="AX55" s="220" t="s">
        <v>535</v>
      </c>
      <c r="AY55" s="220" t="s">
        <v>538</v>
      </c>
      <c r="AZ55" s="220" t="s">
        <v>4729</v>
      </c>
      <c r="BA55" s="221"/>
      <c r="BB55" s="300">
        <v>5497250</v>
      </c>
      <c r="BC55" s="300">
        <v>2493500</v>
      </c>
      <c r="BD55" s="221"/>
      <c r="BE55" s="221">
        <v>1500000</v>
      </c>
      <c r="BF55" s="221"/>
      <c r="BG55" s="221"/>
      <c r="BH55" s="221"/>
    </row>
    <row r="56" spans="2:60" x14ac:dyDescent="0.3">
      <c r="B56" s="288">
        <v>521219</v>
      </c>
      <c r="C56" s="220" t="s">
        <v>53</v>
      </c>
      <c r="D56" s="220"/>
      <c r="E56" s="220"/>
      <c r="F56" s="221">
        <v>8784000</v>
      </c>
      <c r="G56" s="221">
        <v>8784000</v>
      </c>
      <c r="H56" s="221"/>
      <c r="I56" s="221"/>
      <c r="J56" s="221"/>
      <c r="K56" s="221"/>
      <c r="L56" s="221"/>
      <c r="M56" s="221"/>
      <c r="N56" s="221"/>
      <c r="O56" s="221"/>
      <c r="P56" s="221"/>
      <c r="Q56" s="221"/>
      <c r="R56" s="300"/>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c r="AR56" s="221"/>
      <c r="AS56" s="221"/>
      <c r="AT56" s="221">
        <f t="shared" si="30"/>
        <v>0</v>
      </c>
      <c r="AU56" s="224">
        <f t="shared" si="5"/>
        <v>0</v>
      </c>
      <c r="AV56" s="225">
        <f t="shared" si="6"/>
        <v>8784000</v>
      </c>
      <c r="AW56" s="224">
        <f t="shared" si="9"/>
        <v>100</v>
      </c>
      <c r="AX56" s="220" t="s">
        <v>535</v>
      </c>
      <c r="AY56" s="220" t="s">
        <v>538</v>
      </c>
      <c r="AZ56" s="220" t="s">
        <v>4729</v>
      </c>
      <c r="BA56" s="221"/>
      <c r="BB56" s="300"/>
      <c r="BC56" s="300"/>
      <c r="BD56" s="221"/>
      <c r="BE56" s="221"/>
      <c r="BF56" s="221"/>
      <c r="BG56" s="221"/>
      <c r="BH56" s="221"/>
    </row>
    <row r="57" spans="2:60" x14ac:dyDescent="0.3">
      <c r="B57" s="288">
        <v>522151</v>
      </c>
      <c r="C57" s="220" t="s">
        <v>11</v>
      </c>
      <c r="D57" s="220"/>
      <c r="E57" s="220"/>
      <c r="F57" s="221">
        <v>10000000</v>
      </c>
      <c r="G57" s="221">
        <v>10000000</v>
      </c>
      <c r="H57" s="221"/>
      <c r="I57" s="221"/>
      <c r="J57" s="221"/>
      <c r="K57" s="221"/>
      <c r="L57" s="221"/>
      <c r="M57" s="221"/>
      <c r="N57" s="221"/>
      <c r="O57" s="221"/>
      <c r="P57" s="221"/>
      <c r="Q57" s="221"/>
      <c r="R57" s="300"/>
      <c r="S57" s="221">
        <v>7200000</v>
      </c>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c r="AR57" s="221"/>
      <c r="AS57" s="221"/>
      <c r="AT57" s="221">
        <f t="shared" si="30"/>
        <v>7200000</v>
      </c>
      <c r="AU57" s="224">
        <f t="shared" si="5"/>
        <v>72</v>
      </c>
      <c r="AV57" s="225">
        <f t="shared" si="6"/>
        <v>2800000</v>
      </c>
      <c r="AW57" s="224">
        <f t="shared" si="9"/>
        <v>28.000000000000004</v>
      </c>
      <c r="AX57" s="220" t="s">
        <v>535</v>
      </c>
      <c r="AY57" s="220" t="s">
        <v>538</v>
      </c>
      <c r="AZ57" s="220" t="s">
        <v>4729</v>
      </c>
      <c r="BA57" s="221"/>
      <c r="BB57" s="300"/>
      <c r="BC57" s="300"/>
      <c r="BD57" s="221"/>
      <c r="BE57" s="221"/>
      <c r="BF57" s="221"/>
      <c r="BG57" s="221"/>
      <c r="BH57" s="221"/>
    </row>
    <row r="58" spans="2:60" x14ac:dyDescent="0.3">
      <c r="B58" s="288">
        <v>522192</v>
      </c>
      <c r="C58" s="220" t="s">
        <v>24</v>
      </c>
      <c r="D58" s="220"/>
      <c r="E58" s="220"/>
      <c r="F58" s="221">
        <v>5000000</v>
      </c>
      <c r="G58" s="221">
        <v>5000000</v>
      </c>
      <c r="H58" s="221"/>
      <c r="I58" s="221"/>
      <c r="J58" s="221"/>
      <c r="K58" s="221"/>
      <c r="L58" s="221"/>
      <c r="M58" s="221"/>
      <c r="N58" s="221"/>
      <c r="O58" s="221"/>
      <c r="P58" s="221"/>
      <c r="Q58" s="221"/>
      <c r="R58" s="300"/>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c r="AR58" s="221"/>
      <c r="AS58" s="221"/>
      <c r="AT58" s="221">
        <f t="shared" si="30"/>
        <v>0</v>
      </c>
      <c r="AU58" s="224">
        <f t="shared" si="5"/>
        <v>0</v>
      </c>
      <c r="AV58" s="225">
        <f t="shared" si="6"/>
        <v>5000000</v>
      </c>
      <c r="AW58" s="224">
        <f t="shared" si="9"/>
        <v>100</v>
      </c>
      <c r="AX58" s="220" t="s">
        <v>535</v>
      </c>
      <c r="AY58" s="220" t="s">
        <v>538</v>
      </c>
      <c r="AZ58" s="220" t="s">
        <v>4729</v>
      </c>
      <c r="BA58" s="221"/>
      <c r="BB58" s="300"/>
      <c r="BC58" s="300"/>
      <c r="BD58" s="221"/>
      <c r="BE58" s="221"/>
      <c r="BF58" s="221"/>
      <c r="BG58" s="221"/>
      <c r="BH58" s="221"/>
    </row>
    <row r="59" spans="2:60" x14ac:dyDescent="0.3">
      <c r="B59" s="288">
        <v>524111</v>
      </c>
      <c r="C59" s="220" t="s">
        <v>19</v>
      </c>
      <c r="D59" s="220"/>
      <c r="E59" s="220"/>
      <c r="F59" s="221">
        <v>97416000</v>
      </c>
      <c r="G59" s="221">
        <v>97416000</v>
      </c>
      <c r="H59" s="221"/>
      <c r="I59" s="221"/>
      <c r="J59" s="221"/>
      <c r="K59" s="221"/>
      <c r="L59" s="221"/>
      <c r="M59" s="221"/>
      <c r="N59" s="221"/>
      <c r="O59" s="221"/>
      <c r="P59" s="221"/>
      <c r="Q59" s="300">
        <v>11840000</v>
      </c>
      <c r="R59" s="300">
        <v>17010000</v>
      </c>
      <c r="S59" s="221">
        <v>6320000</v>
      </c>
      <c r="T59" s="221"/>
      <c r="U59" s="221"/>
      <c r="V59" s="221"/>
      <c r="W59" s="221"/>
      <c r="X59" s="221"/>
      <c r="Y59" s="221">
        <f>11343740+11404870</f>
        <v>22748610</v>
      </c>
      <c r="Z59" s="221"/>
      <c r="AA59" s="221"/>
      <c r="AB59" s="221"/>
      <c r="AC59" s="221"/>
      <c r="AD59" s="221"/>
      <c r="AE59" s="221"/>
      <c r="AF59" s="221"/>
      <c r="AG59" s="221"/>
      <c r="AH59" s="221"/>
      <c r="AI59" s="221"/>
      <c r="AJ59" s="221"/>
      <c r="AK59" s="221"/>
      <c r="AL59" s="221"/>
      <c r="AM59" s="221"/>
      <c r="AN59" s="221"/>
      <c r="AO59" s="221"/>
      <c r="AP59" s="221"/>
      <c r="AQ59" s="221"/>
      <c r="AR59" s="221"/>
      <c r="AS59" s="221"/>
      <c r="AT59" s="221">
        <f t="shared" si="30"/>
        <v>57918610</v>
      </c>
      <c r="AU59" s="224">
        <f t="shared" si="5"/>
        <v>59.454925268949651</v>
      </c>
      <c r="AV59" s="225">
        <f t="shared" si="6"/>
        <v>39497390</v>
      </c>
      <c r="AW59" s="224">
        <f t="shared" si="9"/>
        <v>40.545074731050342</v>
      </c>
      <c r="AX59" s="220" t="s">
        <v>535</v>
      </c>
      <c r="AY59" s="220" t="s">
        <v>538</v>
      </c>
      <c r="AZ59" s="220" t="s">
        <v>4729</v>
      </c>
      <c r="BA59" s="221"/>
      <c r="BB59" s="300">
        <v>17010000</v>
      </c>
      <c r="BC59" s="300">
        <v>11840000</v>
      </c>
      <c r="BD59" s="221"/>
      <c r="BE59" s="221"/>
      <c r="BF59" s="221"/>
      <c r="BG59" s="221"/>
      <c r="BH59" s="221"/>
    </row>
    <row r="60" spans="2:60" x14ac:dyDescent="0.3">
      <c r="B60" s="246" t="s">
        <v>69</v>
      </c>
      <c r="C60" s="247" t="s">
        <v>70</v>
      </c>
      <c r="D60" s="247"/>
      <c r="E60" s="247"/>
      <c r="F60" s="248">
        <f t="shared" ref="F60:AS60" si="75">F61+F204</f>
        <v>10475804000</v>
      </c>
      <c r="G60" s="248">
        <f t="shared" ref="G60:H60" si="76">G61+G204</f>
        <v>15863164000</v>
      </c>
      <c r="H60" s="248">
        <f t="shared" si="76"/>
        <v>100000000</v>
      </c>
      <c r="I60" s="248"/>
      <c r="J60" s="248">
        <f t="shared" si="75"/>
        <v>0</v>
      </c>
      <c r="K60" s="248">
        <f t="shared" si="75"/>
        <v>0</v>
      </c>
      <c r="L60" s="248">
        <f t="shared" si="75"/>
        <v>0</v>
      </c>
      <c r="M60" s="248">
        <f t="shared" si="75"/>
        <v>74237800</v>
      </c>
      <c r="N60" s="248">
        <f t="shared" si="75"/>
        <v>0</v>
      </c>
      <c r="O60" s="248">
        <f t="shared" si="75"/>
        <v>0</v>
      </c>
      <c r="P60" s="248">
        <f t="shared" si="75"/>
        <v>63640000</v>
      </c>
      <c r="Q60" s="248">
        <f t="shared" si="75"/>
        <v>167335190</v>
      </c>
      <c r="R60" s="248">
        <f t="shared" si="75"/>
        <v>320537487</v>
      </c>
      <c r="S60" s="248">
        <f t="shared" si="75"/>
        <v>1763177854</v>
      </c>
      <c r="T60" s="248">
        <f t="shared" si="75"/>
        <v>95254996</v>
      </c>
      <c r="U60" s="248">
        <f t="shared" si="75"/>
        <v>0</v>
      </c>
      <c r="V60" s="248">
        <f t="shared" si="75"/>
        <v>757387100</v>
      </c>
      <c r="W60" s="248">
        <f t="shared" si="75"/>
        <v>179018093</v>
      </c>
      <c r="X60" s="248">
        <f t="shared" si="75"/>
        <v>235964831</v>
      </c>
      <c r="Y60" s="248">
        <f t="shared" si="75"/>
        <v>2034687981</v>
      </c>
      <c r="Z60" s="248">
        <f t="shared" si="75"/>
        <v>0</v>
      </c>
      <c r="AA60" s="248">
        <f t="shared" si="75"/>
        <v>7559500</v>
      </c>
      <c r="AB60" s="248">
        <f t="shared" si="75"/>
        <v>0</v>
      </c>
      <c r="AC60" s="248">
        <f t="shared" si="75"/>
        <v>0</v>
      </c>
      <c r="AD60" s="248">
        <f t="shared" si="75"/>
        <v>0</v>
      </c>
      <c r="AE60" s="248">
        <f t="shared" si="75"/>
        <v>0</v>
      </c>
      <c r="AF60" s="248">
        <f t="shared" si="75"/>
        <v>0</v>
      </c>
      <c r="AG60" s="248">
        <f t="shared" si="75"/>
        <v>0</v>
      </c>
      <c r="AH60" s="248">
        <f t="shared" si="75"/>
        <v>0</v>
      </c>
      <c r="AI60" s="248">
        <f t="shared" si="75"/>
        <v>0</v>
      </c>
      <c r="AJ60" s="248">
        <f t="shared" si="75"/>
        <v>0</v>
      </c>
      <c r="AK60" s="248">
        <f t="shared" si="75"/>
        <v>0</v>
      </c>
      <c r="AL60" s="248">
        <f t="shared" si="75"/>
        <v>0</v>
      </c>
      <c r="AM60" s="248">
        <f t="shared" si="75"/>
        <v>0</v>
      </c>
      <c r="AN60" s="248">
        <f t="shared" si="75"/>
        <v>0</v>
      </c>
      <c r="AO60" s="248">
        <f t="shared" si="75"/>
        <v>0</v>
      </c>
      <c r="AP60" s="248">
        <f t="shared" si="75"/>
        <v>0</v>
      </c>
      <c r="AQ60" s="248">
        <f t="shared" si="75"/>
        <v>0</v>
      </c>
      <c r="AR60" s="248">
        <f t="shared" si="75"/>
        <v>0</v>
      </c>
      <c r="AS60" s="248">
        <f t="shared" si="75"/>
        <v>0</v>
      </c>
      <c r="AT60" s="248">
        <f>SUM(J60:AS60)</f>
        <v>5698800832</v>
      </c>
      <c r="AU60" s="249">
        <f t="shared" si="5"/>
        <v>54.399651158039994</v>
      </c>
      <c r="AV60" s="250">
        <f t="shared" ref="AV60:AV64" si="77">F60-AT60</f>
        <v>4777003168</v>
      </c>
      <c r="AW60" s="249">
        <f t="shared" ref="AW60:AW65" si="78">AV60/F60*100</f>
        <v>45.600348841960006</v>
      </c>
      <c r="AX60" s="220"/>
      <c r="AY60" s="220"/>
      <c r="AZ60" s="220" t="s">
        <v>4729</v>
      </c>
      <c r="BA60" s="248">
        <f>BA61+BA204</f>
        <v>99961115</v>
      </c>
      <c r="BB60" s="248">
        <f>BB61+BB204</f>
        <v>320537487</v>
      </c>
      <c r="BC60" s="248">
        <f>BC61+BC204</f>
        <v>67374075</v>
      </c>
      <c r="BD60" s="248">
        <f>BD61+BD204</f>
        <v>95254996</v>
      </c>
      <c r="BE60" s="248">
        <f t="shared" ref="BE60" si="79">BE61+BE204</f>
        <v>93939616</v>
      </c>
      <c r="BF60" s="248">
        <f t="shared" ref="BF60:BG60" si="80">BF61+BF204</f>
        <v>85078477</v>
      </c>
      <c r="BG60" s="248">
        <f t="shared" si="80"/>
        <v>235964831</v>
      </c>
      <c r="BH60" s="248">
        <f t="shared" ref="BH60" si="81">BH61+BH204</f>
        <v>7559500</v>
      </c>
    </row>
    <row r="61" spans="2:60" x14ac:dyDescent="0.3">
      <c r="B61" s="240">
        <v>2378</v>
      </c>
      <c r="C61" s="241" t="s">
        <v>71</v>
      </c>
      <c r="D61" s="241"/>
      <c r="E61" s="241"/>
      <c r="F61" s="242">
        <f t="shared" ref="F61:AS61" si="82">F62+F67+F141+F146</f>
        <v>4393304000</v>
      </c>
      <c r="G61" s="242">
        <f t="shared" ref="G61:H61" si="83">G62+G67+G141+G146</f>
        <v>7280664000</v>
      </c>
      <c r="H61" s="242">
        <f t="shared" si="83"/>
        <v>100000000</v>
      </c>
      <c r="I61" s="242"/>
      <c r="J61" s="242">
        <f t="shared" si="82"/>
        <v>0</v>
      </c>
      <c r="K61" s="242">
        <f t="shared" si="82"/>
        <v>0</v>
      </c>
      <c r="L61" s="242">
        <f t="shared" si="82"/>
        <v>0</v>
      </c>
      <c r="M61" s="242">
        <f t="shared" si="82"/>
        <v>74237800</v>
      </c>
      <c r="N61" s="242">
        <f t="shared" si="82"/>
        <v>0</v>
      </c>
      <c r="O61" s="242">
        <f t="shared" si="82"/>
        <v>0</v>
      </c>
      <c r="P61" s="242">
        <f t="shared" si="82"/>
        <v>63640000</v>
      </c>
      <c r="Q61" s="242">
        <f t="shared" si="82"/>
        <v>167335190</v>
      </c>
      <c r="R61" s="242">
        <f t="shared" si="82"/>
        <v>320537487</v>
      </c>
      <c r="S61" s="242">
        <f t="shared" si="82"/>
        <v>207482498</v>
      </c>
      <c r="T61" s="242">
        <f t="shared" si="82"/>
        <v>95254996</v>
      </c>
      <c r="U61" s="242">
        <f t="shared" si="82"/>
        <v>0</v>
      </c>
      <c r="V61" s="242">
        <f t="shared" si="82"/>
        <v>757387100</v>
      </c>
      <c r="W61" s="242">
        <f t="shared" si="82"/>
        <v>179018093</v>
      </c>
      <c r="X61" s="242">
        <f t="shared" si="82"/>
        <v>198072198</v>
      </c>
      <c r="Y61" s="242">
        <f t="shared" si="82"/>
        <v>154451558</v>
      </c>
      <c r="Z61" s="242">
        <f t="shared" si="82"/>
        <v>0</v>
      </c>
      <c r="AA61" s="242">
        <f t="shared" si="82"/>
        <v>4670000</v>
      </c>
      <c r="AB61" s="242">
        <f t="shared" si="82"/>
        <v>0</v>
      </c>
      <c r="AC61" s="242">
        <f t="shared" si="82"/>
        <v>0</v>
      </c>
      <c r="AD61" s="242">
        <f t="shared" si="82"/>
        <v>0</v>
      </c>
      <c r="AE61" s="242">
        <f t="shared" si="82"/>
        <v>0</v>
      </c>
      <c r="AF61" s="242">
        <f t="shared" si="82"/>
        <v>0</v>
      </c>
      <c r="AG61" s="242">
        <f t="shared" si="82"/>
        <v>0</v>
      </c>
      <c r="AH61" s="242">
        <f t="shared" si="82"/>
        <v>0</v>
      </c>
      <c r="AI61" s="242">
        <f t="shared" si="82"/>
        <v>0</v>
      </c>
      <c r="AJ61" s="242">
        <f t="shared" si="82"/>
        <v>0</v>
      </c>
      <c r="AK61" s="242">
        <f t="shared" si="82"/>
        <v>0</v>
      </c>
      <c r="AL61" s="242">
        <f t="shared" si="82"/>
        <v>0</v>
      </c>
      <c r="AM61" s="242">
        <f t="shared" si="82"/>
        <v>0</v>
      </c>
      <c r="AN61" s="242">
        <f t="shared" si="82"/>
        <v>0</v>
      </c>
      <c r="AO61" s="242">
        <f t="shared" si="82"/>
        <v>0</v>
      </c>
      <c r="AP61" s="242">
        <f t="shared" si="82"/>
        <v>0</v>
      </c>
      <c r="AQ61" s="242">
        <f t="shared" si="82"/>
        <v>0</v>
      </c>
      <c r="AR61" s="242">
        <f t="shared" si="82"/>
        <v>0</v>
      </c>
      <c r="AS61" s="242">
        <f t="shared" si="82"/>
        <v>0</v>
      </c>
      <c r="AT61" s="242">
        <f t="shared" si="30"/>
        <v>2222086920</v>
      </c>
      <c r="AU61" s="243">
        <f t="shared" si="5"/>
        <v>50.578947416340867</v>
      </c>
      <c r="AV61" s="244">
        <f t="shared" si="77"/>
        <v>2171217080</v>
      </c>
      <c r="AW61" s="243">
        <f t="shared" si="78"/>
        <v>49.421052583659133</v>
      </c>
      <c r="AX61" s="220"/>
      <c r="AY61" s="220"/>
      <c r="AZ61" s="220" t="s">
        <v>4729</v>
      </c>
      <c r="BA61" s="242">
        <f>BA62+BA67+BA141+BA146</f>
        <v>99961115</v>
      </c>
      <c r="BB61" s="242">
        <f>BB62+BB67+BB141+BB146</f>
        <v>320537487</v>
      </c>
      <c r="BC61" s="242">
        <f>BC62+BC67+BC141+BC146</f>
        <v>67374075</v>
      </c>
      <c r="BD61" s="242">
        <f>BD62+BD67+BD141+BD146</f>
        <v>95254996</v>
      </c>
      <c r="BE61" s="242">
        <f t="shared" ref="BE61" si="84">BE62+BE67+BE141+BE146</f>
        <v>93939616</v>
      </c>
      <c r="BF61" s="242">
        <f t="shared" ref="BF61:BG61" si="85">BF62+BF67+BF141+BF146</f>
        <v>85078477</v>
      </c>
      <c r="BG61" s="242">
        <f t="shared" si="85"/>
        <v>198072198</v>
      </c>
      <c r="BH61" s="242">
        <f t="shared" ref="BH61" si="86">BH62+BH67+BH141+BH146</f>
        <v>4670000</v>
      </c>
    </row>
    <row r="62" spans="2:60" x14ac:dyDescent="0.3">
      <c r="B62" s="236" t="s">
        <v>820</v>
      </c>
      <c r="C62" s="237" t="s">
        <v>821</v>
      </c>
      <c r="D62" s="237">
        <v>1</v>
      </c>
      <c r="E62" s="237" t="s">
        <v>42</v>
      </c>
      <c r="F62" s="235">
        <f t="shared" ref="F62:X64" si="87">F63</f>
        <v>114200000</v>
      </c>
      <c r="G62" s="235">
        <f t="shared" si="87"/>
        <v>115000000</v>
      </c>
      <c r="H62" s="235">
        <f t="shared" si="87"/>
        <v>0</v>
      </c>
      <c r="I62" s="235"/>
      <c r="J62" s="235">
        <f t="shared" si="87"/>
        <v>0</v>
      </c>
      <c r="K62" s="235">
        <f t="shared" si="87"/>
        <v>0</v>
      </c>
      <c r="L62" s="235">
        <f t="shared" si="87"/>
        <v>0</v>
      </c>
      <c r="M62" s="235">
        <f t="shared" si="87"/>
        <v>0</v>
      </c>
      <c r="N62" s="235">
        <f t="shared" si="87"/>
        <v>0</v>
      </c>
      <c r="O62" s="235">
        <f t="shared" si="87"/>
        <v>0</v>
      </c>
      <c r="P62" s="235">
        <f t="shared" si="87"/>
        <v>0</v>
      </c>
      <c r="Q62" s="235">
        <f t="shared" si="87"/>
        <v>0</v>
      </c>
      <c r="R62" s="235">
        <f t="shared" si="87"/>
        <v>0</v>
      </c>
      <c r="S62" s="235">
        <f t="shared" si="87"/>
        <v>0</v>
      </c>
      <c r="T62" s="235">
        <f t="shared" si="87"/>
        <v>0</v>
      </c>
      <c r="U62" s="235">
        <f t="shared" si="87"/>
        <v>0</v>
      </c>
      <c r="V62" s="235">
        <f t="shared" si="87"/>
        <v>114200000</v>
      </c>
      <c r="W62" s="235">
        <f t="shared" si="87"/>
        <v>0</v>
      </c>
      <c r="X62" s="235">
        <f t="shared" si="87"/>
        <v>0</v>
      </c>
      <c r="Y62" s="235">
        <f t="shared" ref="J62:AS64" si="88">Y63</f>
        <v>0</v>
      </c>
      <c r="Z62" s="235">
        <f t="shared" si="88"/>
        <v>0</v>
      </c>
      <c r="AA62" s="235">
        <f t="shared" si="88"/>
        <v>0</v>
      </c>
      <c r="AB62" s="235">
        <f t="shared" si="88"/>
        <v>0</v>
      </c>
      <c r="AC62" s="235">
        <f t="shared" si="88"/>
        <v>0</v>
      </c>
      <c r="AD62" s="235">
        <f t="shared" si="88"/>
        <v>0</v>
      </c>
      <c r="AE62" s="235">
        <f t="shared" si="88"/>
        <v>0</v>
      </c>
      <c r="AF62" s="235">
        <f t="shared" si="88"/>
        <v>0</v>
      </c>
      <c r="AG62" s="235">
        <f t="shared" si="88"/>
        <v>0</v>
      </c>
      <c r="AH62" s="235">
        <f t="shared" si="88"/>
        <v>0</v>
      </c>
      <c r="AI62" s="235">
        <f t="shared" si="88"/>
        <v>0</v>
      </c>
      <c r="AJ62" s="235">
        <f t="shared" si="88"/>
        <v>0</v>
      </c>
      <c r="AK62" s="235">
        <f t="shared" si="88"/>
        <v>0</v>
      </c>
      <c r="AL62" s="235">
        <f t="shared" si="88"/>
        <v>0</v>
      </c>
      <c r="AM62" s="235">
        <f t="shared" si="88"/>
        <v>0</v>
      </c>
      <c r="AN62" s="235">
        <f t="shared" si="88"/>
        <v>0</v>
      </c>
      <c r="AO62" s="235">
        <f t="shared" si="88"/>
        <v>0</v>
      </c>
      <c r="AP62" s="235">
        <f t="shared" si="88"/>
        <v>0</v>
      </c>
      <c r="AQ62" s="235">
        <f t="shared" si="88"/>
        <v>0</v>
      </c>
      <c r="AR62" s="235">
        <f t="shared" si="88"/>
        <v>0</v>
      </c>
      <c r="AS62" s="235">
        <f t="shared" si="88"/>
        <v>0</v>
      </c>
      <c r="AT62" s="235">
        <f t="shared" si="30"/>
        <v>114200000</v>
      </c>
      <c r="AU62" s="238">
        <f t="shared" si="5"/>
        <v>100</v>
      </c>
      <c r="AV62" s="239">
        <f t="shared" si="77"/>
        <v>0</v>
      </c>
      <c r="AW62" s="238">
        <f t="shared" si="78"/>
        <v>0</v>
      </c>
      <c r="AX62" s="220" t="s">
        <v>576</v>
      </c>
      <c r="AY62" s="220" t="s">
        <v>560</v>
      </c>
      <c r="AZ62" s="220" t="s">
        <v>4811</v>
      </c>
      <c r="BA62" s="235">
        <f t="shared" ref="BA62:BH64" si="89">BA63</f>
        <v>0</v>
      </c>
      <c r="BB62" s="235">
        <f t="shared" si="89"/>
        <v>0</v>
      </c>
      <c r="BC62" s="235">
        <f t="shared" si="89"/>
        <v>0</v>
      </c>
      <c r="BD62" s="235">
        <f t="shared" si="89"/>
        <v>0</v>
      </c>
      <c r="BE62" s="235">
        <f t="shared" si="89"/>
        <v>0</v>
      </c>
      <c r="BF62" s="235">
        <f t="shared" si="89"/>
        <v>0</v>
      </c>
      <c r="BG62" s="235">
        <f t="shared" si="89"/>
        <v>0</v>
      </c>
      <c r="BH62" s="235">
        <f t="shared" si="89"/>
        <v>0</v>
      </c>
    </row>
    <row r="63" spans="2:60" x14ac:dyDescent="0.3">
      <c r="B63" s="226" t="s">
        <v>3737</v>
      </c>
      <c r="C63" s="227" t="s">
        <v>824</v>
      </c>
      <c r="D63" s="227">
        <v>1</v>
      </c>
      <c r="E63" s="227" t="s">
        <v>42</v>
      </c>
      <c r="F63" s="228">
        <f t="shared" si="87"/>
        <v>114200000</v>
      </c>
      <c r="G63" s="228">
        <f t="shared" si="87"/>
        <v>115000000</v>
      </c>
      <c r="H63" s="228">
        <f t="shared" si="87"/>
        <v>0</v>
      </c>
      <c r="I63" s="228"/>
      <c r="J63" s="228">
        <f t="shared" si="88"/>
        <v>0</v>
      </c>
      <c r="K63" s="228">
        <f t="shared" si="88"/>
        <v>0</v>
      </c>
      <c r="L63" s="228">
        <f t="shared" si="88"/>
        <v>0</v>
      </c>
      <c r="M63" s="228">
        <f t="shared" si="88"/>
        <v>0</v>
      </c>
      <c r="N63" s="228">
        <f t="shared" si="88"/>
        <v>0</v>
      </c>
      <c r="O63" s="228">
        <f t="shared" si="88"/>
        <v>0</v>
      </c>
      <c r="P63" s="228">
        <f t="shared" si="88"/>
        <v>0</v>
      </c>
      <c r="Q63" s="228">
        <f t="shared" si="88"/>
        <v>0</v>
      </c>
      <c r="R63" s="228">
        <f t="shared" si="88"/>
        <v>0</v>
      </c>
      <c r="S63" s="228">
        <f t="shared" si="88"/>
        <v>0</v>
      </c>
      <c r="T63" s="228">
        <f t="shared" si="88"/>
        <v>0</v>
      </c>
      <c r="U63" s="228">
        <f t="shared" si="88"/>
        <v>0</v>
      </c>
      <c r="V63" s="228">
        <f t="shared" si="88"/>
        <v>114200000</v>
      </c>
      <c r="W63" s="228">
        <f t="shared" si="88"/>
        <v>0</v>
      </c>
      <c r="X63" s="228">
        <f t="shared" si="88"/>
        <v>0</v>
      </c>
      <c r="Y63" s="228">
        <f t="shared" si="88"/>
        <v>0</v>
      </c>
      <c r="Z63" s="228">
        <f t="shared" si="88"/>
        <v>0</v>
      </c>
      <c r="AA63" s="228">
        <f t="shared" si="88"/>
        <v>0</v>
      </c>
      <c r="AB63" s="228">
        <f t="shared" si="88"/>
        <v>0</v>
      </c>
      <c r="AC63" s="228">
        <f t="shared" si="88"/>
        <v>0</v>
      </c>
      <c r="AD63" s="228">
        <f t="shared" si="88"/>
        <v>0</v>
      </c>
      <c r="AE63" s="228">
        <f t="shared" si="88"/>
        <v>0</v>
      </c>
      <c r="AF63" s="228">
        <f t="shared" si="88"/>
        <v>0</v>
      </c>
      <c r="AG63" s="228">
        <f t="shared" si="88"/>
        <v>0</v>
      </c>
      <c r="AH63" s="228">
        <f t="shared" si="88"/>
        <v>0</v>
      </c>
      <c r="AI63" s="228">
        <f t="shared" si="88"/>
        <v>0</v>
      </c>
      <c r="AJ63" s="228">
        <f t="shared" si="88"/>
        <v>0</v>
      </c>
      <c r="AK63" s="228">
        <f t="shared" si="88"/>
        <v>0</v>
      </c>
      <c r="AL63" s="228">
        <f t="shared" si="88"/>
        <v>0</v>
      </c>
      <c r="AM63" s="228">
        <f t="shared" si="88"/>
        <v>0</v>
      </c>
      <c r="AN63" s="228">
        <f t="shared" si="88"/>
        <v>0</v>
      </c>
      <c r="AO63" s="228">
        <f t="shared" si="88"/>
        <v>0</v>
      </c>
      <c r="AP63" s="228">
        <f t="shared" si="88"/>
        <v>0</v>
      </c>
      <c r="AQ63" s="228">
        <f t="shared" si="88"/>
        <v>0</v>
      </c>
      <c r="AR63" s="228">
        <f t="shared" si="88"/>
        <v>0</v>
      </c>
      <c r="AS63" s="228">
        <f t="shared" si="88"/>
        <v>0</v>
      </c>
      <c r="AT63" s="228">
        <f t="shared" si="30"/>
        <v>114200000</v>
      </c>
      <c r="AU63" s="229">
        <f t="shared" si="5"/>
        <v>100</v>
      </c>
      <c r="AV63" s="230">
        <f t="shared" si="77"/>
        <v>0</v>
      </c>
      <c r="AW63" s="229">
        <f t="shared" si="78"/>
        <v>0</v>
      </c>
      <c r="AX63" s="220" t="s">
        <v>576</v>
      </c>
      <c r="AY63" s="220" t="s">
        <v>560</v>
      </c>
      <c r="AZ63" s="220" t="s">
        <v>4811</v>
      </c>
      <c r="BA63" s="228">
        <f t="shared" si="89"/>
        <v>0</v>
      </c>
      <c r="BB63" s="228">
        <f t="shared" si="89"/>
        <v>0</v>
      </c>
      <c r="BC63" s="228">
        <f t="shared" si="89"/>
        <v>0</v>
      </c>
      <c r="BD63" s="228">
        <f t="shared" si="89"/>
        <v>0</v>
      </c>
      <c r="BE63" s="228">
        <f t="shared" si="89"/>
        <v>0</v>
      </c>
      <c r="BF63" s="228">
        <f t="shared" si="89"/>
        <v>0</v>
      </c>
      <c r="BG63" s="228">
        <f t="shared" si="89"/>
        <v>0</v>
      </c>
      <c r="BH63" s="228">
        <f t="shared" si="89"/>
        <v>0</v>
      </c>
    </row>
    <row r="64" spans="2:60" x14ac:dyDescent="0.3">
      <c r="B64" s="226">
        <v>301</v>
      </c>
      <c r="C64" s="227" t="s">
        <v>834</v>
      </c>
      <c r="D64" s="227"/>
      <c r="E64" s="227"/>
      <c r="F64" s="228">
        <f t="shared" si="87"/>
        <v>114200000</v>
      </c>
      <c r="G64" s="228">
        <f t="shared" si="87"/>
        <v>115000000</v>
      </c>
      <c r="H64" s="228">
        <f t="shared" si="87"/>
        <v>0</v>
      </c>
      <c r="I64" s="228"/>
      <c r="J64" s="228">
        <f t="shared" si="88"/>
        <v>0</v>
      </c>
      <c r="K64" s="228">
        <f t="shared" si="88"/>
        <v>0</v>
      </c>
      <c r="L64" s="228">
        <f t="shared" si="88"/>
        <v>0</v>
      </c>
      <c r="M64" s="228">
        <f t="shared" si="88"/>
        <v>0</v>
      </c>
      <c r="N64" s="228">
        <f t="shared" si="88"/>
        <v>0</v>
      </c>
      <c r="O64" s="228">
        <f t="shared" si="88"/>
        <v>0</v>
      </c>
      <c r="P64" s="228">
        <f t="shared" si="88"/>
        <v>0</v>
      </c>
      <c r="Q64" s="228">
        <f t="shared" si="88"/>
        <v>0</v>
      </c>
      <c r="R64" s="228">
        <f t="shared" si="88"/>
        <v>0</v>
      </c>
      <c r="S64" s="228">
        <f t="shared" si="88"/>
        <v>0</v>
      </c>
      <c r="T64" s="228">
        <f t="shared" si="88"/>
        <v>0</v>
      </c>
      <c r="U64" s="228">
        <f t="shared" si="88"/>
        <v>0</v>
      </c>
      <c r="V64" s="228">
        <f t="shared" si="88"/>
        <v>114200000</v>
      </c>
      <c r="W64" s="228">
        <f t="shared" si="88"/>
        <v>0</v>
      </c>
      <c r="X64" s="228">
        <f t="shared" si="88"/>
        <v>0</v>
      </c>
      <c r="Y64" s="228">
        <f t="shared" si="88"/>
        <v>0</v>
      </c>
      <c r="Z64" s="228">
        <f t="shared" si="88"/>
        <v>0</v>
      </c>
      <c r="AA64" s="228">
        <f t="shared" si="88"/>
        <v>0</v>
      </c>
      <c r="AB64" s="228">
        <f t="shared" si="88"/>
        <v>0</v>
      </c>
      <c r="AC64" s="228">
        <f t="shared" si="88"/>
        <v>0</v>
      </c>
      <c r="AD64" s="228">
        <f t="shared" si="88"/>
        <v>0</v>
      </c>
      <c r="AE64" s="228">
        <f t="shared" si="88"/>
        <v>0</v>
      </c>
      <c r="AF64" s="228">
        <f t="shared" si="88"/>
        <v>0</v>
      </c>
      <c r="AG64" s="228">
        <f t="shared" si="88"/>
        <v>0</v>
      </c>
      <c r="AH64" s="228">
        <f t="shared" si="88"/>
        <v>0</v>
      </c>
      <c r="AI64" s="228">
        <f t="shared" si="88"/>
        <v>0</v>
      </c>
      <c r="AJ64" s="228">
        <f t="shared" si="88"/>
        <v>0</v>
      </c>
      <c r="AK64" s="228">
        <f t="shared" si="88"/>
        <v>0</v>
      </c>
      <c r="AL64" s="228">
        <f t="shared" si="88"/>
        <v>0</v>
      </c>
      <c r="AM64" s="228">
        <f t="shared" si="88"/>
        <v>0</v>
      </c>
      <c r="AN64" s="228">
        <f t="shared" si="88"/>
        <v>0</v>
      </c>
      <c r="AO64" s="228">
        <f t="shared" si="88"/>
        <v>0</v>
      </c>
      <c r="AP64" s="228">
        <f t="shared" si="88"/>
        <v>0</v>
      </c>
      <c r="AQ64" s="228">
        <f t="shared" si="88"/>
        <v>0</v>
      </c>
      <c r="AR64" s="228">
        <f t="shared" si="88"/>
        <v>0</v>
      </c>
      <c r="AS64" s="228">
        <f t="shared" si="88"/>
        <v>0</v>
      </c>
      <c r="AT64" s="228">
        <f t="shared" si="30"/>
        <v>114200000</v>
      </c>
      <c r="AU64" s="229">
        <f t="shared" si="5"/>
        <v>100</v>
      </c>
      <c r="AV64" s="230">
        <f t="shared" si="77"/>
        <v>0</v>
      </c>
      <c r="AW64" s="229">
        <f t="shared" si="78"/>
        <v>0</v>
      </c>
      <c r="AX64" s="220" t="s">
        <v>576</v>
      </c>
      <c r="AY64" s="220" t="s">
        <v>560</v>
      </c>
      <c r="AZ64" s="220" t="s">
        <v>4811</v>
      </c>
      <c r="BA64" s="228">
        <f t="shared" si="89"/>
        <v>0</v>
      </c>
      <c r="BB64" s="228">
        <f t="shared" si="89"/>
        <v>0</v>
      </c>
      <c r="BC64" s="228">
        <f t="shared" si="89"/>
        <v>0</v>
      </c>
      <c r="BD64" s="228">
        <f t="shared" si="89"/>
        <v>0</v>
      </c>
      <c r="BE64" s="228">
        <f t="shared" si="89"/>
        <v>0</v>
      </c>
      <c r="BF64" s="228">
        <f t="shared" si="89"/>
        <v>0</v>
      </c>
      <c r="BG64" s="228">
        <f t="shared" si="89"/>
        <v>0</v>
      </c>
      <c r="BH64" s="228">
        <f t="shared" si="89"/>
        <v>0</v>
      </c>
    </row>
    <row r="65" spans="2:60" x14ac:dyDescent="0.3">
      <c r="B65" s="290" t="s">
        <v>8</v>
      </c>
      <c r="C65" s="222" t="s">
        <v>836</v>
      </c>
      <c r="D65" s="222"/>
      <c r="E65" s="222"/>
      <c r="F65" s="223">
        <f>SUM(F66)</f>
        <v>114200000</v>
      </c>
      <c r="G65" s="223">
        <f>SUM(G66)</f>
        <v>115000000</v>
      </c>
      <c r="H65" s="223">
        <f>SUM(H66)</f>
        <v>0</v>
      </c>
      <c r="I65" s="223"/>
      <c r="J65" s="223">
        <f t="shared" ref="J65:AS65" si="90">SUM(J66)</f>
        <v>0</v>
      </c>
      <c r="K65" s="223">
        <f t="shared" si="90"/>
        <v>0</v>
      </c>
      <c r="L65" s="223">
        <f t="shared" si="90"/>
        <v>0</v>
      </c>
      <c r="M65" s="223">
        <f t="shared" si="90"/>
        <v>0</v>
      </c>
      <c r="N65" s="223">
        <f t="shared" si="90"/>
        <v>0</v>
      </c>
      <c r="O65" s="223">
        <f t="shared" si="90"/>
        <v>0</v>
      </c>
      <c r="P65" s="223">
        <f t="shared" si="90"/>
        <v>0</v>
      </c>
      <c r="Q65" s="223">
        <f t="shared" si="90"/>
        <v>0</v>
      </c>
      <c r="R65" s="223">
        <f t="shared" si="90"/>
        <v>0</v>
      </c>
      <c r="S65" s="223">
        <f t="shared" si="90"/>
        <v>0</v>
      </c>
      <c r="T65" s="223">
        <f t="shared" si="90"/>
        <v>0</v>
      </c>
      <c r="U65" s="223">
        <f t="shared" si="90"/>
        <v>0</v>
      </c>
      <c r="V65" s="223">
        <f t="shared" si="90"/>
        <v>114200000</v>
      </c>
      <c r="W65" s="223">
        <f t="shared" si="90"/>
        <v>0</v>
      </c>
      <c r="X65" s="223">
        <f t="shared" si="90"/>
        <v>0</v>
      </c>
      <c r="Y65" s="223">
        <f t="shared" si="90"/>
        <v>0</v>
      </c>
      <c r="Z65" s="223">
        <f t="shared" si="90"/>
        <v>0</v>
      </c>
      <c r="AA65" s="223">
        <f t="shared" si="90"/>
        <v>0</v>
      </c>
      <c r="AB65" s="223">
        <f t="shared" si="90"/>
        <v>0</v>
      </c>
      <c r="AC65" s="223">
        <f t="shared" si="90"/>
        <v>0</v>
      </c>
      <c r="AD65" s="223">
        <f t="shared" si="90"/>
        <v>0</v>
      </c>
      <c r="AE65" s="223">
        <f t="shared" si="90"/>
        <v>0</v>
      </c>
      <c r="AF65" s="223">
        <f t="shared" si="90"/>
        <v>0</v>
      </c>
      <c r="AG65" s="223">
        <f t="shared" si="90"/>
        <v>0</v>
      </c>
      <c r="AH65" s="223">
        <f t="shared" si="90"/>
        <v>0</v>
      </c>
      <c r="AI65" s="223">
        <f t="shared" si="90"/>
        <v>0</v>
      </c>
      <c r="AJ65" s="223">
        <f t="shared" si="90"/>
        <v>0</v>
      </c>
      <c r="AK65" s="223">
        <f t="shared" si="90"/>
        <v>0</v>
      </c>
      <c r="AL65" s="223">
        <f t="shared" si="90"/>
        <v>0</v>
      </c>
      <c r="AM65" s="223">
        <f t="shared" si="90"/>
        <v>0</v>
      </c>
      <c r="AN65" s="223">
        <f t="shared" si="90"/>
        <v>0</v>
      </c>
      <c r="AO65" s="223">
        <f t="shared" si="90"/>
        <v>0</v>
      </c>
      <c r="AP65" s="223">
        <f t="shared" si="90"/>
        <v>0</v>
      </c>
      <c r="AQ65" s="223">
        <f t="shared" si="90"/>
        <v>0</v>
      </c>
      <c r="AR65" s="223">
        <f t="shared" si="90"/>
        <v>0</v>
      </c>
      <c r="AS65" s="223">
        <f t="shared" si="90"/>
        <v>0</v>
      </c>
      <c r="AT65" s="223">
        <f t="shared" si="30"/>
        <v>114200000</v>
      </c>
      <c r="AU65" s="231">
        <f t="shared" si="5"/>
        <v>100</v>
      </c>
      <c r="AV65" s="232">
        <f>F65-AT65</f>
        <v>0</v>
      </c>
      <c r="AW65" s="231">
        <f t="shared" si="78"/>
        <v>0</v>
      </c>
      <c r="AX65" s="220" t="s">
        <v>576</v>
      </c>
      <c r="AY65" s="220" t="s">
        <v>560</v>
      </c>
      <c r="AZ65" s="220" t="s">
        <v>4811</v>
      </c>
      <c r="BA65" s="223">
        <f t="shared" ref="BA65:BH65" si="91">SUM(BA66)</f>
        <v>0</v>
      </c>
      <c r="BB65" s="223">
        <f t="shared" si="91"/>
        <v>0</v>
      </c>
      <c r="BC65" s="223">
        <f t="shared" si="91"/>
        <v>0</v>
      </c>
      <c r="BD65" s="223">
        <f t="shared" si="91"/>
        <v>0</v>
      </c>
      <c r="BE65" s="223">
        <f t="shared" si="91"/>
        <v>0</v>
      </c>
      <c r="BF65" s="223">
        <f t="shared" si="91"/>
        <v>0</v>
      </c>
      <c r="BG65" s="223">
        <f t="shared" si="91"/>
        <v>0</v>
      </c>
      <c r="BH65" s="223">
        <f t="shared" si="91"/>
        <v>0</v>
      </c>
    </row>
    <row r="66" spans="2:60" x14ac:dyDescent="0.3">
      <c r="B66" s="288">
        <v>532111</v>
      </c>
      <c r="C66" s="220" t="s">
        <v>43</v>
      </c>
      <c r="D66" s="220"/>
      <c r="E66" s="220"/>
      <c r="F66" s="221">
        <v>114200000</v>
      </c>
      <c r="G66" s="221">
        <v>115000000</v>
      </c>
      <c r="H66" s="221"/>
      <c r="I66" s="221"/>
      <c r="J66" s="221"/>
      <c r="K66" s="221"/>
      <c r="L66" s="221"/>
      <c r="M66" s="221"/>
      <c r="N66" s="221"/>
      <c r="O66" s="221"/>
      <c r="P66" s="221"/>
      <c r="Q66" s="221"/>
      <c r="R66" s="221"/>
      <c r="S66" s="221"/>
      <c r="T66" s="221"/>
      <c r="U66" s="221"/>
      <c r="V66" s="221">
        <v>114200000</v>
      </c>
      <c r="W66" s="221"/>
      <c r="X66" s="221"/>
      <c r="Y66" s="221"/>
      <c r="Z66" s="221"/>
      <c r="AA66" s="221"/>
      <c r="AB66" s="221"/>
      <c r="AC66" s="221"/>
      <c r="AD66" s="221"/>
      <c r="AE66" s="221"/>
      <c r="AF66" s="221"/>
      <c r="AG66" s="221"/>
      <c r="AH66" s="221"/>
      <c r="AI66" s="221"/>
      <c r="AJ66" s="221"/>
      <c r="AK66" s="221"/>
      <c r="AL66" s="221"/>
      <c r="AM66" s="221"/>
      <c r="AN66" s="221"/>
      <c r="AO66" s="221"/>
      <c r="AP66" s="221"/>
      <c r="AQ66" s="221"/>
      <c r="AR66" s="221"/>
      <c r="AS66" s="221"/>
      <c r="AT66" s="221">
        <f t="shared" si="30"/>
        <v>114200000</v>
      </c>
      <c r="AU66" s="224">
        <f t="shared" si="5"/>
        <v>100</v>
      </c>
      <c r="AV66" s="225">
        <f>F66-AT66</f>
        <v>0</v>
      </c>
      <c r="AW66" s="224">
        <f t="shared" si="9"/>
        <v>0</v>
      </c>
      <c r="AX66" s="220" t="s">
        <v>576</v>
      </c>
      <c r="AY66" s="220" t="s">
        <v>560</v>
      </c>
      <c r="AZ66" s="220" t="s">
        <v>4811</v>
      </c>
      <c r="BA66" s="221"/>
      <c r="BB66" s="221"/>
      <c r="BC66" s="300"/>
      <c r="BD66" s="221"/>
      <c r="BE66" s="221"/>
      <c r="BF66" s="221"/>
      <c r="BG66" s="221"/>
      <c r="BH66" s="221"/>
    </row>
    <row r="67" spans="2:60" x14ac:dyDescent="0.3">
      <c r="B67" s="236" t="s">
        <v>841</v>
      </c>
      <c r="C67" s="237" t="s">
        <v>842</v>
      </c>
      <c r="D67" s="237">
        <v>9</v>
      </c>
      <c r="E67" s="237" t="s">
        <v>3740</v>
      </c>
      <c r="F67" s="235">
        <f t="shared" ref="F67:AS67" si="92">F68+F76+F123</f>
        <v>3190814000</v>
      </c>
      <c r="G67" s="235">
        <f t="shared" ref="G67:H67" si="93">G68+G76+G123</f>
        <v>5085940000</v>
      </c>
      <c r="H67" s="235">
        <f t="shared" si="93"/>
        <v>100000000</v>
      </c>
      <c r="I67" s="235"/>
      <c r="J67" s="235">
        <f t="shared" si="92"/>
        <v>0</v>
      </c>
      <c r="K67" s="235">
        <f t="shared" si="92"/>
        <v>0</v>
      </c>
      <c r="L67" s="235">
        <f t="shared" si="92"/>
        <v>0</v>
      </c>
      <c r="M67" s="235">
        <f t="shared" si="92"/>
        <v>63640000</v>
      </c>
      <c r="N67" s="235">
        <f t="shared" si="92"/>
        <v>0</v>
      </c>
      <c r="O67" s="235">
        <f t="shared" si="92"/>
        <v>0</v>
      </c>
      <c r="P67" s="235">
        <f t="shared" si="92"/>
        <v>63640000</v>
      </c>
      <c r="Q67" s="235">
        <f t="shared" si="92"/>
        <v>136990690</v>
      </c>
      <c r="R67" s="235">
        <f t="shared" si="92"/>
        <v>226935794</v>
      </c>
      <c r="S67" s="235">
        <f t="shared" si="92"/>
        <v>184892998</v>
      </c>
      <c r="T67" s="235">
        <f t="shared" si="92"/>
        <v>75325796</v>
      </c>
      <c r="U67" s="235">
        <f t="shared" si="92"/>
        <v>0</v>
      </c>
      <c r="V67" s="235">
        <f t="shared" si="92"/>
        <v>94014600</v>
      </c>
      <c r="W67" s="235">
        <f t="shared" si="92"/>
        <v>158835210</v>
      </c>
      <c r="X67" s="235">
        <f t="shared" si="92"/>
        <v>115921543</v>
      </c>
      <c r="Y67" s="235">
        <f t="shared" si="92"/>
        <v>103366027</v>
      </c>
      <c r="Z67" s="235">
        <f t="shared" si="92"/>
        <v>0</v>
      </c>
      <c r="AA67" s="235">
        <f t="shared" si="92"/>
        <v>0</v>
      </c>
      <c r="AB67" s="235">
        <f t="shared" si="92"/>
        <v>0</v>
      </c>
      <c r="AC67" s="235">
        <f t="shared" si="92"/>
        <v>0</v>
      </c>
      <c r="AD67" s="235">
        <f t="shared" si="92"/>
        <v>0</v>
      </c>
      <c r="AE67" s="235">
        <f t="shared" si="92"/>
        <v>0</v>
      </c>
      <c r="AF67" s="235">
        <f t="shared" si="92"/>
        <v>0</v>
      </c>
      <c r="AG67" s="235">
        <f t="shared" si="92"/>
        <v>0</v>
      </c>
      <c r="AH67" s="235">
        <f t="shared" si="92"/>
        <v>0</v>
      </c>
      <c r="AI67" s="235">
        <f t="shared" si="92"/>
        <v>0</v>
      </c>
      <c r="AJ67" s="235">
        <f t="shared" si="92"/>
        <v>0</v>
      </c>
      <c r="AK67" s="235">
        <f t="shared" si="92"/>
        <v>0</v>
      </c>
      <c r="AL67" s="235">
        <f t="shared" si="92"/>
        <v>0</v>
      </c>
      <c r="AM67" s="235">
        <f t="shared" si="92"/>
        <v>0</v>
      </c>
      <c r="AN67" s="235">
        <f t="shared" si="92"/>
        <v>0</v>
      </c>
      <c r="AO67" s="235">
        <f t="shared" si="92"/>
        <v>0</v>
      </c>
      <c r="AP67" s="235">
        <f t="shared" si="92"/>
        <v>0</v>
      </c>
      <c r="AQ67" s="235">
        <f t="shared" si="92"/>
        <v>0</v>
      </c>
      <c r="AR67" s="235">
        <f t="shared" si="92"/>
        <v>0</v>
      </c>
      <c r="AS67" s="235">
        <f t="shared" si="92"/>
        <v>0</v>
      </c>
      <c r="AT67" s="235">
        <f>SUM(J67:AS67)</f>
        <v>1223562658</v>
      </c>
      <c r="AU67" s="238">
        <f t="shared" si="5"/>
        <v>38.346411229234924</v>
      </c>
      <c r="AV67" s="239">
        <f>F67-AT67</f>
        <v>1967251342</v>
      </c>
      <c r="AW67" s="238">
        <f>AV67/F67*100</f>
        <v>61.653588770765076</v>
      </c>
      <c r="AX67" s="220"/>
      <c r="AY67" s="220"/>
      <c r="AZ67" s="220" t="s">
        <v>4729</v>
      </c>
      <c r="BA67" s="235">
        <f>BA68+BA76+BA123</f>
        <v>99961115</v>
      </c>
      <c r="BB67" s="235">
        <f>BB68+BB76+BB123</f>
        <v>226935794</v>
      </c>
      <c r="BC67" s="235">
        <f>BC68+BC76+BC123</f>
        <v>37029575</v>
      </c>
      <c r="BD67" s="235">
        <f>BD68+BD76+BD123</f>
        <v>75325796</v>
      </c>
      <c r="BE67" s="235">
        <f t="shared" ref="BE67" si="94">BE68+BE76+BE123</f>
        <v>83939616</v>
      </c>
      <c r="BF67" s="235">
        <f t="shared" ref="BF67:BG67" si="95">BF68+BF76+BF123</f>
        <v>74895594</v>
      </c>
      <c r="BG67" s="235">
        <f t="shared" si="95"/>
        <v>115921543</v>
      </c>
      <c r="BH67" s="235">
        <f t="shared" ref="BH67" si="96">BH68+BH76+BH123</f>
        <v>0</v>
      </c>
    </row>
    <row r="68" spans="2:60" x14ac:dyDescent="0.3">
      <c r="B68" s="226" t="s">
        <v>3792</v>
      </c>
      <c r="C68" s="227" t="s">
        <v>1037</v>
      </c>
      <c r="D68" s="227">
        <v>2</v>
      </c>
      <c r="E68" s="227" t="s">
        <v>3740</v>
      </c>
      <c r="F68" s="228">
        <f>F69</f>
        <v>113346000</v>
      </c>
      <c r="G68" s="228">
        <f>G69</f>
        <v>153780000</v>
      </c>
      <c r="H68" s="228">
        <f>H69</f>
        <v>0</v>
      </c>
      <c r="I68" s="228"/>
      <c r="J68" s="228">
        <f t="shared" ref="J68:X68" si="97">J69</f>
        <v>0</v>
      </c>
      <c r="K68" s="228">
        <f t="shared" si="97"/>
        <v>0</v>
      </c>
      <c r="L68" s="228">
        <f t="shared" si="97"/>
        <v>0</v>
      </c>
      <c r="M68" s="228">
        <f t="shared" si="97"/>
        <v>0</v>
      </c>
      <c r="N68" s="228">
        <f t="shared" si="97"/>
        <v>0</v>
      </c>
      <c r="O68" s="228">
        <f t="shared" si="97"/>
        <v>0</v>
      </c>
      <c r="P68" s="228">
        <f t="shared" si="97"/>
        <v>0</v>
      </c>
      <c r="Q68" s="228">
        <f t="shared" si="97"/>
        <v>1890000</v>
      </c>
      <c r="R68" s="228">
        <f t="shared" si="97"/>
        <v>3436750</v>
      </c>
      <c r="S68" s="228">
        <f t="shared" si="97"/>
        <v>3570000</v>
      </c>
      <c r="T68" s="228">
        <f t="shared" si="97"/>
        <v>0</v>
      </c>
      <c r="U68" s="228">
        <f t="shared" si="97"/>
        <v>0</v>
      </c>
      <c r="V68" s="228">
        <f t="shared" si="97"/>
        <v>10960600</v>
      </c>
      <c r="W68" s="228">
        <f t="shared" si="97"/>
        <v>0</v>
      </c>
      <c r="X68" s="228">
        <f t="shared" si="97"/>
        <v>5000500</v>
      </c>
      <c r="Y68" s="228">
        <f t="shared" ref="J68:AS69" si="98">Y69</f>
        <v>3840000</v>
      </c>
      <c r="Z68" s="228">
        <f t="shared" si="98"/>
        <v>0</v>
      </c>
      <c r="AA68" s="228">
        <f t="shared" si="98"/>
        <v>0</v>
      </c>
      <c r="AB68" s="228">
        <f t="shared" si="98"/>
        <v>0</v>
      </c>
      <c r="AC68" s="228">
        <f t="shared" si="98"/>
        <v>0</v>
      </c>
      <c r="AD68" s="228">
        <f t="shared" si="98"/>
        <v>0</v>
      </c>
      <c r="AE68" s="228">
        <f t="shared" si="98"/>
        <v>0</v>
      </c>
      <c r="AF68" s="228">
        <f t="shared" si="98"/>
        <v>0</v>
      </c>
      <c r="AG68" s="228">
        <f t="shared" si="98"/>
        <v>0</v>
      </c>
      <c r="AH68" s="228">
        <f t="shared" si="98"/>
        <v>0</v>
      </c>
      <c r="AI68" s="228">
        <f t="shared" si="98"/>
        <v>0</v>
      </c>
      <c r="AJ68" s="228">
        <f t="shared" si="98"/>
        <v>0</v>
      </c>
      <c r="AK68" s="228">
        <f t="shared" si="98"/>
        <v>0</v>
      </c>
      <c r="AL68" s="228">
        <f t="shared" si="98"/>
        <v>0</v>
      </c>
      <c r="AM68" s="228">
        <f t="shared" si="98"/>
        <v>0</v>
      </c>
      <c r="AN68" s="228">
        <f t="shared" si="98"/>
        <v>0</v>
      </c>
      <c r="AO68" s="228">
        <f t="shared" si="98"/>
        <v>0</v>
      </c>
      <c r="AP68" s="228">
        <f t="shared" si="98"/>
        <v>0</v>
      </c>
      <c r="AQ68" s="228">
        <f t="shared" si="98"/>
        <v>0</v>
      </c>
      <c r="AR68" s="228">
        <f t="shared" si="98"/>
        <v>0</v>
      </c>
      <c r="AS68" s="228">
        <f t="shared" si="98"/>
        <v>0</v>
      </c>
      <c r="AT68" s="228">
        <f t="shared" si="30"/>
        <v>28697850</v>
      </c>
      <c r="AU68" s="229">
        <f t="shared" si="5"/>
        <v>25.318802604414802</v>
      </c>
      <c r="AV68" s="230">
        <f t="shared" si="6"/>
        <v>84648150</v>
      </c>
      <c r="AW68" s="229">
        <f t="shared" si="9"/>
        <v>74.681197395585201</v>
      </c>
      <c r="AX68" s="220" t="s">
        <v>542</v>
      </c>
      <c r="AY68" s="220" t="s">
        <v>543</v>
      </c>
      <c r="AZ68" s="220" t="s">
        <v>4729</v>
      </c>
      <c r="BA68" s="228">
        <f t="shared" ref="BA68:BH69" si="99">BA69</f>
        <v>0</v>
      </c>
      <c r="BB68" s="228">
        <f t="shared" si="99"/>
        <v>3436750</v>
      </c>
      <c r="BC68" s="228">
        <f t="shared" si="99"/>
        <v>1890000</v>
      </c>
      <c r="BD68" s="228">
        <f t="shared" si="99"/>
        <v>0</v>
      </c>
      <c r="BE68" s="228">
        <f t="shared" si="99"/>
        <v>0</v>
      </c>
      <c r="BF68" s="228">
        <f t="shared" si="99"/>
        <v>0</v>
      </c>
      <c r="BG68" s="228">
        <f t="shared" si="99"/>
        <v>5000500</v>
      </c>
      <c r="BH68" s="228">
        <f t="shared" si="99"/>
        <v>0</v>
      </c>
    </row>
    <row r="69" spans="2:60" x14ac:dyDescent="0.3">
      <c r="B69" s="226">
        <v>311</v>
      </c>
      <c r="C69" s="227" t="s">
        <v>1186</v>
      </c>
      <c r="D69" s="227"/>
      <c r="E69" s="227"/>
      <c r="F69" s="228">
        <f>F70</f>
        <v>113346000</v>
      </c>
      <c r="G69" s="228">
        <f>G70</f>
        <v>153780000</v>
      </c>
      <c r="H69" s="228">
        <f>H70</f>
        <v>0</v>
      </c>
      <c r="I69" s="228"/>
      <c r="J69" s="228">
        <f t="shared" si="98"/>
        <v>0</v>
      </c>
      <c r="K69" s="228">
        <f t="shared" si="98"/>
        <v>0</v>
      </c>
      <c r="L69" s="228">
        <f t="shared" si="98"/>
        <v>0</v>
      </c>
      <c r="M69" s="228">
        <f t="shared" si="98"/>
        <v>0</v>
      </c>
      <c r="N69" s="228">
        <f t="shared" si="98"/>
        <v>0</v>
      </c>
      <c r="O69" s="228">
        <f t="shared" si="98"/>
        <v>0</v>
      </c>
      <c r="P69" s="228">
        <f t="shared" si="98"/>
        <v>0</v>
      </c>
      <c r="Q69" s="228">
        <f t="shared" si="98"/>
        <v>1890000</v>
      </c>
      <c r="R69" s="228">
        <f t="shared" si="98"/>
        <v>3436750</v>
      </c>
      <c r="S69" s="228">
        <f t="shared" si="98"/>
        <v>3570000</v>
      </c>
      <c r="T69" s="228">
        <f t="shared" si="98"/>
        <v>0</v>
      </c>
      <c r="U69" s="228">
        <f t="shared" si="98"/>
        <v>0</v>
      </c>
      <c r="V69" s="228">
        <f t="shared" si="98"/>
        <v>10960600</v>
      </c>
      <c r="W69" s="228">
        <f t="shared" si="98"/>
        <v>0</v>
      </c>
      <c r="X69" s="228">
        <f t="shared" si="98"/>
        <v>5000500</v>
      </c>
      <c r="Y69" s="228">
        <f t="shared" si="98"/>
        <v>3840000</v>
      </c>
      <c r="Z69" s="228">
        <f t="shared" si="98"/>
        <v>0</v>
      </c>
      <c r="AA69" s="228">
        <f t="shared" si="98"/>
        <v>0</v>
      </c>
      <c r="AB69" s="228">
        <f t="shared" si="98"/>
        <v>0</v>
      </c>
      <c r="AC69" s="228">
        <f t="shared" si="98"/>
        <v>0</v>
      </c>
      <c r="AD69" s="228">
        <f t="shared" si="98"/>
        <v>0</v>
      </c>
      <c r="AE69" s="228">
        <f t="shared" si="98"/>
        <v>0</v>
      </c>
      <c r="AF69" s="228">
        <f t="shared" si="98"/>
        <v>0</v>
      </c>
      <c r="AG69" s="228">
        <f t="shared" si="98"/>
        <v>0</v>
      </c>
      <c r="AH69" s="228">
        <f t="shared" si="98"/>
        <v>0</v>
      </c>
      <c r="AI69" s="228">
        <f t="shared" si="98"/>
        <v>0</v>
      </c>
      <c r="AJ69" s="228">
        <f t="shared" si="98"/>
        <v>0</v>
      </c>
      <c r="AK69" s="228">
        <f t="shared" si="98"/>
        <v>0</v>
      </c>
      <c r="AL69" s="228">
        <f t="shared" si="98"/>
        <v>0</v>
      </c>
      <c r="AM69" s="228">
        <f t="shared" si="98"/>
        <v>0</v>
      </c>
      <c r="AN69" s="228">
        <f t="shared" si="98"/>
        <v>0</v>
      </c>
      <c r="AO69" s="228">
        <f t="shared" si="98"/>
        <v>0</v>
      </c>
      <c r="AP69" s="228">
        <f t="shared" si="98"/>
        <v>0</v>
      </c>
      <c r="AQ69" s="228">
        <f t="shared" si="98"/>
        <v>0</v>
      </c>
      <c r="AR69" s="228">
        <f t="shared" si="98"/>
        <v>0</v>
      </c>
      <c r="AS69" s="228">
        <f t="shared" si="98"/>
        <v>0</v>
      </c>
      <c r="AT69" s="228">
        <f t="shared" si="30"/>
        <v>28697850</v>
      </c>
      <c r="AU69" s="229">
        <f t="shared" si="5"/>
        <v>25.318802604414802</v>
      </c>
      <c r="AV69" s="230">
        <f t="shared" si="6"/>
        <v>84648150</v>
      </c>
      <c r="AW69" s="229">
        <f t="shared" si="9"/>
        <v>74.681197395585201</v>
      </c>
      <c r="AX69" s="220" t="s">
        <v>542</v>
      </c>
      <c r="AY69" s="220" t="s">
        <v>543</v>
      </c>
      <c r="AZ69" s="220" t="s">
        <v>4729</v>
      </c>
      <c r="BA69" s="228">
        <f t="shared" si="99"/>
        <v>0</v>
      </c>
      <c r="BB69" s="228">
        <f t="shared" si="99"/>
        <v>3436750</v>
      </c>
      <c r="BC69" s="228">
        <f t="shared" si="99"/>
        <v>1890000</v>
      </c>
      <c r="BD69" s="228">
        <f t="shared" si="99"/>
        <v>0</v>
      </c>
      <c r="BE69" s="228">
        <f t="shared" si="99"/>
        <v>0</v>
      </c>
      <c r="BF69" s="228">
        <f t="shared" si="99"/>
        <v>0</v>
      </c>
      <c r="BG69" s="228">
        <f t="shared" si="99"/>
        <v>5000500</v>
      </c>
      <c r="BH69" s="228">
        <f t="shared" si="99"/>
        <v>0</v>
      </c>
    </row>
    <row r="70" spans="2:60" x14ac:dyDescent="0.3">
      <c r="B70" s="290" t="s">
        <v>8</v>
      </c>
      <c r="C70" s="222" t="s">
        <v>75</v>
      </c>
      <c r="D70" s="222"/>
      <c r="E70" s="222"/>
      <c r="F70" s="223">
        <f>SUM(F71:F75)</f>
        <v>113346000</v>
      </c>
      <c r="G70" s="223">
        <f>SUM(G71:G75)</f>
        <v>153780000</v>
      </c>
      <c r="H70" s="223">
        <f>SUM(H71:H75)</f>
        <v>0</v>
      </c>
      <c r="I70" s="223"/>
      <c r="J70" s="223">
        <f t="shared" ref="J70:AS70" si="100">SUM(J71:J75)</f>
        <v>0</v>
      </c>
      <c r="K70" s="223">
        <f t="shared" si="100"/>
        <v>0</v>
      </c>
      <c r="L70" s="223">
        <f t="shared" si="100"/>
        <v>0</v>
      </c>
      <c r="M70" s="223">
        <f t="shared" si="100"/>
        <v>0</v>
      </c>
      <c r="N70" s="223">
        <f t="shared" si="100"/>
        <v>0</v>
      </c>
      <c r="O70" s="223">
        <f t="shared" si="100"/>
        <v>0</v>
      </c>
      <c r="P70" s="223">
        <f t="shared" si="100"/>
        <v>0</v>
      </c>
      <c r="Q70" s="223">
        <f t="shared" si="100"/>
        <v>1890000</v>
      </c>
      <c r="R70" s="223">
        <f t="shared" si="100"/>
        <v>3436750</v>
      </c>
      <c r="S70" s="223">
        <f t="shared" si="100"/>
        <v>3570000</v>
      </c>
      <c r="T70" s="223">
        <f t="shared" si="100"/>
        <v>0</v>
      </c>
      <c r="U70" s="223">
        <f t="shared" si="100"/>
        <v>0</v>
      </c>
      <c r="V70" s="223">
        <f t="shared" si="100"/>
        <v>10960600</v>
      </c>
      <c r="W70" s="223">
        <f t="shared" si="100"/>
        <v>0</v>
      </c>
      <c r="X70" s="223">
        <f t="shared" si="100"/>
        <v>5000500</v>
      </c>
      <c r="Y70" s="223">
        <f t="shared" si="100"/>
        <v>3840000</v>
      </c>
      <c r="Z70" s="223">
        <f t="shared" si="100"/>
        <v>0</v>
      </c>
      <c r="AA70" s="223">
        <f t="shared" si="100"/>
        <v>0</v>
      </c>
      <c r="AB70" s="223">
        <f t="shared" si="100"/>
        <v>0</v>
      </c>
      <c r="AC70" s="223">
        <f t="shared" si="100"/>
        <v>0</v>
      </c>
      <c r="AD70" s="223">
        <f t="shared" si="100"/>
        <v>0</v>
      </c>
      <c r="AE70" s="223">
        <f t="shared" si="100"/>
        <v>0</v>
      </c>
      <c r="AF70" s="223">
        <f t="shared" si="100"/>
        <v>0</v>
      </c>
      <c r="AG70" s="223">
        <f t="shared" si="100"/>
        <v>0</v>
      </c>
      <c r="AH70" s="223">
        <f t="shared" si="100"/>
        <v>0</v>
      </c>
      <c r="AI70" s="223">
        <f t="shared" si="100"/>
        <v>0</v>
      </c>
      <c r="AJ70" s="223">
        <f t="shared" si="100"/>
        <v>0</v>
      </c>
      <c r="AK70" s="223">
        <f t="shared" si="100"/>
        <v>0</v>
      </c>
      <c r="AL70" s="223">
        <f t="shared" si="100"/>
        <v>0</v>
      </c>
      <c r="AM70" s="223">
        <f t="shared" si="100"/>
        <v>0</v>
      </c>
      <c r="AN70" s="223">
        <f t="shared" si="100"/>
        <v>0</v>
      </c>
      <c r="AO70" s="223">
        <f t="shared" si="100"/>
        <v>0</v>
      </c>
      <c r="AP70" s="223">
        <f t="shared" si="100"/>
        <v>0</v>
      </c>
      <c r="AQ70" s="223">
        <f t="shared" si="100"/>
        <v>0</v>
      </c>
      <c r="AR70" s="223">
        <f t="shared" si="100"/>
        <v>0</v>
      </c>
      <c r="AS70" s="223">
        <f t="shared" si="100"/>
        <v>0</v>
      </c>
      <c r="AT70" s="223">
        <f>SUM(J70:AS70)</f>
        <v>28697850</v>
      </c>
      <c r="AU70" s="231">
        <f t="shared" si="5"/>
        <v>25.318802604414802</v>
      </c>
      <c r="AV70" s="232">
        <f t="shared" si="6"/>
        <v>84648150</v>
      </c>
      <c r="AW70" s="231">
        <f t="shared" si="9"/>
        <v>74.681197395585201</v>
      </c>
      <c r="AX70" s="220" t="s">
        <v>542</v>
      </c>
      <c r="AY70" s="220" t="s">
        <v>543</v>
      </c>
      <c r="AZ70" s="220" t="s">
        <v>4729</v>
      </c>
      <c r="BA70" s="223">
        <f t="shared" ref="BA70" si="101">SUM(BA71:BA75)</f>
        <v>0</v>
      </c>
      <c r="BB70" s="223">
        <f t="shared" ref="BB70:BC70" si="102">SUM(BB71:BB75)</f>
        <v>3436750</v>
      </c>
      <c r="BC70" s="223">
        <f t="shared" si="102"/>
        <v>1890000</v>
      </c>
      <c r="BD70" s="223">
        <f t="shared" ref="BD70" si="103">SUM(BD71:BD75)</f>
        <v>0</v>
      </c>
      <c r="BE70" s="223">
        <f t="shared" ref="BE70" si="104">SUM(BE71:BE75)</f>
        <v>0</v>
      </c>
      <c r="BF70" s="223">
        <f t="shared" ref="BF70:BG70" si="105">SUM(BF71:BF75)</f>
        <v>0</v>
      </c>
      <c r="BG70" s="223">
        <f t="shared" si="105"/>
        <v>5000500</v>
      </c>
      <c r="BH70" s="223">
        <f t="shared" ref="BH70" si="106">SUM(BH71:BH75)</f>
        <v>0</v>
      </c>
    </row>
    <row r="71" spans="2:60" x14ac:dyDescent="0.3">
      <c r="B71" s="288">
        <v>521211</v>
      </c>
      <c r="C71" s="220" t="s">
        <v>7</v>
      </c>
      <c r="D71" s="220"/>
      <c r="E71" s="220"/>
      <c r="F71" s="221">
        <v>12400000</v>
      </c>
      <c r="G71" s="221">
        <v>14400000</v>
      </c>
      <c r="H71" s="221"/>
      <c r="I71" s="221"/>
      <c r="J71" s="221"/>
      <c r="K71" s="221"/>
      <c r="L71" s="221"/>
      <c r="M71" s="221"/>
      <c r="N71" s="221"/>
      <c r="O71" s="221"/>
      <c r="P71" s="221"/>
      <c r="Q71" s="300">
        <v>1890000</v>
      </c>
      <c r="R71" s="221">
        <v>986000</v>
      </c>
      <c r="S71" s="221"/>
      <c r="T71" s="221"/>
      <c r="U71" s="221"/>
      <c r="V71" s="221"/>
      <c r="W71" s="221"/>
      <c r="X71" s="221">
        <v>3071500</v>
      </c>
      <c r="Y71" s="221"/>
      <c r="Z71" s="221"/>
      <c r="AA71" s="221"/>
      <c r="AB71" s="221"/>
      <c r="AC71" s="221"/>
      <c r="AD71" s="221"/>
      <c r="AE71" s="221"/>
      <c r="AF71" s="221"/>
      <c r="AG71" s="221"/>
      <c r="AH71" s="221"/>
      <c r="AI71" s="221"/>
      <c r="AJ71" s="221"/>
      <c r="AK71" s="221"/>
      <c r="AL71" s="221"/>
      <c r="AM71" s="221"/>
      <c r="AN71" s="221"/>
      <c r="AO71" s="221"/>
      <c r="AP71" s="221"/>
      <c r="AQ71" s="221"/>
      <c r="AR71" s="221"/>
      <c r="AS71" s="221"/>
      <c r="AT71" s="221">
        <f t="shared" si="30"/>
        <v>5947500</v>
      </c>
      <c r="AU71" s="224">
        <f t="shared" si="5"/>
        <v>47.963709677419352</v>
      </c>
      <c r="AV71" s="225">
        <f t="shared" si="6"/>
        <v>6452500</v>
      </c>
      <c r="AW71" s="224">
        <f t="shared" si="9"/>
        <v>52.036290322580648</v>
      </c>
      <c r="AX71" s="220" t="s">
        <v>542</v>
      </c>
      <c r="AY71" s="220" t="s">
        <v>543</v>
      </c>
      <c r="AZ71" s="220" t="s">
        <v>4729</v>
      </c>
      <c r="BA71" s="221"/>
      <c r="BB71" s="221">
        <v>986000</v>
      </c>
      <c r="BC71" s="300">
        <v>1890000</v>
      </c>
      <c r="BD71" s="221"/>
      <c r="BE71" s="221"/>
      <c r="BF71" s="221"/>
      <c r="BG71" s="221">
        <v>3071500</v>
      </c>
      <c r="BH71" s="221"/>
    </row>
    <row r="72" spans="2:60" x14ac:dyDescent="0.3">
      <c r="B72" s="288">
        <v>521219</v>
      </c>
      <c r="C72" s="220" t="s">
        <v>53</v>
      </c>
      <c r="D72" s="220"/>
      <c r="E72" s="220"/>
      <c r="F72" s="221">
        <v>0</v>
      </c>
      <c r="G72" s="221">
        <v>8000000</v>
      </c>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c r="AR72" s="221"/>
      <c r="AS72" s="221"/>
      <c r="AT72" s="221">
        <f t="shared" si="30"/>
        <v>0</v>
      </c>
      <c r="AU72" s="224">
        <f t="shared" si="5"/>
        <v>0</v>
      </c>
      <c r="AV72" s="225">
        <f t="shared" si="6"/>
        <v>0</v>
      </c>
      <c r="AW72" s="224" t="e">
        <f t="shared" si="9"/>
        <v>#DIV/0!</v>
      </c>
      <c r="AX72" s="220" t="s">
        <v>542</v>
      </c>
      <c r="AY72" s="220" t="s">
        <v>543</v>
      </c>
      <c r="AZ72" s="220" t="s">
        <v>4729</v>
      </c>
      <c r="BA72" s="221"/>
      <c r="BB72" s="221"/>
      <c r="BC72" s="300"/>
      <c r="BD72" s="221"/>
      <c r="BE72" s="221"/>
      <c r="BF72" s="221"/>
      <c r="BG72" s="221"/>
      <c r="BH72" s="221"/>
    </row>
    <row r="73" spans="2:60" x14ac:dyDescent="0.3">
      <c r="B73" s="288">
        <v>521811</v>
      </c>
      <c r="C73" s="220" t="s">
        <v>64</v>
      </c>
      <c r="D73" s="220"/>
      <c r="E73" s="220"/>
      <c r="F73" s="221">
        <v>10000000</v>
      </c>
      <c r="G73" s="221">
        <v>12000000</v>
      </c>
      <c r="H73" s="221"/>
      <c r="I73" s="221"/>
      <c r="J73" s="221"/>
      <c r="K73" s="221"/>
      <c r="L73" s="221"/>
      <c r="M73" s="221"/>
      <c r="N73" s="221"/>
      <c r="O73" s="221"/>
      <c r="P73" s="221"/>
      <c r="Q73" s="221"/>
      <c r="R73" s="221">
        <v>2450750</v>
      </c>
      <c r="S73" s="221"/>
      <c r="T73" s="221"/>
      <c r="U73" s="221"/>
      <c r="V73" s="221"/>
      <c r="W73" s="221"/>
      <c r="X73" s="221">
        <v>1929000</v>
      </c>
      <c r="Y73" s="221"/>
      <c r="Z73" s="221"/>
      <c r="AA73" s="221"/>
      <c r="AB73" s="221"/>
      <c r="AC73" s="221"/>
      <c r="AD73" s="221"/>
      <c r="AE73" s="221"/>
      <c r="AF73" s="221"/>
      <c r="AG73" s="221"/>
      <c r="AH73" s="221"/>
      <c r="AI73" s="221"/>
      <c r="AJ73" s="221"/>
      <c r="AK73" s="221"/>
      <c r="AL73" s="221"/>
      <c r="AM73" s="221"/>
      <c r="AN73" s="221"/>
      <c r="AO73" s="221"/>
      <c r="AP73" s="221"/>
      <c r="AQ73" s="221"/>
      <c r="AR73" s="221"/>
      <c r="AS73" s="221"/>
      <c r="AT73" s="221">
        <f t="shared" si="30"/>
        <v>4379750</v>
      </c>
      <c r="AU73" s="224">
        <f t="shared" si="5"/>
        <v>43.797499999999999</v>
      </c>
      <c r="AV73" s="225">
        <f>F73-AT73</f>
        <v>5620250</v>
      </c>
      <c r="AW73" s="224">
        <f t="shared" si="9"/>
        <v>56.202500000000001</v>
      </c>
      <c r="AX73" s="220" t="s">
        <v>542</v>
      </c>
      <c r="AY73" s="220" t="s">
        <v>543</v>
      </c>
      <c r="AZ73" s="220" t="s">
        <v>4729</v>
      </c>
      <c r="BA73" s="221"/>
      <c r="BB73" s="221">
        <v>2450750</v>
      </c>
      <c r="BC73" s="300"/>
      <c r="BD73" s="221"/>
      <c r="BE73" s="221"/>
      <c r="BF73" s="221"/>
      <c r="BG73" s="221">
        <v>1929000</v>
      </c>
      <c r="BH73" s="221"/>
    </row>
    <row r="74" spans="2:60" x14ac:dyDescent="0.3">
      <c r="B74" s="288">
        <v>522151</v>
      </c>
      <c r="C74" s="220" t="s">
        <v>11</v>
      </c>
      <c r="D74" s="220"/>
      <c r="E74" s="220"/>
      <c r="F74" s="221">
        <v>0</v>
      </c>
      <c r="G74" s="221">
        <v>4000000</v>
      </c>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c r="AR74" s="221"/>
      <c r="AS74" s="221"/>
      <c r="AT74" s="221">
        <f t="shared" si="30"/>
        <v>0</v>
      </c>
      <c r="AU74" s="224">
        <f t="shared" si="5"/>
        <v>0</v>
      </c>
      <c r="AV74" s="225">
        <f t="shared" si="6"/>
        <v>0</v>
      </c>
      <c r="AW74" s="224" t="e">
        <f t="shared" si="9"/>
        <v>#DIV/0!</v>
      </c>
      <c r="AX74" s="220" t="s">
        <v>542</v>
      </c>
      <c r="AY74" s="220" t="s">
        <v>543</v>
      </c>
      <c r="AZ74" s="220" t="s">
        <v>4729</v>
      </c>
      <c r="BA74" s="221"/>
      <c r="BB74" s="221"/>
      <c r="BC74" s="300"/>
      <c r="BD74" s="221"/>
      <c r="BE74" s="221"/>
      <c r="BF74" s="221"/>
      <c r="BG74" s="221"/>
      <c r="BH74" s="221"/>
    </row>
    <row r="75" spans="2:60" x14ac:dyDescent="0.3">
      <c r="B75" s="288">
        <v>524111</v>
      </c>
      <c r="C75" s="220" t="s">
        <v>19</v>
      </c>
      <c r="D75" s="220"/>
      <c r="E75" s="220"/>
      <c r="F75" s="221">
        <v>90946000</v>
      </c>
      <c r="G75" s="221">
        <v>115380000</v>
      </c>
      <c r="H75" s="221"/>
      <c r="I75" s="221"/>
      <c r="J75" s="221"/>
      <c r="K75" s="221"/>
      <c r="L75" s="221"/>
      <c r="M75" s="221"/>
      <c r="N75" s="221"/>
      <c r="O75" s="221"/>
      <c r="P75" s="221"/>
      <c r="Q75" s="221"/>
      <c r="R75" s="221"/>
      <c r="S75" s="221">
        <v>3570000</v>
      </c>
      <c r="T75" s="221"/>
      <c r="U75" s="221"/>
      <c r="V75" s="221">
        <v>10960600</v>
      </c>
      <c r="W75" s="221"/>
      <c r="X75" s="221"/>
      <c r="Y75" s="221">
        <v>3840000</v>
      </c>
      <c r="Z75" s="221"/>
      <c r="AA75" s="221"/>
      <c r="AB75" s="221"/>
      <c r="AC75" s="221"/>
      <c r="AD75" s="221"/>
      <c r="AE75" s="221"/>
      <c r="AF75" s="221"/>
      <c r="AG75" s="221"/>
      <c r="AH75" s="221"/>
      <c r="AI75" s="221"/>
      <c r="AJ75" s="221"/>
      <c r="AK75" s="221"/>
      <c r="AL75" s="221"/>
      <c r="AM75" s="221"/>
      <c r="AN75" s="221"/>
      <c r="AO75" s="221"/>
      <c r="AP75" s="221"/>
      <c r="AQ75" s="221"/>
      <c r="AR75" s="221"/>
      <c r="AS75" s="221"/>
      <c r="AT75" s="221">
        <f t="shared" si="30"/>
        <v>18370600</v>
      </c>
      <c r="AU75" s="224">
        <f t="shared" si="5"/>
        <v>20.199459019638027</v>
      </c>
      <c r="AV75" s="225">
        <f t="shared" si="6"/>
        <v>72575400</v>
      </c>
      <c r="AW75" s="224">
        <f t="shared" si="9"/>
        <v>79.800540980361973</v>
      </c>
      <c r="AX75" s="220" t="s">
        <v>542</v>
      </c>
      <c r="AY75" s="220" t="s">
        <v>543</v>
      </c>
      <c r="AZ75" s="220" t="s">
        <v>4729</v>
      </c>
      <c r="BA75" s="221"/>
      <c r="BB75" s="221"/>
      <c r="BC75" s="300"/>
      <c r="BD75" s="221"/>
      <c r="BE75" s="221"/>
      <c r="BF75" s="221"/>
      <c r="BG75" s="221"/>
      <c r="BH75" s="221"/>
    </row>
    <row r="76" spans="2:60" x14ac:dyDescent="0.3">
      <c r="B76" s="226" t="s">
        <v>3855</v>
      </c>
      <c r="C76" s="227" t="s">
        <v>1270</v>
      </c>
      <c r="D76" s="227">
        <v>1</v>
      </c>
      <c r="E76" s="227" t="s">
        <v>3740</v>
      </c>
      <c r="F76" s="228">
        <f t="shared" ref="F76:AS76" si="107">F77</f>
        <v>881810000</v>
      </c>
      <c r="G76" s="228">
        <f t="shared" si="107"/>
        <v>2736502000</v>
      </c>
      <c r="H76" s="228">
        <f t="shared" si="107"/>
        <v>0</v>
      </c>
      <c r="I76" s="228"/>
      <c r="J76" s="228">
        <f t="shared" si="107"/>
        <v>0</v>
      </c>
      <c r="K76" s="228">
        <f t="shared" si="107"/>
        <v>0</v>
      </c>
      <c r="L76" s="228">
        <f t="shared" si="107"/>
        <v>0</v>
      </c>
      <c r="M76" s="228">
        <f t="shared" si="107"/>
        <v>0</v>
      </c>
      <c r="N76" s="228">
        <f t="shared" si="107"/>
        <v>0</v>
      </c>
      <c r="O76" s="228">
        <f t="shared" si="107"/>
        <v>0</v>
      </c>
      <c r="P76" s="228">
        <f t="shared" si="107"/>
        <v>0</v>
      </c>
      <c r="Q76" s="228">
        <f t="shared" si="107"/>
        <v>85679153</v>
      </c>
      <c r="R76" s="228">
        <f t="shared" si="107"/>
        <v>142958644</v>
      </c>
      <c r="S76" s="228">
        <f t="shared" si="107"/>
        <v>54042998</v>
      </c>
      <c r="T76" s="228">
        <f t="shared" si="107"/>
        <v>40187000</v>
      </c>
      <c r="U76" s="228">
        <f t="shared" si="107"/>
        <v>0</v>
      </c>
      <c r="V76" s="228">
        <f t="shared" si="107"/>
        <v>19414000</v>
      </c>
      <c r="W76" s="228">
        <f t="shared" si="107"/>
        <v>42454302</v>
      </c>
      <c r="X76" s="228">
        <f t="shared" si="107"/>
        <v>110921043</v>
      </c>
      <c r="Y76" s="228">
        <f t="shared" si="107"/>
        <v>35886027</v>
      </c>
      <c r="Z76" s="228">
        <f t="shared" si="107"/>
        <v>0</v>
      </c>
      <c r="AA76" s="228">
        <f t="shared" si="107"/>
        <v>0</v>
      </c>
      <c r="AB76" s="228">
        <f t="shared" si="107"/>
        <v>0</v>
      </c>
      <c r="AC76" s="228">
        <f t="shared" si="107"/>
        <v>0</v>
      </c>
      <c r="AD76" s="228">
        <f t="shared" si="107"/>
        <v>0</v>
      </c>
      <c r="AE76" s="228">
        <f t="shared" si="107"/>
        <v>0</v>
      </c>
      <c r="AF76" s="228">
        <f t="shared" si="107"/>
        <v>0</v>
      </c>
      <c r="AG76" s="228">
        <f t="shared" si="107"/>
        <v>0</v>
      </c>
      <c r="AH76" s="228">
        <f t="shared" si="107"/>
        <v>0</v>
      </c>
      <c r="AI76" s="228">
        <f t="shared" si="107"/>
        <v>0</v>
      </c>
      <c r="AJ76" s="228">
        <f t="shared" si="107"/>
        <v>0</v>
      </c>
      <c r="AK76" s="228">
        <f t="shared" si="107"/>
        <v>0</v>
      </c>
      <c r="AL76" s="228">
        <f t="shared" si="107"/>
        <v>0</v>
      </c>
      <c r="AM76" s="228">
        <f t="shared" si="107"/>
        <v>0</v>
      </c>
      <c r="AN76" s="228">
        <f t="shared" si="107"/>
        <v>0</v>
      </c>
      <c r="AO76" s="228">
        <f t="shared" si="107"/>
        <v>0</v>
      </c>
      <c r="AP76" s="228">
        <f t="shared" si="107"/>
        <v>0</v>
      </c>
      <c r="AQ76" s="228">
        <f t="shared" si="107"/>
        <v>0</v>
      </c>
      <c r="AR76" s="228">
        <f t="shared" si="107"/>
        <v>0</v>
      </c>
      <c r="AS76" s="228">
        <f t="shared" si="107"/>
        <v>0</v>
      </c>
      <c r="AT76" s="228">
        <f t="shared" si="30"/>
        <v>531543167</v>
      </c>
      <c r="AU76" s="229">
        <f t="shared" si="5"/>
        <v>60.278650389539699</v>
      </c>
      <c r="AV76" s="230">
        <f t="shared" si="6"/>
        <v>350266833</v>
      </c>
      <c r="AW76" s="229">
        <f t="shared" si="9"/>
        <v>39.721349610460308</v>
      </c>
      <c r="AX76" s="220"/>
      <c r="AY76" s="220"/>
      <c r="AZ76" s="220" t="s">
        <v>4729</v>
      </c>
      <c r="BA76" s="228">
        <f t="shared" ref="BA76:BH76" si="108">BA77</f>
        <v>59308000</v>
      </c>
      <c r="BB76" s="228">
        <f t="shared" si="108"/>
        <v>142958644</v>
      </c>
      <c r="BC76" s="228">
        <f t="shared" si="108"/>
        <v>26371153</v>
      </c>
      <c r="BD76" s="228">
        <f t="shared" si="108"/>
        <v>40187000</v>
      </c>
      <c r="BE76" s="228">
        <f t="shared" si="108"/>
        <v>18988905</v>
      </c>
      <c r="BF76" s="228">
        <f t="shared" si="108"/>
        <v>23465397</v>
      </c>
      <c r="BG76" s="228">
        <f t="shared" si="108"/>
        <v>110921043</v>
      </c>
      <c r="BH76" s="228">
        <f t="shared" si="108"/>
        <v>0</v>
      </c>
    </row>
    <row r="77" spans="2:60" x14ac:dyDescent="0.3">
      <c r="B77" s="226">
        <v>301</v>
      </c>
      <c r="C77" s="227" t="s">
        <v>1389</v>
      </c>
      <c r="D77" s="227"/>
      <c r="E77" s="227"/>
      <c r="F77" s="228">
        <f t="shared" ref="F77:AS77" si="109">F78+F82+F86+F91+F95+F102+F108+F113+F118</f>
        <v>881810000</v>
      </c>
      <c r="G77" s="228">
        <f t="shared" ref="G77:H77" si="110">G78+G82+G86+G91+G95+G102+G108+G113+G118</f>
        <v>2736502000</v>
      </c>
      <c r="H77" s="228">
        <f t="shared" si="110"/>
        <v>0</v>
      </c>
      <c r="I77" s="228"/>
      <c r="J77" s="228">
        <f t="shared" si="109"/>
        <v>0</v>
      </c>
      <c r="K77" s="228">
        <f t="shared" si="109"/>
        <v>0</v>
      </c>
      <c r="L77" s="228">
        <f t="shared" si="109"/>
        <v>0</v>
      </c>
      <c r="M77" s="228">
        <f t="shared" si="109"/>
        <v>0</v>
      </c>
      <c r="N77" s="228">
        <f t="shared" si="109"/>
        <v>0</v>
      </c>
      <c r="O77" s="228">
        <f t="shared" si="109"/>
        <v>0</v>
      </c>
      <c r="P77" s="228">
        <f t="shared" si="109"/>
        <v>0</v>
      </c>
      <c r="Q77" s="228">
        <f t="shared" si="109"/>
        <v>85679153</v>
      </c>
      <c r="R77" s="228">
        <f t="shared" si="109"/>
        <v>142958644</v>
      </c>
      <c r="S77" s="228">
        <f t="shared" si="109"/>
        <v>54042998</v>
      </c>
      <c r="T77" s="228">
        <f t="shared" si="109"/>
        <v>40187000</v>
      </c>
      <c r="U77" s="228">
        <f t="shared" si="109"/>
        <v>0</v>
      </c>
      <c r="V77" s="228">
        <f t="shared" si="109"/>
        <v>19414000</v>
      </c>
      <c r="W77" s="228">
        <f t="shared" si="109"/>
        <v>42454302</v>
      </c>
      <c r="X77" s="228">
        <f t="shared" si="109"/>
        <v>110921043</v>
      </c>
      <c r="Y77" s="228">
        <f t="shared" si="109"/>
        <v>35886027</v>
      </c>
      <c r="Z77" s="228">
        <f t="shared" si="109"/>
        <v>0</v>
      </c>
      <c r="AA77" s="228">
        <f t="shared" si="109"/>
        <v>0</v>
      </c>
      <c r="AB77" s="228">
        <f t="shared" si="109"/>
        <v>0</v>
      </c>
      <c r="AC77" s="228">
        <f t="shared" si="109"/>
        <v>0</v>
      </c>
      <c r="AD77" s="228">
        <f t="shared" si="109"/>
        <v>0</v>
      </c>
      <c r="AE77" s="228">
        <f t="shared" si="109"/>
        <v>0</v>
      </c>
      <c r="AF77" s="228">
        <f t="shared" si="109"/>
        <v>0</v>
      </c>
      <c r="AG77" s="228">
        <f t="shared" si="109"/>
        <v>0</v>
      </c>
      <c r="AH77" s="228">
        <f t="shared" si="109"/>
        <v>0</v>
      </c>
      <c r="AI77" s="228">
        <f t="shared" si="109"/>
        <v>0</v>
      </c>
      <c r="AJ77" s="228">
        <f t="shared" si="109"/>
        <v>0</v>
      </c>
      <c r="AK77" s="228">
        <f t="shared" si="109"/>
        <v>0</v>
      </c>
      <c r="AL77" s="228">
        <f t="shared" si="109"/>
        <v>0</v>
      </c>
      <c r="AM77" s="228">
        <f t="shared" si="109"/>
        <v>0</v>
      </c>
      <c r="AN77" s="228">
        <f t="shared" si="109"/>
        <v>0</v>
      </c>
      <c r="AO77" s="228">
        <f t="shared" si="109"/>
        <v>0</v>
      </c>
      <c r="AP77" s="228">
        <f t="shared" si="109"/>
        <v>0</v>
      </c>
      <c r="AQ77" s="228">
        <f t="shared" si="109"/>
        <v>0</v>
      </c>
      <c r="AR77" s="228">
        <f t="shared" si="109"/>
        <v>0</v>
      </c>
      <c r="AS77" s="228">
        <f t="shared" si="109"/>
        <v>0</v>
      </c>
      <c r="AT77" s="228">
        <f t="shared" si="30"/>
        <v>531543167</v>
      </c>
      <c r="AU77" s="229">
        <f t="shared" si="5"/>
        <v>60.278650389539699</v>
      </c>
      <c r="AV77" s="230">
        <f t="shared" si="6"/>
        <v>350266833</v>
      </c>
      <c r="AW77" s="229">
        <f t="shared" si="9"/>
        <v>39.721349610460308</v>
      </c>
      <c r="AX77" s="220"/>
      <c r="AY77" s="220"/>
      <c r="AZ77" s="220" t="s">
        <v>4729</v>
      </c>
      <c r="BA77" s="228">
        <f>BA78+BA82+BA86+BA91+BA95+BA102+BA108+BA113+BA118</f>
        <v>59308000</v>
      </c>
      <c r="BB77" s="228">
        <f>BB78+BB82+BB86+BB91+BB95+BB102+BB108+BB113+BB118</f>
        <v>142958644</v>
      </c>
      <c r="BC77" s="228">
        <f>BC78+BC82+BC86+BC91+BC95+BC102+BC108+BC113+BC118</f>
        <v>26371153</v>
      </c>
      <c r="BD77" s="228">
        <f>BD78+BD82+BD86+BD91+BD95+BD102+BD108+BD113+BD118</f>
        <v>40187000</v>
      </c>
      <c r="BE77" s="228">
        <f t="shared" ref="BE77" si="111">BE78+BE82+BE86+BE91+BE95+BE102+BE108+BE113+BE118</f>
        <v>18988905</v>
      </c>
      <c r="BF77" s="228">
        <f t="shared" ref="BF77:BG77" si="112">BF78+BF82+BF86+BF91+BF95+BF102+BF108+BF113+BF118</f>
        <v>23465397</v>
      </c>
      <c r="BG77" s="228">
        <f t="shared" si="112"/>
        <v>110921043</v>
      </c>
      <c r="BH77" s="228">
        <f t="shared" ref="BH77" si="113">BH78+BH82+BH86+BH91+BH95+BH102+BH108+BH113+BH118</f>
        <v>0</v>
      </c>
    </row>
    <row r="78" spans="2:60" x14ac:dyDescent="0.3">
      <c r="B78" s="290" t="s">
        <v>8</v>
      </c>
      <c r="C78" s="222" t="s">
        <v>148</v>
      </c>
      <c r="D78" s="222"/>
      <c r="E78" s="222"/>
      <c r="F78" s="223">
        <f t="shared" ref="F78:G78" si="114">SUM(F79:F81)</f>
        <v>18739000</v>
      </c>
      <c r="G78" s="223">
        <f t="shared" si="114"/>
        <v>51100000</v>
      </c>
      <c r="H78" s="223">
        <f t="shared" ref="H78" si="115">SUM(H79:H81)</f>
        <v>0</v>
      </c>
      <c r="I78" s="223"/>
      <c r="J78" s="223">
        <f t="shared" ref="J78:AS78" si="116">SUM(J79:J81)</f>
        <v>0</v>
      </c>
      <c r="K78" s="223">
        <f t="shared" si="116"/>
        <v>0</v>
      </c>
      <c r="L78" s="223">
        <f t="shared" si="116"/>
        <v>0</v>
      </c>
      <c r="M78" s="223">
        <f t="shared" si="116"/>
        <v>0</v>
      </c>
      <c r="N78" s="223">
        <f t="shared" si="116"/>
        <v>0</v>
      </c>
      <c r="O78" s="223">
        <f t="shared" si="116"/>
        <v>0</v>
      </c>
      <c r="P78" s="223">
        <f t="shared" si="116"/>
        <v>0</v>
      </c>
      <c r="Q78" s="223">
        <f t="shared" si="116"/>
        <v>3135000</v>
      </c>
      <c r="R78" s="223">
        <f t="shared" si="116"/>
        <v>5948800</v>
      </c>
      <c r="S78" s="223">
        <f t="shared" si="116"/>
        <v>0</v>
      </c>
      <c r="T78" s="223">
        <f t="shared" si="116"/>
        <v>3960000</v>
      </c>
      <c r="U78" s="223">
        <f t="shared" si="116"/>
        <v>0</v>
      </c>
      <c r="V78" s="223">
        <f t="shared" si="116"/>
        <v>0</v>
      </c>
      <c r="W78" s="223">
        <f t="shared" si="116"/>
        <v>3043500</v>
      </c>
      <c r="X78" s="223">
        <f t="shared" si="116"/>
        <v>0</v>
      </c>
      <c r="Y78" s="223">
        <f t="shared" si="116"/>
        <v>0</v>
      </c>
      <c r="Z78" s="223">
        <f t="shared" si="116"/>
        <v>0</v>
      </c>
      <c r="AA78" s="223">
        <f t="shared" si="116"/>
        <v>0</v>
      </c>
      <c r="AB78" s="223">
        <f t="shared" si="116"/>
        <v>0</v>
      </c>
      <c r="AC78" s="223">
        <f t="shared" si="116"/>
        <v>0</v>
      </c>
      <c r="AD78" s="223">
        <f t="shared" si="116"/>
        <v>0</v>
      </c>
      <c r="AE78" s="223">
        <f t="shared" si="116"/>
        <v>0</v>
      </c>
      <c r="AF78" s="223">
        <f t="shared" si="116"/>
        <v>0</v>
      </c>
      <c r="AG78" s="223">
        <f t="shared" si="116"/>
        <v>0</v>
      </c>
      <c r="AH78" s="223">
        <f t="shared" si="116"/>
        <v>0</v>
      </c>
      <c r="AI78" s="223">
        <f t="shared" si="116"/>
        <v>0</v>
      </c>
      <c r="AJ78" s="223">
        <f t="shared" si="116"/>
        <v>0</v>
      </c>
      <c r="AK78" s="223">
        <f t="shared" si="116"/>
        <v>0</v>
      </c>
      <c r="AL78" s="223">
        <f t="shared" si="116"/>
        <v>0</v>
      </c>
      <c r="AM78" s="223">
        <f t="shared" si="116"/>
        <v>0</v>
      </c>
      <c r="AN78" s="223">
        <f t="shared" si="116"/>
        <v>0</v>
      </c>
      <c r="AO78" s="223">
        <f t="shared" si="116"/>
        <v>0</v>
      </c>
      <c r="AP78" s="223">
        <f t="shared" si="116"/>
        <v>0</v>
      </c>
      <c r="AQ78" s="223">
        <f t="shared" si="116"/>
        <v>0</v>
      </c>
      <c r="AR78" s="223">
        <f t="shared" si="116"/>
        <v>0</v>
      </c>
      <c r="AS78" s="223">
        <f t="shared" si="116"/>
        <v>0</v>
      </c>
      <c r="AT78" s="223">
        <f t="shared" si="30"/>
        <v>16087300</v>
      </c>
      <c r="AU78" s="231">
        <f t="shared" si="5"/>
        <v>85.849298254976247</v>
      </c>
      <c r="AV78" s="232">
        <f t="shared" si="6"/>
        <v>2651700</v>
      </c>
      <c r="AW78" s="231">
        <f t="shared" si="9"/>
        <v>14.150701745023747</v>
      </c>
      <c r="AX78" s="220" t="s">
        <v>576</v>
      </c>
      <c r="AY78" s="220" t="s">
        <v>560</v>
      </c>
      <c r="AZ78" s="220" t="s">
        <v>4729</v>
      </c>
      <c r="BA78" s="223">
        <f t="shared" ref="BA78" si="117">SUM(BA79:BA81)</f>
        <v>3135000</v>
      </c>
      <c r="BB78" s="223">
        <f t="shared" ref="BB78:BC78" si="118">SUM(BB79:BB81)</f>
        <v>5948800</v>
      </c>
      <c r="BC78" s="223">
        <f t="shared" si="118"/>
        <v>0</v>
      </c>
      <c r="BD78" s="223">
        <f t="shared" ref="BD78" si="119">SUM(BD79:BD81)</f>
        <v>3960000</v>
      </c>
      <c r="BE78" s="223">
        <f t="shared" ref="BE78" si="120">SUM(BE79:BE81)</f>
        <v>0</v>
      </c>
      <c r="BF78" s="223">
        <f t="shared" ref="BF78:BG78" si="121">SUM(BF79:BF81)</f>
        <v>3043500</v>
      </c>
      <c r="BG78" s="223">
        <f t="shared" si="121"/>
        <v>0</v>
      </c>
      <c r="BH78" s="223">
        <f t="shared" ref="BH78" si="122">SUM(BH79:BH81)</f>
        <v>0</v>
      </c>
    </row>
    <row r="79" spans="2:60" x14ac:dyDescent="0.3">
      <c r="B79" s="288">
        <v>521211</v>
      </c>
      <c r="C79" s="220" t="s">
        <v>7</v>
      </c>
      <c r="D79" s="220"/>
      <c r="E79" s="220"/>
      <c r="F79" s="221">
        <v>5000000</v>
      </c>
      <c r="G79" s="221">
        <v>22000000</v>
      </c>
      <c r="H79" s="221"/>
      <c r="I79" s="221"/>
      <c r="J79" s="221"/>
      <c r="K79" s="221"/>
      <c r="L79" s="221"/>
      <c r="M79" s="221"/>
      <c r="N79" s="221"/>
      <c r="O79" s="221"/>
      <c r="P79" s="221"/>
      <c r="Q79" s="221"/>
      <c r="R79" s="221">
        <v>3998800</v>
      </c>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c r="AR79" s="221"/>
      <c r="AS79" s="221"/>
      <c r="AT79" s="221">
        <f t="shared" ref="AT79:AT127" si="123">SUM(J79:AS79)</f>
        <v>3998800</v>
      </c>
      <c r="AU79" s="224">
        <f t="shared" ref="AU79:AU142" si="124">IFERROR(AT79/F79*100,0)</f>
        <v>79.975999999999999</v>
      </c>
      <c r="AV79" s="225">
        <f t="shared" ref="AV79:AV122" si="125">F79-AT79</f>
        <v>1001200</v>
      </c>
      <c r="AW79" s="224">
        <f t="shared" ref="AW79:AW127" si="126">AV79/F79*100</f>
        <v>20.024000000000001</v>
      </c>
      <c r="AX79" s="220" t="s">
        <v>576</v>
      </c>
      <c r="AY79" s="220" t="s">
        <v>560</v>
      </c>
      <c r="AZ79" s="220" t="s">
        <v>4729</v>
      </c>
      <c r="BA79" s="221"/>
      <c r="BB79" s="221">
        <v>3998800</v>
      </c>
      <c r="BC79" s="300"/>
      <c r="BD79" s="221"/>
      <c r="BE79" s="221"/>
      <c r="BF79" s="221"/>
      <c r="BG79" s="221"/>
      <c r="BH79" s="221"/>
    </row>
    <row r="80" spans="2:60" x14ac:dyDescent="0.3">
      <c r="B80" s="288">
        <v>524111</v>
      </c>
      <c r="C80" s="220" t="s">
        <v>19</v>
      </c>
      <c r="D80" s="220"/>
      <c r="E80" s="220"/>
      <c r="F80" s="221">
        <v>12989000</v>
      </c>
      <c r="G80" s="221">
        <v>27000000</v>
      </c>
      <c r="H80" s="221"/>
      <c r="I80" s="221"/>
      <c r="J80" s="221"/>
      <c r="K80" s="221"/>
      <c r="L80" s="221"/>
      <c r="M80" s="221"/>
      <c r="N80" s="221"/>
      <c r="O80" s="221"/>
      <c r="P80" s="221"/>
      <c r="Q80" s="221">
        <v>2685000</v>
      </c>
      <c r="R80" s="221">
        <v>1650000</v>
      </c>
      <c r="S80" s="221"/>
      <c r="T80" s="221">
        <v>3960000</v>
      </c>
      <c r="U80" s="221"/>
      <c r="V80" s="221"/>
      <c r="W80" s="221">
        <v>3043500</v>
      </c>
      <c r="X80" s="221"/>
      <c r="Y80" s="221"/>
      <c r="Z80" s="221"/>
      <c r="AA80" s="221"/>
      <c r="AB80" s="221"/>
      <c r="AC80" s="221"/>
      <c r="AD80" s="221"/>
      <c r="AE80" s="221"/>
      <c r="AF80" s="221"/>
      <c r="AG80" s="221"/>
      <c r="AH80" s="221"/>
      <c r="AI80" s="221"/>
      <c r="AJ80" s="221"/>
      <c r="AK80" s="221"/>
      <c r="AL80" s="221"/>
      <c r="AM80" s="221"/>
      <c r="AN80" s="221"/>
      <c r="AO80" s="221"/>
      <c r="AP80" s="221"/>
      <c r="AQ80" s="221"/>
      <c r="AR80" s="221"/>
      <c r="AS80" s="221"/>
      <c r="AT80" s="221">
        <f t="shared" si="123"/>
        <v>11338500</v>
      </c>
      <c r="AU80" s="224">
        <f t="shared" si="124"/>
        <v>87.293094156594037</v>
      </c>
      <c r="AV80" s="225">
        <f t="shared" si="125"/>
        <v>1650500</v>
      </c>
      <c r="AW80" s="224">
        <f t="shared" si="126"/>
        <v>12.706905843405957</v>
      </c>
      <c r="AX80" s="220" t="s">
        <v>576</v>
      </c>
      <c r="AY80" s="220" t="s">
        <v>560</v>
      </c>
      <c r="AZ80" s="220" t="s">
        <v>4729</v>
      </c>
      <c r="BA80" s="221">
        <v>2685000</v>
      </c>
      <c r="BB80" s="221">
        <v>1650000</v>
      </c>
      <c r="BC80" s="300"/>
      <c r="BD80" s="221">
        <v>3960000</v>
      </c>
      <c r="BE80" s="221"/>
      <c r="BF80" s="221">
        <v>3043500</v>
      </c>
      <c r="BG80" s="221"/>
      <c r="BH80" s="221"/>
    </row>
    <row r="81" spans="2:62" x14ac:dyDescent="0.3">
      <c r="B81" s="288">
        <v>524113</v>
      </c>
      <c r="C81" s="220" t="s">
        <v>13</v>
      </c>
      <c r="D81" s="220"/>
      <c r="E81" s="220"/>
      <c r="F81" s="221">
        <v>750000</v>
      </c>
      <c r="G81" s="221">
        <v>2100000</v>
      </c>
      <c r="H81" s="221"/>
      <c r="I81" s="221"/>
      <c r="J81" s="221"/>
      <c r="K81" s="221"/>
      <c r="L81" s="221"/>
      <c r="M81" s="221"/>
      <c r="N81" s="221"/>
      <c r="O81" s="221"/>
      <c r="P81" s="221"/>
      <c r="Q81" s="221">
        <v>450000</v>
      </c>
      <c r="R81" s="221">
        <v>300000</v>
      </c>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c r="AR81" s="221"/>
      <c r="AS81" s="221"/>
      <c r="AT81" s="221">
        <f t="shared" si="123"/>
        <v>750000</v>
      </c>
      <c r="AU81" s="224">
        <f t="shared" si="124"/>
        <v>100</v>
      </c>
      <c r="AV81" s="225">
        <f t="shared" si="125"/>
        <v>0</v>
      </c>
      <c r="AW81" s="224">
        <f t="shared" si="126"/>
        <v>0</v>
      </c>
      <c r="AX81" s="220" t="s">
        <v>576</v>
      </c>
      <c r="AY81" s="220" t="s">
        <v>560</v>
      </c>
      <c r="AZ81" s="220" t="s">
        <v>4729</v>
      </c>
      <c r="BA81" s="221">
        <v>450000</v>
      </c>
      <c r="BB81" s="221">
        <v>300000</v>
      </c>
      <c r="BC81" s="300"/>
      <c r="BD81" s="221"/>
      <c r="BE81" s="221"/>
      <c r="BF81" s="221"/>
      <c r="BG81" s="221"/>
      <c r="BH81" s="221"/>
    </row>
    <row r="82" spans="2:62" x14ac:dyDescent="0.3">
      <c r="B82" s="290" t="s">
        <v>511</v>
      </c>
      <c r="C82" s="222" t="s">
        <v>150</v>
      </c>
      <c r="D82" s="222"/>
      <c r="E82" s="222"/>
      <c r="F82" s="223">
        <f t="shared" ref="F82:AS82" si="127">SUM(F83:F85)</f>
        <v>385665000</v>
      </c>
      <c r="G82" s="223">
        <f t="shared" ref="G82:H82" si="128">SUM(G83:G85)</f>
        <v>548180000</v>
      </c>
      <c r="H82" s="223">
        <f t="shared" si="128"/>
        <v>0</v>
      </c>
      <c r="I82" s="223"/>
      <c r="J82" s="223">
        <f t="shared" si="127"/>
        <v>0</v>
      </c>
      <c r="K82" s="223">
        <f t="shared" si="127"/>
        <v>0</v>
      </c>
      <c r="L82" s="223">
        <f t="shared" si="127"/>
        <v>0</v>
      </c>
      <c r="M82" s="223">
        <f t="shared" si="127"/>
        <v>0</v>
      </c>
      <c r="N82" s="223">
        <f t="shared" si="127"/>
        <v>0</v>
      </c>
      <c r="O82" s="223">
        <f t="shared" si="127"/>
        <v>0</v>
      </c>
      <c r="P82" s="223">
        <f t="shared" si="127"/>
        <v>0</v>
      </c>
      <c r="Q82" s="223">
        <f t="shared" si="127"/>
        <v>49559600</v>
      </c>
      <c r="R82" s="223">
        <f t="shared" si="127"/>
        <v>23771900</v>
      </c>
      <c r="S82" s="223">
        <f t="shared" si="127"/>
        <v>34977460</v>
      </c>
      <c r="T82" s="223">
        <f t="shared" si="127"/>
        <v>31588000</v>
      </c>
      <c r="U82" s="223">
        <f t="shared" si="127"/>
        <v>0</v>
      </c>
      <c r="V82" s="223">
        <f t="shared" si="127"/>
        <v>0</v>
      </c>
      <c r="W82" s="223">
        <f t="shared" si="127"/>
        <v>14558751</v>
      </c>
      <c r="X82" s="223">
        <f t="shared" si="127"/>
        <v>13125750</v>
      </c>
      <c r="Y82" s="223">
        <f t="shared" si="127"/>
        <v>0</v>
      </c>
      <c r="Z82" s="223">
        <f t="shared" si="127"/>
        <v>0</v>
      </c>
      <c r="AA82" s="223">
        <f t="shared" si="127"/>
        <v>0</v>
      </c>
      <c r="AB82" s="223">
        <f t="shared" si="127"/>
        <v>0</v>
      </c>
      <c r="AC82" s="223">
        <f t="shared" si="127"/>
        <v>0</v>
      </c>
      <c r="AD82" s="223">
        <f t="shared" si="127"/>
        <v>0</v>
      </c>
      <c r="AE82" s="223">
        <f t="shared" si="127"/>
        <v>0</v>
      </c>
      <c r="AF82" s="223">
        <f t="shared" si="127"/>
        <v>0</v>
      </c>
      <c r="AG82" s="223">
        <f t="shared" si="127"/>
        <v>0</v>
      </c>
      <c r="AH82" s="223">
        <f t="shared" si="127"/>
        <v>0</v>
      </c>
      <c r="AI82" s="223">
        <f t="shared" si="127"/>
        <v>0</v>
      </c>
      <c r="AJ82" s="223">
        <f t="shared" si="127"/>
        <v>0</v>
      </c>
      <c r="AK82" s="223">
        <f t="shared" si="127"/>
        <v>0</v>
      </c>
      <c r="AL82" s="223">
        <f t="shared" si="127"/>
        <v>0</v>
      </c>
      <c r="AM82" s="223">
        <f t="shared" si="127"/>
        <v>0</v>
      </c>
      <c r="AN82" s="223">
        <f t="shared" si="127"/>
        <v>0</v>
      </c>
      <c r="AO82" s="223">
        <f t="shared" si="127"/>
        <v>0</v>
      </c>
      <c r="AP82" s="223">
        <f t="shared" si="127"/>
        <v>0</v>
      </c>
      <c r="AQ82" s="223">
        <f t="shared" si="127"/>
        <v>0</v>
      </c>
      <c r="AR82" s="223">
        <f t="shared" si="127"/>
        <v>0</v>
      </c>
      <c r="AS82" s="223">
        <f t="shared" si="127"/>
        <v>0</v>
      </c>
      <c r="AT82" s="223">
        <f t="shared" si="123"/>
        <v>167581461</v>
      </c>
      <c r="AU82" s="231">
        <f t="shared" si="124"/>
        <v>43.452597720819881</v>
      </c>
      <c r="AV82" s="232">
        <f t="shared" si="125"/>
        <v>218083539</v>
      </c>
      <c r="AW82" s="231">
        <f t="shared" si="126"/>
        <v>56.547402279180112</v>
      </c>
      <c r="AX82" s="220" t="s">
        <v>576</v>
      </c>
      <c r="AY82" s="220" t="s">
        <v>560</v>
      </c>
      <c r="AZ82" s="220" t="s">
        <v>4729</v>
      </c>
      <c r="BA82" s="223">
        <f>SUM(BA83:BA85)</f>
        <v>49105600</v>
      </c>
      <c r="BB82" s="223">
        <f>SUM(BB83:BB85)</f>
        <v>23771900</v>
      </c>
      <c r="BC82" s="223">
        <f>SUM(BC83:BC85)</f>
        <v>454000</v>
      </c>
      <c r="BD82" s="223">
        <f>SUM(BD83:BD85)</f>
        <v>31588000</v>
      </c>
      <c r="BE82" s="223">
        <f t="shared" ref="BE82" si="129">SUM(BE83:BE85)</f>
        <v>10477701</v>
      </c>
      <c r="BF82" s="223">
        <f t="shared" ref="BF82:BG82" si="130">SUM(BF83:BF85)</f>
        <v>4081050</v>
      </c>
      <c r="BG82" s="223">
        <f t="shared" si="130"/>
        <v>13125750</v>
      </c>
      <c r="BH82" s="223">
        <f t="shared" ref="BH82" si="131">SUM(BH83:BH85)</f>
        <v>0</v>
      </c>
    </row>
    <row r="83" spans="2:62" x14ac:dyDescent="0.3">
      <c r="B83" s="288">
        <v>521211</v>
      </c>
      <c r="C83" s="220" t="s">
        <v>7</v>
      </c>
      <c r="D83" s="220"/>
      <c r="E83" s="220"/>
      <c r="F83" s="221">
        <v>10000000</v>
      </c>
      <c r="G83" s="221">
        <v>10000000</v>
      </c>
      <c r="H83" s="221"/>
      <c r="I83" s="221"/>
      <c r="J83" s="221"/>
      <c r="K83" s="221"/>
      <c r="L83" s="221"/>
      <c r="M83" s="221"/>
      <c r="N83" s="221"/>
      <c r="O83" s="221"/>
      <c r="P83" s="221"/>
      <c r="Q83" s="221">
        <v>2485000</v>
      </c>
      <c r="R83" s="221"/>
      <c r="S83" s="221"/>
      <c r="T83" s="221"/>
      <c r="U83" s="221"/>
      <c r="V83" s="221"/>
      <c r="W83" s="221"/>
      <c r="X83" s="221">
        <v>2485000</v>
      </c>
      <c r="Y83" s="221"/>
      <c r="Z83" s="221"/>
      <c r="AA83" s="221"/>
      <c r="AB83" s="221"/>
      <c r="AC83" s="221"/>
      <c r="AD83" s="221"/>
      <c r="AE83" s="221"/>
      <c r="AF83" s="221"/>
      <c r="AG83" s="221"/>
      <c r="AH83" s="221"/>
      <c r="AI83" s="221"/>
      <c r="AJ83" s="221"/>
      <c r="AK83" s="221"/>
      <c r="AL83" s="221"/>
      <c r="AM83" s="221"/>
      <c r="AN83" s="221"/>
      <c r="AO83" s="221"/>
      <c r="AP83" s="221"/>
      <c r="AQ83" s="221"/>
      <c r="AR83" s="221"/>
      <c r="AS83" s="221"/>
      <c r="AT83" s="221">
        <f t="shared" si="123"/>
        <v>4970000</v>
      </c>
      <c r="AU83" s="224">
        <f t="shared" si="124"/>
        <v>49.7</v>
      </c>
      <c r="AV83" s="225">
        <f t="shared" si="125"/>
        <v>5030000</v>
      </c>
      <c r="AW83" s="224">
        <f t="shared" si="126"/>
        <v>50.3</v>
      </c>
      <c r="AX83" s="220" t="s">
        <v>576</v>
      </c>
      <c r="AY83" s="220" t="s">
        <v>560</v>
      </c>
      <c r="AZ83" s="220" t="s">
        <v>4729</v>
      </c>
      <c r="BA83" s="221">
        <v>2485000</v>
      </c>
      <c r="BB83" s="221"/>
      <c r="BC83" s="300"/>
      <c r="BD83" s="221"/>
      <c r="BE83" s="221"/>
      <c r="BF83" s="221"/>
      <c r="BG83" s="221">
        <v>2485000</v>
      </c>
      <c r="BH83" s="221"/>
    </row>
    <row r="84" spans="2:62" x14ac:dyDescent="0.3">
      <c r="B84" s="288">
        <v>522192</v>
      </c>
      <c r="C84" s="220" t="s">
        <v>24</v>
      </c>
      <c r="D84" s="220"/>
      <c r="E84" s="220"/>
      <c r="F84" s="221">
        <v>2031000</v>
      </c>
      <c r="G84" s="221">
        <v>23680000</v>
      </c>
      <c r="H84" s="221"/>
      <c r="I84" s="221"/>
      <c r="J84" s="221"/>
      <c r="K84" s="221"/>
      <c r="L84" s="221"/>
      <c r="M84" s="221"/>
      <c r="N84" s="221"/>
      <c r="O84" s="221"/>
      <c r="P84" s="221"/>
      <c r="Q84" s="221">
        <f>1235000+454000</f>
        <v>1689000</v>
      </c>
      <c r="R84" s="221">
        <v>342000</v>
      </c>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c r="AR84" s="221"/>
      <c r="AS84" s="221"/>
      <c r="AT84" s="221">
        <f t="shared" si="123"/>
        <v>2031000</v>
      </c>
      <c r="AU84" s="224">
        <f t="shared" si="124"/>
        <v>100</v>
      </c>
      <c r="AV84" s="225">
        <f t="shared" si="125"/>
        <v>0</v>
      </c>
      <c r="AW84" s="224">
        <f t="shared" si="126"/>
        <v>0</v>
      </c>
      <c r="AX84" s="220" t="s">
        <v>576</v>
      </c>
      <c r="AY84" s="220" t="s">
        <v>560</v>
      </c>
      <c r="AZ84" s="220" t="s">
        <v>4729</v>
      </c>
      <c r="BA84" s="221">
        <v>1235000</v>
      </c>
      <c r="BB84" s="221">
        <v>342000</v>
      </c>
      <c r="BC84" s="300">
        <v>454000</v>
      </c>
      <c r="BD84" s="221"/>
      <c r="BE84" s="221"/>
      <c r="BF84" s="221"/>
      <c r="BG84" s="221"/>
      <c r="BH84" s="221"/>
    </row>
    <row r="85" spans="2:62" x14ac:dyDescent="0.3">
      <c r="B85" s="288">
        <v>524111</v>
      </c>
      <c r="C85" s="220" t="s">
        <v>19</v>
      </c>
      <c r="D85" s="220"/>
      <c r="E85" s="220"/>
      <c r="F85" s="221">
        <v>373634000</v>
      </c>
      <c r="G85" s="221">
        <v>514500000</v>
      </c>
      <c r="H85" s="221"/>
      <c r="I85" s="221"/>
      <c r="J85" s="221"/>
      <c r="K85" s="221"/>
      <c r="L85" s="221"/>
      <c r="M85" s="221"/>
      <c r="N85" s="221"/>
      <c r="O85" s="221"/>
      <c r="P85" s="221"/>
      <c r="Q85" s="221">
        <v>45385600</v>
      </c>
      <c r="R85" s="221">
        <v>23429900</v>
      </c>
      <c r="S85" s="221">
        <v>34977460</v>
      </c>
      <c r="T85" s="221">
        <v>31588000</v>
      </c>
      <c r="U85" s="221"/>
      <c r="V85" s="221"/>
      <c r="W85" s="221">
        <f>10477701+4081050</f>
        <v>14558751</v>
      </c>
      <c r="X85" s="221">
        <v>10640750</v>
      </c>
      <c r="Y85" s="221"/>
      <c r="Z85" s="221"/>
      <c r="AA85" s="221"/>
      <c r="AB85" s="221"/>
      <c r="AC85" s="221"/>
      <c r="AD85" s="221"/>
      <c r="AE85" s="221"/>
      <c r="AF85" s="221"/>
      <c r="AG85" s="221"/>
      <c r="AH85" s="221"/>
      <c r="AI85" s="221"/>
      <c r="AJ85" s="221"/>
      <c r="AK85" s="221"/>
      <c r="AL85" s="221"/>
      <c r="AM85" s="221"/>
      <c r="AN85" s="221"/>
      <c r="AO85" s="221"/>
      <c r="AP85" s="221"/>
      <c r="AQ85" s="221"/>
      <c r="AR85" s="221"/>
      <c r="AS85" s="221"/>
      <c r="AT85" s="221">
        <f t="shared" si="123"/>
        <v>160580461</v>
      </c>
      <c r="AU85" s="224">
        <f t="shared" si="124"/>
        <v>42.978010834131794</v>
      </c>
      <c r="AV85" s="225">
        <f t="shared" si="125"/>
        <v>213053539</v>
      </c>
      <c r="AW85" s="224">
        <f t="shared" si="126"/>
        <v>57.021989165868206</v>
      </c>
      <c r="AX85" s="220" t="s">
        <v>576</v>
      </c>
      <c r="AY85" s="220" t="s">
        <v>560</v>
      </c>
      <c r="AZ85" s="220" t="s">
        <v>4729</v>
      </c>
      <c r="BA85" s="221">
        <v>45385600</v>
      </c>
      <c r="BB85" s="221">
        <v>23429900</v>
      </c>
      <c r="BC85" s="300"/>
      <c r="BD85" s="221">
        <v>31588000</v>
      </c>
      <c r="BE85" s="221">
        <v>10477701</v>
      </c>
      <c r="BF85" s="221">
        <v>4081050</v>
      </c>
      <c r="BG85" s="221">
        <v>10640750</v>
      </c>
      <c r="BH85" s="221"/>
    </row>
    <row r="86" spans="2:62" x14ac:dyDescent="0.3">
      <c r="B86" s="290" t="s">
        <v>512</v>
      </c>
      <c r="C86" s="222" t="s">
        <v>1418</v>
      </c>
      <c r="D86" s="222"/>
      <c r="E86" s="222"/>
      <c r="F86" s="223">
        <f t="shared" ref="F86:AS86" si="132">SUM(F87:F90)</f>
        <v>56750000</v>
      </c>
      <c r="G86" s="223">
        <f t="shared" ref="G86:H86" si="133">SUM(G87:G90)</f>
        <v>74500000</v>
      </c>
      <c r="H86" s="223">
        <f t="shared" si="133"/>
        <v>0</v>
      </c>
      <c r="I86" s="223"/>
      <c r="J86" s="223">
        <f t="shared" si="132"/>
        <v>0</v>
      </c>
      <c r="K86" s="223">
        <f t="shared" si="132"/>
        <v>0</v>
      </c>
      <c r="L86" s="223">
        <f t="shared" si="132"/>
        <v>0</v>
      </c>
      <c r="M86" s="223">
        <f t="shared" si="132"/>
        <v>0</v>
      </c>
      <c r="N86" s="223">
        <f t="shared" si="132"/>
        <v>0</v>
      </c>
      <c r="O86" s="223">
        <f t="shared" si="132"/>
        <v>0</v>
      </c>
      <c r="P86" s="223">
        <f t="shared" si="132"/>
        <v>0</v>
      </c>
      <c r="Q86" s="223">
        <f t="shared" si="132"/>
        <v>600000</v>
      </c>
      <c r="R86" s="223">
        <f t="shared" si="132"/>
        <v>5277000</v>
      </c>
      <c r="S86" s="223">
        <f t="shared" si="132"/>
        <v>0</v>
      </c>
      <c r="T86" s="223">
        <f t="shared" si="132"/>
        <v>0</v>
      </c>
      <c r="U86" s="223">
        <f t="shared" si="132"/>
        <v>0</v>
      </c>
      <c r="V86" s="223">
        <f t="shared" si="132"/>
        <v>0</v>
      </c>
      <c r="W86" s="223">
        <f t="shared" si="132"/>
        <v>7020000</v>
      </c>
      <c r="X86" s="223">
        <f t="shared" si="132"/>
        <v>29384740</v>
      </c>
      <c r="Y86" s="223">
        <f t="shared" si="132"/>
        <v>0</v>
      </c>
      <c r="Z86" s="223">
        <f t="shared" si="132"/>
        <v>0</v>
      </c>
      <c r="AA86" s="223">
        <f t="shared" si="132"/>
        <v>0</v>
      </c>
      <c r="AB86" s="223">
        <f t="shared" si="132"/>
        <v>0</v>
      </c>
      <c r="AC86" s="223">
        <f t="shared" si="132"/>
        <v>0</v>
      </c>
      <c r="AD86" s="223">
        <f t="shared" si="132"/>
        <v>0</v>
      </c>
      <c r="AE86" s="223">
        <f t="shared" si="132"/>
        <v>0</v>
      </c>
      <c r="AF86" s="223">
        <f t="shared" si="132"/>
        <v>0</v>
      </c>
      <c r="AG86" s="223">
        <f t="shared" si="132"/>
        <v>0</v>
      </c>
      <c r="AH86" s="223">
        <f t="shared" si="132"/>
        <v>0</v>
      </c>
      <c r="AI86" s="223">
        <f t="shared" si="132"/>
        <v>0</v>
      </c>
      <c r="AJ86" s="223">
        <f t="shared" si="132"/>
        <v>0</v>
      </c>
      <c r="AK86" s="223">
        <f t="shared" si="132"/>
        <v>0</v>
      </c>
      <c r="AL86" s="223">
        <f t="shared" si="132"/>
        <v>0</v>
      </c>
      <c r="AM86" s="223">
        <f t="shared" si="132"/>
        <v>0</v>
      </c>
      <c r="AN86" s="223">
        <f t="shared" si="132"/>
        <v>0</v>
      </c>
      <c r="AO86" s="223">
        <f t="shared" si="132"/>
        <v>0</v>
      </c>
      <c r="AP86" s="223">
        <f t="shared" si="132"/>
        <v>0</v>
      </c>
      <c r="AQ86" s="223">
        <f t="shared" si="132"/>
        <v>0</v>
      </c>
      <c r="AR86" s="223">
        <f t="shared" si="132"/>
        <v>0</v>
      </c>
      <c r="AS86" s="223">
        <f t="shared" si="132"/>
        <v>0</v>
      </c>
      <c r="AT86" s="223">
        <f t="shared" si="123"/>
        <v>42281740</v>
      </c>
      <c r="AU86" s="231">
        <f t="shared" si="124"/>
        <v>74.505268722466951</v>
      </c>
      <c r="AV86" s="232">
        <f t="shared" si="125"/>
        <v>14468260</v>
      </c>
      <c r="AW86" s="231">
        <f t="shared" si="126"/>
        <v>25.494731277533038</v>
      </c>
      <c r="AX86" s="220" t="s">
        <v>576</v>
      </c>
      <c r="AY86" s="220" t="s">
        <v>560</v>
      </c>
      <c r="AZ86" s="220" t="s">
        <v>4729</v>
      </c>
      <c r="BA86" s="223">
        <f t="shared" ref="BA86:BD86" si="134">SUM(BA87:BA90)</f>
        <v>600000</v>
      </c>
      <c r="BB86" s="223">
        <f t="shared" si="134"/>
        <v>5277000</v>
      </c>
      <c r="BC86" s="223">
        <f t="shared" si="134"/>
        <v>0</v>
      </c>
      <c r="BD86" s="223">
        <f t="shared" si="134"/>
        <v>0</v>
      </c>
      <c r="BE86" s="223">
        <f t="shared" ref="BE86" si="135">SUM(BE87:BE90)</f>
        <v>3300000</v>
      </c>
      <c r="BF86" s="223">
        <f t="shared" ref="BF86:BG86" si="136">SUM(BF87:BF90)</f>
        <v>3720000</v>
      </c>
      <c r="BG86" s="223">
        <f t="shared" si="136"/>
        <v>29384740</v>
      </c>
      <c r="BH86" s="223">
        <f t="shared" ref="BH86" si="137">SUM(BH87:BH90)</f>
        <v>0</v>
      </c>
    </row>
    <row r="87" spans="2:62" x14ac:dyDescent="0.3">
      <c r="B87" s="288">
        <v>521211</v>
      </c>
      <c r="C87" s="220" t="s">
        <v>7</v>
      </c>
      <c r="D87" s="220"/>
      <c r="E87" s="220"/>
      <c r="F87" s="221">
        <v>33500000</v>
      </c>
      <c r="G87" s="221">
        <v>46000000</v>
      </c>
      <c r="H87" s="221"/>
      <c r="I87" s="221"/>
      <c r="J87" s="221"/>
      <c r="K87" s="221"/>
      <c r="L87" s="221"/>
      <c r="M87" s="221"/>
      <c r="N87" s="221"/>
      <c r="O87" s="221"/>
      <c r="P87" s="221"/>
      <c r="Q87" s="221"/>
      <c r="R87" s="221">
        <v>3987000</v>
      </c>
      <c r="S87" s="221"/>
      <c r="T87" s="221"/>
      <c r="U87" s="221"/>
      <c r="V87" s="221"/>
      <c r="W87" s="221"/>
      <c r="X87" s="221">
        <v>29384740</v>
      </c>
      <c r="Y87" s="221"/>
      <c r="Z87" s="221"/>
      <c r="AA87" s="221"/>
      <c r="AB87" s="221"/>
      <c r="AC87" s="221"/>
      <c r="AD87" s="221"/>
      <c r="AE87" s="221"/>
      <c r="AF87" s="221"/>
      <c r="AG87" s="221"/>
      <c r="AH87" s="221"/>
      <c r="AI87" s="221"/>
      <c r="AJ87" s="221"/>
      <c r="AK87" s="221"/>
      <c r="AL87" s="221"/>
      <c r="AM87" s="221"/>
      <c r="AN87" s="221"/>
      <c r="AO87" s="221"/>
      <c r="AP87" s="221"/>
      <c r="AQ87" s="221"/>
      <c r="AR87" s="221"/>
      <c r="AS87" s="221"/>
      <c r="AT87" s="221">
        <f t="shared" si="123"/>
        <v>33371740</v>
      </c>
      <c r="AU87" s="224">
        <f t="shared" si="124"/>
        <v>99.617134328358219</v>
      </c>
      <c r="AV87" s="225">
        <f t="shared" si="125"/>
        <v>128260</v>
      </c>
      <c r="AW87" s="224">
        <f t="shared" si="126"/>
        <v>0.38286567164179103</v>
      </c>
      <c r="AX87" s="220" t="s">
        <v>576</v>
      </c>
      <c r="AY87" s="220" t="s">
        <v>560</v>
      </c>
      <c r="AZ87" s="220" t="s">
        <v>4729</v>
      </c>
      <c r="BA87" s="221"/>
      <c r="BB87" s="221">
        <v>3987000</v>
      </c>
      <c r="BC87" s="300"/>
      <c r="BD87" s="221"/>
      <c r="BE87" s="221"/>
      <c r="BF87" s="221"/>
      <c r="BG87" s="221">
        <v>29384740</v>
      </c>
      <c r="BH87" s="221"/>
    </row>
    <row r="88" spans="2:62" x14ac:dyDescent="0.3">
      <c r="B88" s="288">
        <v>522141</v>
      </c>
      <c r="C88" s="220" t="s">
        <v>95</v>
      </c>
      <c r="D88" s="220"/>
      <c r="E88" s="220"/>
      <c r="F88" s="221">
        <v>3000000</v>
      </c>
      <c r="G88" s="221">
        <v>6000000</v>
      </c>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c r="AR88" s="221"/>
      <c r="AS88" s="221"/>
      <c r="AT88" s="221">
        <f t="shared" si="123"/>
        <v>0</v>
      </c>
      <c r="AU88" s="224">
        <f t="shared" si="124"/>
        <v>0</v>
      </c>
      <c r="AV88" s="225">
        <f t="shared" si="125"/>
        <v>3000000</v>
      </c>
      <c r="AW88" s="224">
        <f t="shared" si="126"/>
        <v>100</v>
      </c>
      <c r="AX88" s="220" t="s">
        <v>576</v>
      </c>
      <c r="AY88" s="220" t="s">
        <v>560</v>
      </c>
      <c r="AZ88" s="220" t="s">
        <v>4729</v>
      </c>
      <c r="BA88" s="221"/>
      <c r="BB88" s="221"/>
      <c r="BC88" s="300"/>
      <c r="BD88" s="221"/>
      <c r="BE88" s="221"/>
      <c r="BF88" s="221"/>
      <c r="BG88" s="221"/>
      <c r="BH88" s="221"/>
    </row>
    <row r="89" spans="2:62" x14ac:dyDescent="0.3">
      <c r="B89" s="288">
        <v>524111</v>
      </c>
      <c r="C89" s="220" t="s">
        <v>19</v>
      </c>
      <c r="D89" s="220"/>
      <c r="E89" s="220"/>
      <c r="F89" s="221">
        <v>18000000</v>
      </c>
      <c r="G89" s="221">
        <v>18000000</v>
      </c>
      <c r="H89" s="221"/>
      <c r="I89" s="221"/>
      <c r="J89" s="221"/>
      <c r="K89" s="221"/>
      <c r="L89" s="221"/>
      <c r="M89" s="221"/>
      <c r="N89" s="221"/>
      <c r="O89" s="221"/>
      <c r="P89" s="221"/>
      <c r="Q89" s="221"/>
      <c r="R89" s="221">
        <v>1290000</v>
      </c>
      <c r="S89" s="221"/>
      <c r="T89" s="221"/>
      <c r="U89" s="221"/>
      <c r="V89" s="221"/>
      <c r="W89" s="221">
        <f>3300000+3720000</f>
        <v>7020000</v>
      </c>
      <c r="X89" s="221"/>
      <c r="Y89" s="221"/>
      <c r="Z89" s="221"/>
      <c r="AA89" s="221"/>
      <c r="AB89" s="221"/>
      <c r="AC89" s="221"/>
      <c r="AD89" s="221"/>
      <c r="AE89" s="221"/>
      <c r="AF89" s="221"/>
      <c r="AG89" s="221"/>
      <c r="AH89" s="221"/>
      <c r="AI89" s="221"/>
      <c r="AJ89" s="221"/>
      <c r="AK89" s="221"/>
      <c r="AL89" s="221"/>
      <c r="AM89" s="221"/>
      <c r="AN89" s="221"/>
      <c r="AO89" s="221"/>
      <c r="AP89" s="221"/>
      <c r="AQ89" s="221"/>
      <c r="AR89" s="221"/>
      <c r="AS89" s="221"/>
      <c r="AT89" s="221">
        <f t="shared" si="123"/>
        <v>8310000</v>
      </c>
      <c r="AU89" s="224">
        <f t="shared" si="124"/>
        <v>46.166666666666664</v>
      </c>
      <c r="AV89" s="225">
        <f t="shared" si="125"/>
        <v>9690000</v>
      </c>
      <c r="AW89" s="224">
        <f t="shared" si="126"/>
        <v>53.833333333333336</v>
      </c>
      <c r="AX89" s="220" t="s">
        <v>576</v>
      </c>
      <c r="AY89" s="220" t="s">
        <v>560</v>
      </c>
      <c r="AZ89" s="220" t="s">
        <v>4729</v>
      </c>
      <c r="BA89" s="221"/>
      <c r="BB89" s="221">
        <v>1290000</v>
      </c>
      <c r="BC89" s="300"/>
      <c r="BD89" s="221"/>
      <c r="BE89" s="221">
        <v>3300000</v>
      </c>
      <c r="BF89" s="221">
        <v>3720000</v>
      </c>
      <c r="BG89" s="221"/>
      <c r="BH89" s="221"/>
      <c r="BJ89" t="s">
        <v>4644</v>
      </c>
    </row>
    <row r="90" spans="2:62" x14ac:dyDescent="0.3">
      <c r="B90" s="288">
        <v>524113</v>
      </c>
      <c r="C90" s="220" t="s">
        <v>13</v>
      </c>
      <c r="D90" s="220"/>
      <c r="E90" s="220"/>
      <c r="F90" s="221">
        <v>2250000</v>
      </c>
      <c r="G90" s="221">
        <v>4500000</v>
      </c>
      <c r="H90" s="221"/>
      <c r="I90" s="221"/>
      <c r="J90" s="221"/>
      <c r="K90" s="221"/>
      <c r="L90" s="221"/>
      <c r="M90" s="221"/>
      <c r="N90" s="221"/>
      <c r="O90" s="221"/>
      <c r="P90" s="221"/>
      <c r="Q90" s="221">
        <v>600000</v>
      </c>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c r="AR90" s="221"/>
      <c r="AS90" s="221"/>
      <c r="AT90" s="221">
        <f t="shared" si="123"/>
        <v>600000</v>
      </c>
      <c r="AU90" s="224">
        <f t="shared" si="124"/>
        <v>26.666666666666668</v>
      </c>
      <c r="AV90" s="225">
        <f t="shared" si="125"/>
        <v>1650000</v>
      </c>
      <c r="AW90" s="224">
        <f t="shared" si="126"/>
        <v>73.333333333333329</v>
      </c>
      <c r="AX90" s="220" t="s">
        <v>576</v>
      </c>
      <c r="AY90" s="220" t="s">
        <v>560</v>
      </c>
      <c r="AZ90" s="220" t="s">
        <v>4729</v>
      </c>
      <c r="BA90" s="221">
        <v>600000</v>
      </c>
      <c r="BB90" s="221"/>
      <c r="BC90" s="300"/>
      <c r="BD90" s="221"/>
      <c r="BE90" s="221"/>
      <c r="BF90" s="221"/>
      <c r="BG90" s="221"/>
      <c r="BH90" s="221"/>
    </row>
    <row r="91" spans="2:62" x14ac:dyDescent="0.3">
      <c r="B91" s="290" t="s">
        <v>514</v>
      </c>
      <c r="C91" s="222" t="s">
        <v>151</v>
      </c>
      <c r="D91" s="222"/>
      <c r="E91" s="222"/>
      <c r="F91" s="223">
        <f t="shared" ref="F91:AS91" si="138">SUM(F92:F94)</f>
        <v>61193000</v>
      </c>
      <c r="G91" s="223">
        <f t="shared" ref="G91:H91" si="139">SUM(G92:G94)</f>
        <v>101050000</v>
      </c>
      <c r="H91" s="223">
        <f t="shared" si="139"/>
        <v>0</v>
      </c>
      <c r="I91" s="223"/>
      <c r="J91" s="223">
        <f t="shared" si="138"/>
        <v>0</v>
      </c>
      <c r="K91" s="223">
        <f t="shared" si="138"/>
        <v>0</v>
      </c>
      <c r="L91" s="223">
        <f t="shared" si="138"/>
        <v>0</v>
      </c>
      <c r="M91" s="223">
        <f t="shared" si="138"/>
        <v>0</v>
      </c>
      <c r="N91" s="223">
        <f t="shared" si="138"/>
        <v>0</v>
      </c>
      <c r="O91" s="223">
        <f t="shared" si="138"/>
        <v>0</v>
      </c>
      <c r="P91" s="223">
        <f t="shared" si="138"/>
        <v>0</v>
      </c>
      <c r="Q91" s="223">
        <f t="shared" si="138"/>
        <v>4907400</v>
      </c>
      <c r="R91" s="223">
        <f t="shared" si="138"/>
        <v>8779000</v>
      </c>
      <c r="S91" s="223">
        <f t="shared" si="138"/>
        <v>14352838</v>
      </c>
      <c r="T91" s="223">
        <f t="shared" si="138"/>
        <v>1410000</v>
      </c>
      <c r="U91" s="223">
        <f t="shared" si="138"/>
        <v>0</v>
      </c>
      <c r="V91" s="223">
        <f t="shared" si="138"/>
        <v>0</v>
      </c>
      <c r="W91" s="223">
        <f t="shared" si="138"/>
        <v>0</v>
      </c>
      <c r="X91" s="223">
        <f t="shared" si="138"/>
        <v>3691500</v>
      </c>
      <c r="Y91" s="223">
        <f t="shared" si="138"/>
        <v>0</v>
      </c>
      <c r="Z91" s="223">
        <f t="shared" si="138"/>
        <v>0</v>
      </c>
      <c r="AA91" s="223">
        <f t="shared" si="138"/>
        <v>0</v>
      </c>
      <c r="AB91" s="223">
        <f t="shared" si="138"/>
        <v>0</v>
      </c>
      <c r="AC91" s="223">
        <f t="shared" si="138"/>
        <v>0</v>
      </c>
      <c r="AD91" s="223">
        <f t="shared" si="138"/>
        <v>0</v>
      </c>
      <c r="AE91" s="223">
        <f t="shared" si="138"/>
        <v>0</v>
      </c>
      <c r="AF91" s="223">
        <f t="shared" si="138"/>
        <v>0</v>
      </c>
      <c r="AG91" s="223">
        <f t="shared" si="138"/>
        <v>0</v>
      </c>
      <c r="AH91" s="223">
        <f t="shared" si="138"/>
        <v>0</v>
      </c>
      <c r="AI91" s="223">
        <f t="shared" si="138"/>
        <v>0</v>
      </c>
      <c r="AJ91" s="223">
        <f t="shared" si="138"/>
        <v>0</v>
      </c>
      <c r="AK91" s="223">
        <f t="shared" si="138"/>
        <v>0</v>
      </c>
      <c r="AL91" s="223">
        <f t="shared" si="138"/>
        <v>0</v>
      </c>
      <c r="AM91" s="223">
        <f t="shared" si="138"/>
        <v>0</v>
      </c>
      <c r="AN91" s="223">
        <f t="shared" si="138"/>
        <v>0</v>
      </c>
      <c r="AO91" s="223">
        <f t="shared" si="138"/>
        <v>0</v>
      </c>
      <c r="AP91" s="223">
        <f t="shared" si="138"/>
        <v>0</v>
      </c>
      <c r="AQ91" s="223">
        <f t="shared" si="138"/>
        <v>0</v>
      </c>
      <c r="AR91" s="223">
        <f t="shared" si="138"/>
        <v>0</v>
      </c>
      <c r="AS91" s="223">
        <f t="shared" si="138"/>
        <v>0</v>
      </c>
      <c r="AT91" s="223">
        <f t="shared" si="123"/>
        <v>33140738</v>
      </c>
      <c r="AU91" s="231">
        <f t="shared" si="124"/>
        <v>54.15772719101858</v>
      </c>
      <c r="AV91" s="232">
        <f t="shared" si="125"/>
        <v>28052262</v>
      </c>
      <c r="AW91" s="231">
        <f t="shared" si="126"/>
        <v>45.84227280898142</v>
      </c>
      <c r="AX91" s="220" t="s">
        <v>576</v>
      </c>
      <c r="AY91" s="220" t="s">
        <v>560</v>
      </c>
      <c r="AZ91" s="220" t="s">
        <v>4729</v>
      </c>
      <c r="BA91" s="223">
        <f t="shared" ref="BA91:BD91" si="140">SUM(BA92:BA94)</f>
        <v>4907400</v>
      </c>
      <c r="BB91" s="223">
        <f t="shared" si="140"/>
        <v>8779000</v>
      </c>
      <c r="BC91" s="223">
        <f t="shared" si="140"/>
        <v>0</v>
      </c>
      <c r="BD91" s="223">
        <f t="shared" si="140"/>
        <v>1410000</v>
      </c>
      <c r="BE91" s="223">
        <f t="shared" ref="BE91" si="141">SUM(BE92:BE94)</f>
        <v>0</v>
      </c>
      <c r="BF91" s="223">
        <f t="shared" ref="BF91:BG91" si="142">SUM(BF92:BF94)</f>
        <v>0</v>
      </c>
      <c r="BG91" s="223">
        <f t="shared" si="142"/>
        <v>3691500</v>
      </c>
      <c r="BH91" s="223">
        <f t="shared" ref="BH91" si="143">SUM(BH92:BH94)</f>
        <v>0</v>
      </c>
    </row>
    <row r="92" spans="2:62" x14ac:dyDescent="0.3">
      <c r="B92" s="288">
        <v>521211</v>
      </c>
      <c r="C92" s="220" t="s">
        <v>7</v>
      </c>
      <c r="D92" s="220"/>
      <c r="E92" s="220"/>
      <c r="F92" s="221">
        <v>13500000</v>
      </c>
      <c r="G92" s="221">
        <v>28000000</v>
      </c>
      <c r="H92" s="221"/>
      <c r="I92" s="221"/>
      <c r="J92" s="221"/>
      <c r="K92" s="221"/>
      <c r="L92" s="221"/>
      <c r="M92" s="221"/>
      <c r="N92" s="221"/>
      <c r="O92" s="221"/>
      <c r="P92" s="221"/>
      <c r="Q92" s="221"/>
      <c r="R92" s="221">
        <v>5459000</v>
      </c>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c r="AR92" s="221"/>
      <c r="AS92" s="221"/>
      <c r="AT92" s="221">
        <f t="shared" si="123"/>
        <v>5459000</v>
      </c>
      <c r="AU92" s="224">
        <f t="shared" si="124"/>
        <v>40.437037037037037</v>
      </c>
      <c r="AV92" s="225">
        <f t="shared" si="125"/>
        <v>8041000</v>
      </c>
      <c r="AW92" s="224">
        <f t="shared" si="126"/>
        <v>59.562962962962963</v>
      </c>
      <c r="AX92" s="220" t="s">
        <v>576</v>
      </c>
      <c r="AY92" s="220" t="s">
        <v>560</v>
      </c>
      <c r="AZ92" s="220" t="s">
        <v>4729</v>
      </c>
      <c r="BA92" s="221"/>
      <c r="BB92" s="221">
        <v>5459000</v>
      </c>
      <c r="BC92" s="300"/>
      <c r="BD92" s="221"/>
      <c r="BE92" s="221"/>
      <c r="BF92" s="221"/>
      <c r="BG92" s="221"/>
      <c r="BH92" s="221"/>
    </row>
    <row r="93" spans="2:62" x14ac:dyDescent="0.3">
      <c r="B93" s="288">
        <v>524111</v>
      </c>
      <c r="C93" s="220" t="s">
        <v>19</v>
      </c>
      <c r="D93" s="220"/>
      <c r="E93" s="220"/>
      <c r="F93" s="221">
        <v>47693000</v>
      </c>
      <c r="G93" s="221">
        <v>71250000</v>
      </c>
      <c r="H93" s="221"/>
      <c r="I93" s="221"/>
      <c r="J93" s="221"/>
      <c r="K93" s="221"/>
      <c r="L93" s="221"/>
      <c r="M93" s="221"/>
      <c r="N93" s="221"/>
      <c r="O93" s="221"/>
      <c r="P93" s="221"/>
      <c r="Q93" s="221">
        <v>4907400</v>
      </c>
      <c r="R93" s="221">
        <v>3320000</v>
      </c>
      <c r="S93" s="221">
        <v>14352838</v>
      </c>
      <c r="T93" s="221">
        <v>1410000</v>
      </c>
      <c r="U93" s="221"/>
      <c r="V93" s="221"/>
      <c r="W93" s="221"/>
      <c r="X93" s="221">
        <v>3691500</v>
      </c>
      <c r="Y93" s="221"/>
      <c r="Z93" s="221"/>
      <c r="AA93" s="221"/>
      <c r="AB93" s="221"/>
      <c r="AC93" s="221"/>
      <c r="AD93" s="221"/>
      <c r="AE93" s="221"/>
      <c r="AF93" s="221"/>
      <c r="AG93" s="221"/>
      <c r="AH93" s="221"/>
      <c r="AI93" s="221"/>
      <c r="AJ93" s="221"/>
      <c r="AK93" s="221"/>
      <c r="AL93" s="221"/>
      <c r="AM93" s="221"/>
      <c r="AN93" s="221"/>
      <c r="AO93" s="221"/>
      <c r="AP93" s="221"/>
      <c r="AQ93" s="221"/>
      <c r="AR93" s="221"/>
      <c r="AS93" s="221"/>
      <c r="AT93" s="221">
        <f t="shared" si="123"/>
        <v>27681738</v>
      </c>
      <c r="AU93" s="224">
        <f t="shared" si="124"/>
        <v>58.041511332900008</v>
      </c>
      <c r="AV93" s="225">
        <f t="shared" si="125"/>
        <v>20011262</v>
      </c>
      <c r="AW93" s="224">
        <f t="shared" si="126"/>
        <v>41.958488667099992</v>
      </c>
      <c r="AX93" s="220" t="s">
        <v>576</v>
      </c>
      <c r="AY93" s="220" t="s">
        <v>560</v>
      </c>
      <c r="AZ93" s="220" t="s">
        <v>4729</v>
      </c>
      <c r="BA93" s="221">
        <v>4907400</v>
      </c>
      <c r="BB93" s="221">
        <v>3320000</v>
      </c>
      <c r="BC93" s="300"/>
      <c r="BD93" s="221">
        <v>1410000</v>
      </c>
      <c r="BE93" s="221"/>
      <c r="BF93" s="221"/>
      <c r="BG93" s="221">
        <v>3691500</v>
      </c>
      <c r="BH93" s="221"/>
    </row>
    <row r="94" spans="2:62" x14ac:dyDescent="0.3">
      <c r="B94" s="288">
        <v>524113</v>
      </c>
      <c r="C94" s="220" t="s">
        <v>13</v>
      </c>
      <c r="D94" s="220"/>
      <c r="E94" s="220"/>
      <c r="F94" s="221">
        <v>0</v>
      </c>
      <c r="G94" s="221">
        <v>1800000</v>
      </c>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c r="AR94" s="221"/>
      <c r="AS94" s="221"/>
      <c r="AT94" s="221">
        <f t="shared" si="123"/>
        <v>0</v>
      </c>
      <c r="AU94" s="224">
        <f t="shared" si="124"/>
        <v>0</v>
      </c>
      <c r="AV94" s="225">
        <f t="shared" si="125"/>
        <v>0</v>
      </c>
      <c r="AW94" s="224" t="e">
        <f t="shared" si="126"/>
        <v>#DIV/0!</v>
      </c>
      <c r="AX94" s="220" t="s">
        <v>576</v>
      </c>
      <c r="AY94" s="220" t="s">
        <v>560</v>
      </c>
      <c r="AZ94" s="220" t="s">
        <v>4729</v>
      </c>
      <c r="BA94" s="221"/>
      <c r="BB94" s="221"/>
      <c r="BC94" s="300"/>
      <c r="BD94" s="221"/>
      <c r="BE94" s="221"/>
      <c r="BF94" s="221"/>
      <c r="BG94" s="221"/>
      <c r="BH94" s="221"/>
    </row>
    <row r="95" spans="2:62" x14ac:dyDescent="0.3">
      <c r="B95" s="290" t="s">
        <v>519</v>
      </c>
      <c r="C95" s="222" t="s">
        <v>152</v>
      </c>
      <c r="D95" s="222"/>
      <c r="E95" s="222"/>
      <c r="F95" s="223">
        <f t="shared" ref="F95:AS95" si="144">SUM(F96:F101)</f>
        <v>148337000</v>
      </c>
      <c r="G95" s="223">
        <f t="shared" ref="G95:H95" si="145">SUM(G96:G101)</f>
        <v>411672000</v>
      </c>
      <c r="H95" s="223">
        <f t="shared" si="145"/>
        <v>0</v>
      </c>
      <c r="I95" s="223"/>
      <c r="J95" s="223">
        <f t="shared" si="144"/>
        <v>0</v>
      </c>
      <c r="K95" s="223">
        <f t="shared" si="144"/>
        <v>0</v>
      </c>
      <c r="L95" s="223">
        <f t="shared" si="144"/>
        <v>0</v>
      </c>
      <c r="M95" s="223">
        <f t="shared" si="144"/>
        <v>0</v>
      </c>
      <c r="N95" s="223">
        <f t="shared" si="144"/>
        <v>0</v>
      </c>
      <c r="O95" s="223">
        <f t="shared" si="144"/>
        <v>0</v>
      </c>
      <c r="P95" s="223">
        <f t="shared" si="144"/>
        <v>0</v>
      </c>
      <c r="Q95" s="223">
        <f t="shared" si="144"/>
        <v>13360000</v>
      </c>
      <c r="R95" s="223">
        <f t="shared" si="144"/>
        <v>74319450</v>
      </c>
      <c r="S95" s="223">
        <f t="shared" si="144"/>
        <v>3712700</v>
      </c>
      <c r="T95" s="223">
        <f t="shared" si="144"/>
        <v>3229000</v>
      </c>
      <c r="U95" s="223">
        <f t="shared" si="144"/>
        <v>0</v>
      </c>
      <c r="V95" s="223">
        <f t="shared" si="144"/>
        <v>0</v>
      </c>
      <c r="W95" s="223">
        <f t="shared" si="144"/>
        <v>5608000</v>
      </c>
      <c r="X95" s="223">
        <f t="shared" si="144"/>
        <v>31126830</v>
      </c>
      <c r="Y95" s="223">
        <f t="shared" si="144"/>
        <v>0</v>
      </c>
      <c r="Z95" s="223">
        <f t="shared" si="144"/>
        <v>0</v>
      </c>
      <c r="AA95" s="223">
        <f t="shared" si="144"/>
        <v>0</v>
      </c>
      <c r="AB95" s="223">
        <f t="shared" si="144"/>
        <v>0</v>
      </c>
      <c r="AC95" s="223">
        <f t="shared" si="144"/>
        <v>0</v>
      </c>
      <c r="AD95" s="223">
        <f t="shared" si="144"/>
        <v>0</v>
      </c>
      <c r="AE95" s="223">
        <f t="shared" si="144"/>
        <v>0</v>
      </c>
      <c r="AF95" s="223">
        <f t="shared" si="144"/>
        <v>0</v>
      </c>
      <c r="AG95" s="223">
        <f t="shared" si="144"/>
        <v>0</v>
      </c>
      <c r="AH95" s="223">
        <f t="shared" si="144"/>
        <v>0</v>
      </c>
      <c r="AI95" s="223">
        <f t="shared" si="144"/>
        <v>0</v>
      </c>
      <c r="AJ95" s="223">
        <f t="shared" si="144"/>
        <v>0</v>
      </c>
      <c r="AK95" s="223">
        <f t="shared" si="144"/>
        <v>0</v>
      </c>
      <c r="AL95" s="223">
        <f t="shared" si="144"/>
        <v>0</v>
      </c>
      <c r="AM95" s="223">
        <f t="shared" si="144"/>
        <v>0</v>
      </c>
      <c r="AN95" s="223">
        <f t="shared" si="144"/>
        <v>0</v>
      </c>
      <c r="AO95" s="223">
        <f t="shared" si="144"/>
        <v>0</v>
      </c>
      <c r="AP95" s="223">
        <f t="shared" si="144"/>
        <v>0</v>
      </c>
      <c r="AQ95" s="223">
        <f t="shared" si="144"/>
        <v>0</v>
      </c>
      <c r="AR95" s="223">
        <f t="shared" si="144"/>
        <v>0</v>
      </c>
      <c r="AS95" s="223">
        <f t="shared" si="144"/>
        <v>0</v>
      </c>
      <c r="AT95" s="223">
        <f t="shared" si="123"/>
        <v>131355980</v>
      </c>
      <c r="AU95" s="231">
        <f t="shared" si="124"/>
        <v>88.55240432258978</v>
      </c>
      <c r="AV95" s="232">
        <f t="shared" si="125"/>
        <v>16981020</v>
      </c>
      <c r="AW95" s="231">
        <f t="shared" si="126"/>
        <v>11.447595677410222</v>
      </c>
      <c r="AX95" s="220" t="s">
        <v>576</v>
      </c>
      <c r="AY95" s="220" t="s">
        <v>560</v>
      </c>
      <c r="AZ95" s="220" t="s">
        <v>4729</v>
      </c>
      <c r="BA95" s="223">
        <f t="shared" ref="BA95:BD95" si="146">SUM(BA96:BA101)</f>
        <v>1560000</v>
      </c>
      <c r="BB95" s="223">
        <f t="shared" si="146"/>
        <v>74319450</v>
      </c>
      <c r="BC95" s="223">
        <f t="shared" si="146"/>
        <v>11800000</v>
      </c>
      <c r="BD95" s="223">
        <f t="shared" si="146"/>
        <v>3229000</v>
      </c>
      <c r="BE95" s="223">
        <f t="shared" ref="BE95" si="147">SUM(BE96:BE101)</f>
        <v>1860000</v>
      </c>
      <c r="BF95" s="223">
        <f t="shared" ref="BF95:BG95" si="148">SUM(BF96:BF101)</f>
        <v>3748000</v>
      </c>
      <c r="BG95" s="223">
        <f t="shared" si="148"/>
        <v>31126830</v>
      </c>
      <c r="BH95" s="223">
        <f t="shared" ref="BH95" si="149">SUM(BH96:BH101)</f>
        <v>0</v>
      </c>
    </row>
    <row r="96" spans="2:62" x14ac:dyDescent="0.3">
      <c r="B96" s="288">
        <v>521211</v>
      </c>
      <c r="C96" s="220" t="s">
        <v>7</v>
      </c>
      <c r="D96" s="220"/>
      <c r="E96" s="220"/>
      <c r="F96" s="221">
        <v>38100000</v>
      </c>
      <c r="G96" s="221">
        <v>57600000</v>
      </c>
      <c r="H96" s="221"/>
      <c r="I96" s="221"/>
      <c r="J96" s="221"/>
      <c r="K96" s="221"/>
      <c r="L96" s="221"/>
      <c r="M96" s="221"/>
      <c r="N96" s="221"/>
      <c r="O96" s="221"/>
      <c r="P96" s="221"/>
      <c r="Q96" s="221"/>
      <c r="R96" s="221">
        <v>31495000</v>
      </c>
      <c r="S96" s="221"/>
      <c r="T96" s="221"/>
      <c r="U96" s="221"/>
      <c r="V96" s="221"/>
      <c r="W96" s="221"/>
      <c r="X96" s="221">
        <v>6600000</v>
      </c>
      <c r="Y96" s="221"/>
      <c r="Z96" s="221"/>
      <c r="AA96" s="221"/>
      <c r="AB96" s="221"/>
      <c r="AC96" s="221"/>
      <c r="AD96" s="221"/>
      <c r="AE96" s="221"/>
      <c r="AF96" s="221"/>
      <c r="AG96" s="221"/>
      <c r="AH96" s="221"/>
      <c r="AI96" s="221"/>
      <c r="AJ96" s="221"/>
      <c r="AK96" s="221"/>
      <c r="AL96" s="221"/>
      <c r="AM96" s="221"/>
      <c r="AN96" s="221"/>
      <c r="AO96" s="221"/>
      <c r="AP96" s="221"/>
      <c r="AQ96" s="221"/>
      <c r="AR96" s="221"/>
      <c r="AS96" s="221"/>
      <c r="AT96" s="221">
        <f t="shared" si="123"/>
        <v>38095000</v>
      </c>
      <c r="AU96" s="224">
        <f t="shared" si="124"/>
        <v>99.98687664041995</v>
      </c>
      <c r="AV96" s="225">
        <f t="shared" si="125"/>
        <v>5000</v>
      </c>
      <c r="AW96" s="224">
        <f t="shared" si="126"/>
        <v>1.3123359580052493E-2</v>
      </c>
      <c r="AX96" s="220" t="s">
        <v>576</v>
      </c>
      <c r="AY96" s="220" t="s">
        <v>560</v>
      </c>
      <c r="AZ96" s="220" t="s">
        <v>4729</v>
      </c>
      <c r="BA96" s="221"/>
      <c r="BB96" s="221">
        <v>31495000</v>
      </c>
      <c r="BC96" s="300"/>
      <c r="BD96" s="221"/>
      <c r="BE96" s="221"/>
      <c r="BF96" s="221"/>
      <c r="BG96" s="221">
        <v>6600000</v>
      </c>
      <c r="BH96" s="221"/>
    </row>
    <row r="97" spans="2:60" x14ac:dyDescent="0.3">
      <c r="B97" s="288">
        <v>521241</v>
      </c>
      <c r="C97" s="220" t="s">
        <v>642</v>
      </c>
      <c r="D97" s="220"/>
      <c r="E97" s="220"/>
      <c r="F97" s="221">
        <v>82534000</v>
      </c>
      <c r="G97" s="221">
        <v>226200000</v>
      </c>
      <c r="H97" s="221"/>
      <c r="I97" s="221"/>
      <c r="J97" s="221"/>
      <c r="K97" s="221"/>
      <c r="L97" s="221"/>
      <c r="M97" s="221"/>
      <c r="N97" s="221"/>
      <c r="O97" s="221"/>
      <c r="P97" s="221"/>
      <c r="Q97" s="300">
        <v>11800000</v>
      </c>
      <c r="R97" s="221">
        <v>35332450</v>
      </c>
      <c r="S97" s="221"/>
      <c r="T97" s="221"/>
      <c r="U97" s="221"/>
      <c r="V97" s="221"/>
      <c r="W97" s="221"/>
      <c r="X97" s="221">
        <v>20031830</v>
      </c>
      <c r="Y97" s="221"/>
      <c r="Z97" s="221"/>
      <c r="AA97" s="221"/>
      <c r="AB97" s="221"/>
      <c r="AC97" s="221"/>
      <c r="AD97" s="221"/>
      <c r="AE97" s="221"/>
      <c r="AF97" s="221"/>
      <c r="AG97" s="221"/>
      <c r="AH97" s="221"/>
      <c r="AI97" s="221"/>
      <c r="AJ97" s="221"/>
      <c r="AK97" s="221"/>
      <c r="AL97" s="221"/>
      <c r="AM97" s="221"/>
      <c r="AN97" s="221"/>
      <c r="AO97" s="221"/>
      <c r="AP97" s="221"/>
      <c r="AQ97" s="221"/>
      <c r="AR97" s="221"/>
      <c r="AS97" s="221"/>
      <c r="AT97" s="221">
        <f t="shared" si="123"/>
        <v>67164280</v>
      </c>
      <c r="AU97" s="224">
        <f t="shared" si="124"/>
        <v>81.377711003949884</v>
      </c>
      <c r="AV97" s="225">
        <f t="shared" si="125"/>
        <v>15369720</v>
      </c>
      <c r="AW97" s="224">
        <f t="shared" si="126"/>
        <v>18.622288996050113</v>
      </c>
      <c r="AX97" s="220" t="s">
        <v>576</v>
      </c>
      <c r="AY97" s="220" t="s">
        <v>560</v>
      </c>
      <c r="AZ97" s="220" t="s">
        <v>4729</v>
      </c>
      <c r="BA97" s="221"/>
      <c r="BB97" s="221">
        <v>35332450</v>
      </c>
      <c r="BC97" s="300">
        <v>11800000</v>
      </c>
      <c r="BD97" s="221"/>
      <c r="BE97" s="221"/>
      <c r="BF97" s="221"/>
      <c r="BG97" s="221">
        <v>20031830</v>
      </c>
      <c r="BH97" s="221"/>
    </row>
    <row r="98" spans="2:60" x14ac:dyDescent="0.3">
      <c r="B98" s="288">
        <v>522191</v>
      </c>
      <c r="C98" s="220" t="s">
        <v>22</v>
      </c>
      <c r="D98" s="220"/>
      <c r="E98" s="220"/>
      <c r="F98" s="221">
        <v>1606000</v>
      </c>
      <c r="G98" s="221">
        <v>35000000</v>
      </c>
      <c r="H98" s="221"/>
      <c r="I98" s="221"/>
      <c r="J98" s="221"/>
      <c r="K98" s="221"/>
      <c r="L98" s="221"/>
      <c r="M98" s="221"/>
      <c r="N98" s="221"/>
      <c r="O98" s="221"/>
      <c r="P98" s="221"/>
      <c r="Q98" s="300"/>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1"/>
      <c r="AS98" s="221"/>
      <c r="AT98" s="221"/>
      <c r="AU98" s="224">
        <f t="shared" si="124"/>
        <v>0</v>
      </c>
      <c r="AV98" s="225"/>
      <c r="AW98" s="224"/>
      <c r="AX98" s="220" t="s">
        <v>576</v>
      </c>
      <c r="AY98" s="220" t="s">
        <v>560</v>
      </c>
      <c r="AZ98" s="220" t="s">
        <v>4729</v>
      </c>
      <c r="BA98" s="221"/>
      <c r="BB98" s="221"/>
      <c r="BC98" s="300"/>
      <c r="BD98" s="221"/>
      <c r="BE98" s="221"/>
      <c r="BF98" s="221"/>
      <c r="BG98" s="221"/>
      <c r="BH98" s="221"/>
    </row>
    <row r="99" spans="2:60" x14ac:dyDescent="0.3">
      <c r="B99" s="288">
        <v>522192</v>
      </c>
      <c r="C99" s="220" t="s">
        <v>24</v>
      </c>
      <c r="D99" s="220"/>
      <c r="E99" s="220"/>
      <c r="F99" s="221">
        <v>4246000</v>
      </c>
      <c r="G99" s="221">
        <v>48000000</v>
      </c>
      <c r="H99" s="221"/>
      <c r="I99" s="221"/>
      <c r="J99" s="221"/>
      <c r="K99" s="221"/>
      <c r="L99" s="221"/>
      <c r="M99" s="221"/>
      <c r="N99" s="221"/>
      <c r="O99" s="221"/>
      <c r="P99" s="221"/>
      <c r="Q99" s="221"/>
      <c r="R99" s="221">
        <v>802000</v>
      </c>
      <c r="S99" s="221"/>
      <c r="T99" s="221">
        <v>3229000</v>
      </c>
      <c r="U99" s="221"/>
      <c r="V99" s="221"/>
      <c r="W99" s="221"/>
      <c r="X99" s="221">
        <v>215000</v>
      </c>
      <c r="Y99" s="221"/>
      <c r="Z99" s="221"/>
      <c r="AA99" s="221"/>
      <c r="AB99" s="221"/>
      <c r="AC99" s="221"/>
      <c r="AD99" s="221"/>
      <c r="AE99" s="221"/>
      <c r="AF99" s="221"/>
      <c r="AG99" s="221"/>
      <c r="AH99" s="221"/>
      <c r="AI99" s="221"/>
      <c r="AJ99" s="221"/>
      <c r="AK99" s="221"/>
      <c r="AL99" s="221"/>
      <c r="AM99" s="221"/>
      <c r="AN99" s="221"/>
      <c r="AO99" s="221"/>
      <c r="AP99" s="221"/>
      <c r="AQ99" s="221"/>
      <c r="AR99" s="221"/>
      <c r="AS99" s="221"/>
      <c r="AT99" s="221">
        <f t="shared" si="123"/>
        <v>4246000</v>
      </c>
      <c r="AU99" s="224">
        <f t="shared" si="124"/>
        <v>100</v>
      </c>
      <c r="AV99" s="225">
        <f t="shared" si="125"/>
        <v>0</v>
      </c>
      <c r="AW99" s="224">
        <f t="shared" si="126"/>
        <v>0</v>
      </c>
      <c r="AX99" s="220" t="s">
        <v>576</v>
      </c>
      <c r="AY99" s="220" t="s">
        <v>560</v>
      </c>
      <c r="AZ99" s="220" t="s">
        <v>4729</v>
      </c>
      <c r="BA99" s="221"/>
      <c r="BB99" s="221">
        <v>802000</v>
      </c>
      <c r="BC99" s="300"/>
      <c r="BD99" s="221">
        <v>3229000</v>
      </c>
      <c r="BE99" s="221"/>
      <c r="BF99" s="221"/>
      <c r="BG99" s="221">
        <v>215000</v>
      </c>
      <c r="BH99" s="221"/>
    </row>
    <row r="100" spans="2:60" x14ac:dyDescent="0.3">
      <c r="B100" s="288">
        <v>524111</v>
      </c>
      <c r="C100" s="220" t="s">
        <v>19</v>
      </c>
      <c r="D100" s="220"/>
      <c r="E100" s="220"/>
      <c r="F100" s="221">
        <v>21851000</v>
      </c>
      <c r="G100" s="221">
        <v>42772000</v>
      </c>
      <c r="H100" s="221"/>
      <c r="I100" s="221"/>
      <c r="J100" s="221"/>
      <c r="K100" s="221"/>
      <c r="L100" s="221"/>
      <c r="M100" s="221"/>
      <c r="N100" s="221"/>
      <c r="O100" s="221"/>
      <c r="P100" s="221"/>
      <c r="Q100" s="221">
        <v>1560000</v>
      </c>
      <c r="R100" s="221">
        <v>6690000</v>
      </c>
      <c r="S100" s="221">
        <v>3712700</v>
      </c>
      <c r="T100" s="221"/>
      <c r="U100" s="221"/>
      <c r="V100" s="221"/>
      <c r="W100" s="221">
        <f>1860000+3748000</f>
        <v>5608000</v>
      </c>
      <c r="X100" s="221">
        <v>4280000</v>
      </c>
      <c r="Y100" s="221"/>
      <c r="Z100" s="221"/>
      <c r="AA100" s="221"/>
      <c r="AB100" s="221"/>
      <c r="AC100" s="221"/>
      <c r="AD100" s="221"/>
      <c r="AE100" s="221"/>
      <c r="AF100" s="221"/>
      <c r="AG100" s="221"/>
      <c r="AH100" s="221"/>
      <c r="AI100" s="221"/>
      <c r="AJ100" s="221"/>
      <c r="AK100" s="221"/>
      <c r="AL100" s="221"/>
      <c r="AM100" s="221"/>
      <c r="AN100" s="221"/>
      <c r="AO100" s="221"/>
      <c r="AP100" s="221"/>
      <c r="AQ100" s="221"/>
      <c r="AR100" s="221"/>
      <c r="AS100" s="221"/>
      <c r="AT100" s="221">
        <f t="shared" si="123"/>
        <v>21850700</v>
      </c>
      <c r="AU100" s="224">
        <f t="shared" si="124"/>
        <v>99.998627065122875</v>
      </c>
      <c r="AV100" s="225">
        <f t="shared" si="125"/>
        <v>300</v>
      </c>
      <c r="AW100" s="224">
        <f t="shared" si="126"/>
        <v>1.3729348771223285E-3</v>
      </c>
      <c r="AX100" s="220" t="s">
        <v>576</v>
      </c>
      <c r="AY100" s="220" t="s">
        <v>560</v>
      </c>
      <c r="AZ100" s="220" t="s">
        <v>4729</v>
      </c>
      <c r="BA100" s="221">
        <v>1560000</v>
      </c>
      <c r="BB100" s="221">
        <v>6690000</v>
      </c>
      <c r="BC100" s="300"/>
      <c r="BD100" s="221"/>
      <c r="BE100" s="221">
        <v>1860000</v>
      </c>
      <c r="BF100" s="221">
        <v>3748000</v>
      </c>
      <c r="BG100" s="221">
        <v>4280000</v>
      </c>
      <c r="BH100" s="221"/>
    </row>
    <row r="101" spans="2:60" x14ac:dyDescent="0.3">
      <c r="B101" s="288">
        <v>524113</v>
      </c>
      <c r="C101" s="220" t="s">
        <v>13</v>
      </c>
      <c r="D101" s="220"/>
      <c r="E101" s="220"/>
      <c r="F101" s="221">
        <v>0</v>
      </c>
      <c r="G101" s="221">
        <v>2100000</v>
      </c>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c r="AR101" s="221"/>
      <c r="AS101" s="221"/>
      <c r="AT101" s="221">
        <f t="shared" si="123"/>
        <v>0</v>
      </c>
      <c r="AU101" s="224">
        <f t="shared" si="124"/>
        <v>0</v>
      </c>
      <c r="AV101" s="225">
        <f t="shared" si="125"/>
        <v>0</v>
      </c>
      <c r="AW101" s="224" t="e">
        <f t="shared" si="126"/>
        <v>#DIV/0!</v>
      </c>
      <c r="AX101" s="220" t="s">
        <v>576</v>
      </c>
      <c r="AY101" s="220" t="s">
        <v>560</v>
      </c>
      <c r="AZ101" s="220" t="s">
        <v>4729</v>
      </c>
      <c r="BA101" s="221"/>
      <c r="BB101" s="221"/>
      <c r="BC101" s="300"/>
      <c r="BD101" s="221"/>
      <c r="BE101" s="221"/>
      <c r="BF101" s="221"/>
      <c r="BG101" s="221"/>
      <c r="BH101" s="221"/>
    </row>
    <row r="102" spans="2:60" x14ac:dyDescent="0.3">
      <c r="B102" s="290" t="s">
        <v>578</v>
      </c>
      <c r="C102" s="222" t="s">
        <v>154</v>
      </c>
      <c r="D102" s="222"/>
      <c r="E102" s="222"/>
      <c r="F102" s="223">
        <f t="shared" ref="F102:AS102" si="150">SUM(F103:F107)</f>
        <v>17357000</v>
      </c>
      <c r="G102" s="223">
        <f t="shared" ref="G102:H102" si="151">SUM(G103:G107)</f>
        <v>450000000</v>
      </c>
      <c r="H102" s="223">
        <f t="shared" si="151"/>
        <v>0</v>
      </c>
      <c r="I102" s="223"/>
      <c r="J102" s="223">
        <f t="shared" si="150"/>
        <v>0</v>
      </c>
      <c r="K102" s="223">
        <f t="shared" si="150"/>
        <v>0</v>
      </c>
      <c r="L102" s="223">
        <f t="shared" si="150"/>
        <v>0</v>
      </c>
      <c r="M102" s="223">
        <f t="shared" si="150"/>
        <v>0</v>
      </c>
      <c r="N102" s="223">
        <f t="shared" si="150"/>
        <v>0</v>
      </c>
      <c r="O102" s="223">
        <f t="shared" si="150"/>
        <v>0</v>
      </c>
      <c r="P102" s="223">
        <f t="shared" si="150"/>
        <v>0</v>
      </c>
      <c r="Q102" s="223">
        <f t="shared" si="150"/>
        <v>1743940</v>
      </c>
      <c r="R102" s="223">
        <f t="shared" si="150"/>
        <v>2949500</v>
      </c>
      <c r="S102" s="223">
        <f t="shared" si="150"/>
        <v>0</v>
      </c>
      <c r="T102" s="223">
        <f t="shared" si="150"/>
        <v>0</v>
      </c>
      <c r="U102" s="223">
        <f t="shared" si="150"/>
        <v>0</v>
      </c>
      <c r="V102" s="223">
        <f t="shared" si="150"/>
        <v>0</v>
      </c>
      <c r="W102" s="223">
        <f t="shared" si="150"/>
        <v>3603218</v>
      </c>
      <c r="X102" s="223">
        <f t="shared" si="150"/>
        <v>0</v>
      </c>
      <c r="Y102" s="223">
        <f t="shared" si="150"/>
        <v>5350700</v>
      </c>
      <c r="Z102" s="223">
        <f t="shared" si="150"/>
        <v>0</v>
      </c>
      <c r="AA102" s="223">
        <f t="shared" si="150"/>
        <v>0</v>
      </c>
      <c r="AB102" s="223">
        <f t="shared" si="150"/>
        <v>0</v>
      </c>
      <c r="AC102" s="223">
        <f t="shared" si="150"/>
        <v>0</v>
      </c>
      <c r="AD102" s="223">
        <f t="shared" si="150"/>
        <v>0</v>
      </c>
      <c r="AE102" s="223">
        <f t="shared" si="150"/>
        <v>0</v>
      </c>
      <c r="AF102" s="223">
        <f t="shared" si="150"/>
        <v>0</v>
      </c>
      <c r="AG102" s="223">
        <f t="shared" si="150"/>
        <v>0</v>
      </c>
      <c r="AH102" s="223">
        <f t="shared" si="150"/>
        <v>0</v>
      </c>
      <c r="AI102" s="223">
        <f t="shared" si="150"/>
        <v>0</v>
      </c>
      <c r="AJ102" s="223">
        <f t="shared" si="150"/>
        <v>0</v>
      </c>
      <c r="AK102" s="223">
        <f t="shared" si="150"/>
        <v>0</v>
      </c>
      <c r="AL102" s="223">
        <f t="shared" si="150"/>
        <v>0</v>
      </c>
      <c r="AM102" s="223">
        <f t="shared" si="150"/>
        <v>0</v>
      </c>
      <c r="AN102" s="223">
        <f t="shared" si="150"/>
        <v>0</v>
      </c>
      <c r="AO102" s="223">
        <f t="shared" si="150"/>
        <v>0</v>
      </c>
      <c r="AP102" s="223">
        <f t="shared" si="150"/>
        <v>0</v>
      </c>
      <c r="AQ102" s="223">
        <f t="shared" si="150"/>
        <v>0</v>
      </c>
      <c r="AR102" s="223">
        <f t="shared" si="150"/>
        <v>0</v>
      </c>
      <c r="AS102" s="223">
        <f t="shared" si="150"/>
        <v>0</v>
      </c>
      <c r="AT102" s="223">
        <f t="shared" si="123"/>
        <v>13647358</v>
      </c>
      <c r="AU102" s="231">
        <f t="shared" si="124"/>
        <v>78.627401048568302</v>
      </c>
      <c r="AV102" s="232">
        <f t="shared" si="125"/>
        <v>3709642</v>
      </c>
      <c r="AW102" s="231">
        <f>AV102/F102*100</f>
        <v>21.372598951431698</v>
      </c>
      <c r="AX102" s="220" t="s">
        <v>535</v>
      </c>
      <c r="AY102" s="220" t="s">
        <v>538</v>
      </c>
      <c r="AZ102" s="220" t="s">
        <v>4729</v>
      </c>
      <c r="BA102" s="223">
        <f t="shared" ref="BA102:BD102" si="152">SUM(BA103:BA107)</f>
        <v>0</v>
      </c>
      <c r="BB102" s="223">
        <f t="shared" si="152"/>
        <v>2949500</v>
      </c>
      <c r="BC102" s="223">
        <f t="shared" si="152"/>
        <v>1743940</v>
      </c>
      <c r="BD102" s="223">
        <f t="shared" si="152"/>
        <v>0</v>
      </c>
      <c r="BE102" s="223">
        <f t="shared" ref="BE102" si="153">SUM(BE103:BE107)</f>
        <v>3351204</v>
      </c>
      <c r="BF102" s="223">
        <f t="shared" ref="BF102:BG102" si="154">SUM(BF103:BF107)</f>
        <v>252014</v>
      </c>
      <c r="BG102" s="223">
        <f t="shared" si="154"/>
        <v>0</v>
      </c>
      <c r="BH102" s="223">
        <f t="shared" ref="BH102" si="155">SUM(BH103:BH107)</f>
        <v>0</v>
      </c>
    </row>
    <row r="103" spans="2:60" x14ac:dyDescent="0.3">
      <c r="B103" s="288">
        <v>521211</v>
      </c>
      <c r="C103" s="220" t="s">
        <v>7</v>
      </c>
      <c r="D103" s="220"/>
      <c r="E103" s="220"/>
      <c r="F103" s="221">
        <v>4000000</v>
      </c>
      <c r="G103" s="221">
        <v>32000000</v>
      </c>
      <c r="H103" s="221"/>
      <c r="I103" s="221"/>
      <c r="J103" s="221"/>
      <c r="K103" s="221"/>
      <c r="L103" s="221"/>
      <c r="M103" s="221"/>
      <c r="N103" s="221"/>
      <c r="O103" s="221"/>
      <c r="P103" s="221"/>
      <c r="Q103" s="300">
        <v>1499700</v>
      </c>
      <c r="R103" s="221">
        <v>2499500</v>
      </c>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c r="AR103" s="221"/>
      <c r="AS103" s="221"/>
      <c r="AT103" s="221">
        <f t="shared" si="123"/>
        <v>3999200</v>
      </c>
      <c r="AU103" s="224">
        <f t="shared" si="124"/>
        <v>99.98</v>
      </c>
      <c r="AV103" s="225">
        <f t="shared" si="125"/>
        <v>800</v>
      </c>
      <c r="AW103" s="224">
        <f t="shared" si="126"/>
        <v>0.02</v>
      </c>
      <c r="AX103" s="220" t="s">
        <v>535</v>
      </c>
      <c r="AY103" s="220" t="s">
        <v>538</v>
      </c>
      <c r="AZ103" s="220" t="s">
        <v>4729</v>
      </c>
      <c r="BA103" s="221"/>
      <c r="BB103" s="221">
        <v>2499500</v>
      </c>
      <c r="BC103" s="300">
        <v>1499700</v>
      </c>
      <c r="BD103" s="221"/>
      <c r="BE103" s="221"/>
      <c r="BF103" s="221"/>
      <c r="BG103" s="221"/>
      <c r="BH103" s="221"/>
    </row>
    <row r="104" spans="2:60" x14ac:dyDescent="0.3">
      <c r="B104" s="288">
        <v>521219</v>
      </c>
      <c r="C104" s="220" t="s">
        <v>53</v>
      </c>
      <c r="D104" s="220"/>
      <c r="E104" s="220"/>
      <c r="F104" s="221">
        <v>4298000</v>
      </c>
      <c r="G104" s="221">
        <v>298141000</v>
      </c>
      <c r="H104" s="221"/>
      <c r="I104" s="221"/>
      <c r="J104" s="221"/>
      <c r="K104" s="221"/>
      <c r="L104" s="221"/>
      <c r="M104" s="221"/>
      <c r="N104" s="221"/>
      <c r="O104" s="221"/>
      <c r="P104" s="221"/>
      <c r="Q104" s="300">
        <v>244240</v>
      </c>
      <c r="R104" s="221">
        <v>450000</v>
      </c>
      <c r="S104" s="221"/>
      <c r="T104" s="221"/>
      <c r="U104" s="221"/>
      <c r="V104" s="221"/>
      <c r="W104" s="221">
        <f>3351204+252014</f>
        <v>3603218</v>
      </c>
      <c r="X104" s="221"/>
      <c r="Y104" s="221"/>
      <c r="Z104" s="221"/>
      <c r="AA104" s="221"/>
      <c r="AB104" s="221"/>
      <c r="AC104" s="221"/>
      <c r="AD104" s="221"/>
      <c r="AE104" s="221"/>
      <c r="AF104" s="221"/>
      <c r="AG104" s="221"/>
      <c r="AH104" s="221"/>
      <c r="AI104" s="221"/>
      <c r="AJ104" s="221"/>
      <c r="AK104" s="221"/>
      <c r="AL104" s="221"/>
      <c r="AM104" s="221"/>
      <c r="AN104" s="221"/>
      <c r="AO104" s="221"/>
      <c r="AP104" s="221"/>
      <c r="AQ104" s="221"/>
      <c r="AR104" s="221"/>
      <c r="AS104" s="221"/>
      <c r="AT104" s="221">
        <f t="shared" si="123"/>
        <v>4297458</v>
      </c>
      <c r="AU104" s="224">
        <f t="shared" si="124"/>
        <v>99.987389483480698</v>
      </c>
      <c r="AV104" s="225">
        <f t="shared" si="125"/>
        <v>542</v>
      </c>
      <c r="AW104" s="224">
        <f>AV104/F104*100</f>
        <v>1.2610516519311306E-2</v>
      </c>
      <c r="AX104" s="220" t="s">
        <v>535</v>
      </c>
      <c r="AY104" s="220" t="s">
        <v>538</v>
      </c>
      <c r="AZ104" s="220" t="s">
        <v>4729</v>
      </c>
      <c r="BA104" s="221"/>
      <c r="BB104" s="221">
        <v>450000</v>
      </c>
      <c r="BC104" s="300">
        <v>244240</v>
      </c>
      <c r="BD104" s="221"/>
      <c r="BE104" s="221">
        <v>3351204</v>
      </c>
      <c r="BF104" s="221">
        <v>252014</v>
      </c>
      <c r="BG104" s="221"/>
      <c r="BH104" s="221"/>
    </row>
    <row r="105" spans="2:60" x14ac:dyDescent="0.3">
      <c r="B105" s="288">
        <v>522151</v>
      </c>
      <c r="C105" s="220" t="s">
        <v>11</v>
      </c>
      <c r="D105" s="220"/>
      <c r="E105" s="220"/>
      <c r="F105" s="221">
        <v>0</v>
      </c>
      <c r="G105" s="221">
        <v>30000000</v>
      </c>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c r="AR105" s="221"/>
      <c r="AS105" s="221"/>
      <c r="AT105" s="221">
        <f t="shared" si="123"/>
        <v>0</v>
      </c>
      <c r="AU105" s="224">
        <f t="shared" si="124"/>
        <v>0</v>
      </c>
      <c r="AV105" s="225">
        <f t="shared" si="125"/>
        <v>0</v>
      </c>
      <c r="AW105" s="224" t="e">
        <f t="shared" si="126"/>
        <v>#DIV/0!</v>
      </c>
      <c r="AX105" s="220" t="s">
        <v>535</v>
      </c>
      <c r="AY105" s="220" t="s">
        <v>538</v>
      </c>
      <c r="AZ105" s="220" t="s">
        <v>4729</v>
      </c>
      <c r="BA105" s="221"/>
      <c r="BB105" s="221"/>
      <c r="BC105" s="300"/>
      <c r="BD105" s="221"/>
      <c r="BE105" s="221"/>
      <c r="BF105" s="221"/>
      <c r="BG105" s="221"/>
      <c r="BH105" s="221"/>
    </row>
    <row r="106" spans="2:60" x14ac:dyDescent="0.3">
      <c r="B106" s="288">
        <v>522192</v>
      </c>
      <c r="C106" s="220" t="s">
        <v>24</v>
      </c>
      <c r="D106" s="220"/>
      <c r="E106" s="220"/>
      <c r="F106" s="221">
        <v>0</v>
      </c>
      <c r="G106" s="221">
        <v>8000000</v>
      </c>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c r="AR106" s="221"/>
      <c r="AS106" s="221"/>
      <c r="AT106" s="221">
        <f t="shared" si="123"/>
        <v>0</v>
      </c>
      <c r="AU106" s="224">
        <f t="shared" si="124"/>
        <v>0</v>
      </c>
      <c r="AV106" s="225">
        <f t="shared" si="125"/>
        <v>0</v>
      </c>
      <c r="AW106" s="224" t="e">
        <f t="shared" si="126"/>
        <v>#DIV/0!</v>
      </c>
      <c r="AX106" s="220" t="s">
        <v>535</v>
      </c>
      <c r="AY106" s="220" t="s">
        <v>538</v>
      </c>
      <c r="AZ106" s="220" t="s">
        <v>4729</v>
      </c>
      <c r="BA106" s="221"/>
      <c r="BB106" s="221"/>
      <c r="BC106" s="300"/>
      <c r="BD106" s="221"/>
      <c r="BE106" s="221"/>
      <c r="BF106" s="221"/>
      <c r="BG106" s="221"/>
      <c r="BH106" s="221"/>
    </row>
    <row r="107" spans="2:60" x14ac:dyDescent="0.3">
      <c r="B107" s="288">
        <v>524111</v>
      </c>
      <c r="C107" s="220" t="s">
        <v>19</v>
      </c>
      <c r="D107" s="220"/>
      <c r="E107" s="220"/>
      <c r="F107" s="221">
        <v>9059000</v>
      </c>
      <c r="G107" s="221">
        <v>81859000</v>
      </c>
      <c r="H107" s="221"/>
      <c r="I107" s="221"/>
      <c r="J107" s="221"/>
      <c r="K107" s="221"/>
      <c r="L107" s="221"/>
      <c r="M107" s="221"/>
      <c r="N107" s="221"/>
      <c r="O107" s="221"/>
      <c r="P107" s="221"/>
      <c r="Q107" s="221"/>
      <c r="R107" s="221"/>
      <c r="S107" s="221"/>
      <c r="T107" s="221"/>
      <c r="U107" s="221"/>
      <c r="V107" s="221"/>
      <c r="W107" s="221"/>
      <c r="X107" s="221"/>
      <c r="Y107" s="221">
        <f>1650000+3700700</f>
        <v>5350700</v>
      </c>
      <c r="Z107" s="221"/>
      <c r="AA107" s="221"/>
      <c r="AB107" s="221"/>
      <c r="AC107" s="221"/>
      <c r="AD107" s="221"/>
      <c r="AE107" s="221"/>
      <c r="AF107" s="221"/>
      <c r="AG107" s="221"/>
      <c r="AH107" s="221"/>
      <c r="AI107" s="221"/>
      <c r="AJ107" s="221"/>
      <c r="AK107" s="221"/>
      <c r="AL107" s="221"/>
      <c r="AM107" s="221"/>
      <c r="AN107" s="221"/>
      <c r="AO107" s="221"/>
      <c r="AP107" s="221"/>
      <c r="AQ107" s="221"/>
      <c r="AR107" s="221"/>
      <c r="AS107" s="221"/>
      <c r="AT107" s="221">
        <f t="shared" si="123"/>
        <v>5350700</v>
      </c>
      <c r="AU107" s="224">
        <f t="shared" si="124"/>
        <v>59.065018213930898</v>
      </c>
      <c r="AV107" s="225">
        <f t="shared" si="125"/>
        <v>3708300</v>
      </c>
      <c r="AW107" s="224">
        <f t="shared" si="126"/>
        <v>40.934981786069102</v>
      </c>
      <c r="AX107" s="220" t="s">
        <v>535</v>
      </c>
      <c r="AY107" s="220" t="s">
        <v>538</v>
      </c>
      <c r="AZ107" s="220" t="s">
        <v>4729</v>
      </c>
      <c r="BA107" s="221"/>
      <c r="BB107" s="221"/>
      <c r="BC107" s="300"/>
      <c r="BD107" s="221"/>
      <c r="BE107" s="221"/>
      <c r="BF107" s="221"/>
      <c r="BG107" s="221"/>
      <c r="BH107" s="221"/>
    </row>
    <row r="108" spans="2:60" x14ac:dyDescent="0.3">
      <c r="B108" s="290" t="s">
        <v>579</v>
      </c>
      <c r="C108" s="222" t="s">
        <v>56</v>
      </c>
      <c r="D108" s="222"/>
      <c r="E108" s="222"/>
      <c r="F108" s="223">
        <f t="shared" ref="F108:AS108" si="156">SUM(F109:F112)</f>
        <v>83506000</v>
      </c>
      <c r="G108" s="223">
        <f t="shared" ref="G108:H108" si="157">SUM(G109:G112)</f>
        <v>350000000</v>
      </c>
      <c r="H108" s="223">
        <f t="shared" si="157"/>
        <v>0</v>
      </c>
      <c r="I108" s="223"/>
      <c r="J108" s="223">
        <f t="shared" si="156"/>
        <v>0</v>
      </c>
      <c r="K108" s="223">
        <f t="shared" si="156"/>
        <v>0</v>
      </c>
      <c r="L108" s="223">
        <f t="shared" si="156"/>
        <v>0</v>
      </c>
      <c r="M108" s="223">
        <f t="shared" si="156"/>
        <v>0</v>
      </c>
      <c r="N108" s="223">
        <f t="shared" si="156"/>
        <v>0</v>
      </c>
      <c r="O108" s="223">
        <f t="shared" si="156"/>
        <v>0</v>
      </c>
      <c r="P108" s="223">
        <f t="shared" si="156"/>
        <v>0</v>
      </c>
      <c r="Q108" s="223">
        <f t="shared" si="156"/>
        <v>3173213</v>
      </c>
      <c r="R108" s="223">
        <f t="shared" si="156"/>
        <v>3236994</v>
      </c>
      <c r="S108" s="223">
        <f t="shared" si="156"/>
        <v>1000000</v>
      </c>
      <c r="T108" s="223">
        <f t="shared" si="156"/>
        <v>0</v>
      </c>
      <c r="U108" s="223">
        <f t="shared" si="156"/>
        <v>0</v>
      </c>
      <c r="V108" s="223">
        <f t="shared" si="156"/>
        <v>19414000</v>
      </c>
      <c r="W108" s="223">
        <f t="shared" si="156"/>
        <v>8092833</v>
      </c>
      <c r="X108" s="223">
        <f t="shared" si="156"/>
        <v>12845223</v>
      </c>
      <c r="Y108" s="223">
        <f t="shared" si="156"/>
        <v>30535327</v>
      </c>
      <c r="Z108" s="223">
        <f t="shared" si="156"/>
        <v>0</v>
      </c>
      <c r="AA108" s="223">
        <f t="shared" si="156"/>
        <v>0</v>
      </c>
      <c r="AB108" s="223">
        <f t="shared" si="156"/>
        <v>0</v>
      </c>
      <c r="AC108" s="223">
        <f t="shared" si="156"/>
        <v>0</v>
      </c>
      <c r="AD108" s="223">
        <f t="shared" si="156"/>
        <v>0</v>
      </c>
      <c r="AE108" s="223">
        <f t="shared" si="156"/>
        <v>0</v>
      </c>
      <c r="AF108" s="223">
        <f t="shared" si="156"/>
        <v>0</v>
      </c>
      <c r="AG108" s="223">
        <f t="shared" si="156"/>
        <v>0</v>
      </c>
      <c r="AH108" s="223">
        <f t="shared" si="156"/>
        <v>0</v>
      </c>
      <c r="AI108" s="223">
        <f t="shared" si="156"/>
        <v>0</v>
      </c>
      <c r="AJ108" s="223">
        <f t="shared" si="156"/>
        <v>0</v>
      </c>
      <c r="AK108" s="223">
        <f t="shared" si="156"/>
        <v>0</v>
      </c>
      <c r="AL108" s="223">
        <f t="shared" si="156"/>
        <v>0</v>
      </c>
      <c r="AM108" s="223">
        <f t="shared" si="156"/>
        <v>0</v>
      </c>
      <c r="AN108" s="223">
        <f t="shared" si="156"/>
        <v>0</v>
      </c>
      <c r="AO108" s="223">
        <f t="shared" si="156"/>
        <v>0</v>
      </c>
      <c r="AP108" s="223">
        <f t="shared" si="156"/>
        <v>0</v>
      </c>
      <c r="AQ108" s="223">
        <f t="shared" si="156"/>
        <v>0</v>
      </c>
      <c r="AR108" s="223">
        <f t="shared" si="156"/>
        <v>0</v>
      </c>
      <c r="AS108" s="223">
        <f t="shared" si="156"/>
        <v>0</v>
      </c>
      <c r="AT108" s="223">
        <f t="shared" si="123"/>
        <v>78297590</v>
      </c>
      <c r="AU108" s="231">
        <f t="shared" si="124"/>
        <v>93.762831413311616</v>
      </c>
      <c r="AV108" s="232">
        <f t="shared" si="125"/>
        <v>5208410</v>
      </c>
      <c r="AW108" s="231">
        <f t="shared" si="126"/>
        <v>6.2371685866883819</v>
      </c>
      <c r="AX108" s="220" t="s">
        <v>531</v>
      </c>
      <c r="AY108" s="220" t="s">
        <v>532</v>
      </c>
      <c r="AZ108" s="220" t="s">
        <v>4729</v>
      </c>
      <c r="BA108" s="223">
        <f t="shared" ref="BA108:BD108" si="158">SUM(BA109:BA112)</f>
        <v>0</v>
      </c>
      <c r="BB108" s="223">
        <f t="shared" si="158"/>
        <v>3236994</v>
      </c>
      <c r="BC108" s="223">
        <f t="shared" si="158"/>
        <v>3173213</v>
      </c>
      <c r="BD108" s="223">
        <f t="shared" si="158"/>
        <v>0</v>
      </c>
      <c r="BE108" s="223">
        <f t="shared" ref="BE108" si="159">SUM(BE109:BE112)</f>
        <v>0</v>
      </c>
      <c r="BF108" s="223">
        <f t="shared" ref="BF108:BG108" si="160">SUM(BF109:BF112)</f>
        <v>8092833</v>
      </c>
      <c r="BG108" s="223">
        <f t="shared" si="160"/>
        <v>12845223</v>
      </c>
      <c r="BH108" s="223">
        <f t="shared" ref="BH108" si="161">SUM(BH109:BH112)</f>
        <v>0</v>
      </c>
    </row>
    <row r="109" spans="2:60" x14ac:dyDescent="0.3">
      <c r="B109" s="288">
        <v>521211</v>
      </c>
      <c r="C109" s="220" t="s">
        <v>7</v>
      </c>
      <c r="D109" s="220"/>
      <c r="E109" s="220"/>
      <c r="F109" s="221">
        <v>12550000</v>
      </c>
      <c r="G109" s="221">
        <v>31000000</v>
      </c>
      <c r="H109" s="221"/>
      <c r="I109" s="221"/>
      <c r="J109" s="221"/>
      <c r="K109" s="221"/>
      <c r="L109" s="221"/>
      <c r="M109" s="221"/>
      <c r="N109" s="221"/>
      <c r="O109" s="221"/>
      <c r="P109" s="221"/>
      <c r="Q109" s="221"/>
      <c r="R109" s="221">
        <v>1200000</v>
      </c>
      <c r="S109" s="221"/>
      <c r="T109" s="221"/>
      <c r="U109" s="221"/>
      <c r="V109" s="221"/>
      <c r="W109" s="221">
        <v>7854000</v>
      </c>
      <c r="X109" s="221">
        <v>2488500</v>
      </c>
      <c r="Y109" s="221"/>
      <c r="Z109" s="221"/>
      <c r="AA109" s="221"/>
      <c r="AB109" s="221"/>
      <c r="AC109" s="221"/>
      <c r="AD109" s="221"/>
      <c r="AE109" s="221"/>
      <c r="AF109" s="221"/>
      <c r="AG109" s="221"/>
      <c r="AH109" s="221"/>
      <c r="AI109" s="221"/>
      <c r="AJ109" s="221"/>
      <c r="AK109" s="221"/>
      <c r="AL109" s="221"/>
      <c r="AM109" s="221"/>
      <c r="AN109" s="221"/>
      <c r="AO109" s="221"/>
      <c r="AP109" s="221"/>
      <c r="AQ109" s="221"/>
      <c r="AR109" s="221"/>
      <c r="AS109" s="221"/>
      <c r="AT109" s="221">
        <f t="shared" si="123"/>
        <v>11542500</v>
      </c>
      <c r="AU109" s="224">
        <f t="shared" si="124"/>
        <v>91.972111553784856</v>
      </c>
      <c r="AV109" s="225">
        <f t="shared" si="125"/>
        <v>1007500</v>
      </c>
      <c r="AW109" s="224">
        <f t="shared" si="126"/>
        <v>8.0278884462151403</v>
      </c>
      <c r="AX109" s="220" t="s">
        <v>531</v>
      </c>
      <c r="AY109" s="220" t="s">
        <v>532</v>
      </c>
      <c r="AZ109" s="220" t="s">
        <v>4729</v>
      </c>
      <c r="BA109" s="221"/>
      <c r="BB109" s="221">
        <v>1200000</v>
      </c>
      <c r="BC109" s="300"/>
      <c r="BD109" s="221"/>
      <c r="BE109" s="221"/>
      <c r="BF109" s="221">
        <v>7854000</v>
      </c>
      <c r="BG109" s="221">
        <v>2488500</v>
      </c>
      <c r="BH109" s="221"/>
    </row>
    <row r="110" spans="2:60" x14ac:dyDescent="0.3">
      <c r="B110" s="288">
        <v>521219</v>
      </c>
      <c r="C110" s="220" t="s">
        <v>53</v>
      </c>
      <c r="D110" s="220"/>
      <c r="E110" s="220"/>
      <c r="F110" s="221">
        <v>1192000</v>
      </c>
      <c r="G110" s="221">
        <v>3000000</v>
      </c>
      <c r="H110" s="221"/>
      <c r="I110" s="221"/>
      <c r="J110" s="221"/>
      <c r="K110" s="221"/>
      <c r="L110" s="221"/>
      <c r="M110" s="221"/>
      <c r="N110" s="221"/>
      <c r="O110" s="221"/>
      <c r="P110" s="221"/>
      <c r="Q110" s="300">
        <v>473213</v>
      </c>
      <c r="R110" s="221">
        <v>236994</v>
      </c>
      <c r="S110" s="221"/>
      <c r="T110" s="221"/>
      <c r="U110" s="221"/>
      <c r="V110" s="221"/>
      <c r="W110" s="221">
        <v>238833</v>
      </c>
      <c r="X110" s="221">
        <v>242378</v>
      </c>
      <c r="Y110" s="221"/>
      <c r="Z110" s="221"/>
      <c r="AA110" s="221"/>
      <c r="AB110" s="221"/>
      <c r="AC110" s="221"/>
      <c r="AD110" s="221"/>
      <c r="AE110" s="221"/>
      <c r="AF110" s="221"/>
      <c r="AG110" s="221"/>
      <c r="AH110" s="221"/>
      <c r="AI110" s="221"/>
      <c r="AJ110" s="221"/>
      <c r="AK110" s="221"/>
      <c r="AL110" s="221"/>
      <c r="AM110" s="221"/>
      <c r="AN110" s="221"/>
      <c r="AO110" s="221"/>
      <c r="AP110" s="221"/>
      <c r="AQ110" s="221"/>
      <c r="AR110" s="221"/>
      <c r="AS110" s="221"/>
      <c r="AT110" s="221">
        <f t="shared" si="123"/>
        <v>1191418</v>
      </c>
      <c r="AU110" s="224">
        <f t="shared" si="124"/>
        <v>99.951174496644285</v>
      </c>
      <c r="AV110" s="225">
        <f t="shared" si="125"/>
        <v>582</v>
      </c>
      <c r="AW110" s="224">
        <f t="shared" si="126"/>
        <v>4.8825503355704701E-2</v>
      </c>
      <c r="AX110" s="220" t="s">
        <v>531</v>
      </c>
      <c r="AY110" s="220" t="s">
        <v>532</v>
      </c>
      <c r="AZ110" s="220" t="s">
        <v>4729</v>
      </c>
      <c r="BA110" s="221"/>
      <c r="BB110" s="221">
        <v>236994</v>
      </c>
      <c r="BC110" s="300">
        <v>473213</v>
      </c>
      <c r="BD110" s="221"/>
      <c r="BE110" s="221"/>
      <c r="BF110" s="221">
        <v>238833</v>
      </c>
      <c r="BG110" s="221">
        <v>242378</v>
      </c>
      <c r="BH110" s="221"/>
    </row>
    <row r="111" spans="2:60" x14ac:dyDescent="0.3">
      <c r="B111" s="288">
        <v>522151</v>
      </c>
      <c r="C111" s="220" t="s">
        <v>11</v>
      </c>
      <c r="D111" s="220"/>
      <c r="E111" s="220"/>
      <c r="F111" s="221">
        <v>9000000</v>
      </c>
      <c r="G111" s="221">
        <v>70000000</v>
      </c>
      <c r="H111" s="221"/>
      <c r="I111" s="221"/>
      <c r="J111" s="221"/>
      <c r="K111" s="221"/>
      <c r="L111" s="221"/>
      <c r="M111" s="221"/>
      <c r="N111" s="221"/>
      <c r="O111" s="221"/>
      <c r="P111" s="221"/>
      <c r="Q111" s="221"/>
      <c r="R111" s="221">
        <v>1800000</v>
      </c>
      <c r="S111" s="221">
        <v>1000000</v>
      </c>
      <c r="T111" s="221"/>
      <c r="U111" s="221"/>
      <c r="V111" s="221"/>
      <c r="W111" s="221"/>
      <c r="X111" s="221">
        <v>2000000</v>
      </c>
      <c r="Y111" s="221"/>
      <c r="Z111" s="221"/>
      <c r="AA111" s="221"/>
      <c r="AB111" s="221"/>
      <c r="AC111" s="221"/>
      <c r="AD111" s="221"/>
      <c r="AE111" s="221"/>
      <c r="AF111" s="221"/>
      <c r="AG111" s="221"/>
      <c r="AH111" s="221"/>
      <c r="AI111" s="221"/>
      <c r="AJ111" s="221"/>
      <c r="AK111" s="221"/>
      <c r="AL111" s="221"/>
      <c r="AM111" s="221"/>
      <c r="AN111" s="221"/>
      <c r="AO111" s="221"/>
      <c r="AP111" s="221"/>
      <c r="AQ111" s="221"/>
      <c r="AR111" s="221"/>
      <c r="AS111" s="221"/>
      <c r="AT111" s="221">
        <f t="shared" si="123"/>
        <v>4800000</v>
      </c>
      <c r="AU111" s="224">
        <f t="shared" si="124"/>
        <v>53.333333333333336</v>
      </c>
      <c r="AV111" s="225">
        <f t="shared" si="125"/>
        <v>4200000</v>
      </c>
      <c r="AW111" s="224">
        <f t="shared" si="126"/>
        <v>46.666666666666664</v>
      </c>
      <c r="AX111" s="220" t="s">
        <v>531</v>
      </c>
      <c r="AY111" s="220" t="s">
        <v>532</v>
      </c>
      <c r="AZ111" s="220" t="s">
        <v>4729</v>
      </c>
      <c r="BA111" s="221"/>
      <c r="BB111" s="221">
        <v>1800000</v>
      </c>
      <c r="BC111" s="300"/>
      <c r="BD111" s="221"/>
      <c r="BE111" s="221"/>
      <c r="BF111" s="221"/>
      <c r="BG111" s="221">
        <v>2000000</v>
      </c>
      <c r="BH111" s="221"/>
    </row>
    <row r="112" spans="2:60" x14ac:dyDescent="0.3">
      <c r="B112" s="288">
        <v>524111</v>
      </c>
      <c r="C112" s="220" t="s">
        <v>19</v>
      </c>
      <c r="D112" s="220"/>
      <c r="E112" s="220"/>
      <c r="F112" s="221">
        <v>60764000</v>
      </c>
      <c r="G112" s="221">
        <v>246000000</v>
      </c>
      <c r="H112" s="221"/>
      <c r="I112" s="221"/>
      <c r="J112" s="221"/>
      <c r="K112" s="221"/>
      <c r="L112" s="221"/>
      <c r="M112" s="221"/>
      <c r="N112" s="221"/>
      <c r="O112" s="221"/>
      <c r="P112" s="221"/>
      <c r="Q112" s="300">
        <v>2700000</v>
      </c>
      <c r="R112" s="221"/>
      <c r="S112" s="221"/>
      <c r="T112" s="221"/>
      <c r="U112" s="221"/>
      <c r="V112" s="221">
        <f>872000+14922000+3620000</f>
        <v>19414000</v>
      </c>
      <c r="W112" s="221"/>
      <c r="X112" s="221">
        <v>8114345</v>
      </c>
      <c r="Y112" s="221">
        <f>3000000+25425327+2110000</f>
        <v>30535327</v>
      </c>
      <c r="Z112" s="221"/>
      <c r="AA112" s="221"/>
      <c r="AB112" s="221"/>
      <c r="AC112" s="221"/>
      <c r="AD112" s="221"/>
      <c r="AE112" s="221"/>
      <c r="AF112" s="221"/>
      <c r="AG112" s="221"/>
      <c r="AH112" s="221"/>
      <c r="AI112" s="221"/>
      <c r="AJ112" s="221"/>
      <c r="AK112" s="221"/>
      <c r="AL112" s="221"/>
      <c r="AM112" s="221"/>
      <c r="AN112" s="221"/>
      <c r="AO112" s="221"/>
      <c r="AP112" s="221"/>
      <c r="AQ112" s="221"/>
      <c r="AR112" s="221"/>
      <c r="AS112" s="221"/>
      <c r="AT112" s="221">
        <f t="shared" si="123"/>
        <v>60763672</v>
      </c>
      <c r="AU112" s="224">
        <f t="shared" si="124"/>
        <v>99.999460206701343</v>
      </c>
      <c r="AV112" s="225">
        <f t="shared" si="125"/>
        <v>328</v>
      </c>
      <c r="AW112" s="224">
        <f t="shared" si="126"/>
        <v>5.3979329866368244E-4</v>
      </c>
      <c r="AX112" s="220" t="s">
        <v>531</v>
      </c>
      <c r="AY112" s="220" t="s">
        <v>532</v>
      </c>
      <c r="AZ112" s="220" t="s">
        <v>4729</v>
      </c>
      <c r="BA112" s="221"/>
      <c r="BB112" s="221"/>
      <c r="BC112" s="300">
        <v>2700000</v>
      </c>
      <c r="BD112" s="221"/>
      <c r="BE112" s="221"/>
      <c r="BF112" s="221"/>
      <c r="BG112" s="221">
        <v>8114345</v>
      </c>
      <c r="BH112" s="221"/>
    </row>
    <row r="113" spans="2:60" x14ac:dyDescent="0.3">
      <c r="B113" s="290" t="s">
        <v>580</v>
      </c>
      <c r="C113" s="222" t="s">
        <v>1505</v>
      </c>
      <c r="D113" s="222"/>
      <c r="E113" s="222"/>
      <c r="F113" s="223">
        <f t="shared" ref="F113:AS113" si="162">SUM(F114:F117)</f>
        <v>0</v>
      </c>
      <c r="G113" s="223">
        <f t="shared" ref="G113:H113" si="163">SUM(G114:G117)</f>
        <v>639737000</v>
      </c>
      <c r="H113" s="223">
        <f t="shared" si="163"/>
        <v>0</v>
      </c>
      <c r="I113" s="223"/>
      <c r="J113" s="223">
        <f t="shared" si="162"/>
        <v>0</v>
      </c>
      <c r="K113" s="223">
        <f t="shared" si="162"/>
        <v>0</v>
      </c>
      <c r="L113" s="223">
        <f t="shared" si="162"/>
        <v>0</v>
      </c>
      <c r="M113" s="223">
        <f t="shared" si="162"/>
        <v>0</v>
      </c>
      <c r="N113" s="223">
        <f t="shared" si="162"/>
        <v>0</v>
      </c>
      <c r="O113" s="223">
        <f t="shared" si="162"/>
        <v>0</v>
      </c>
      <c r="P113" s="223">
        <f t="shared" si="162"/>
        <v>0</v>
      </c>
      <c r="Q113" s="223">
        <f t="shared" si="162"/>
        <v>0</v>
      </c>
      <c r="R113" s="223">
        <f t="shared" si="162"/>
        <v>0</v>
      </c>
      <c r="S113" s="223">
        <f t="shared" si="162"/>
        <v>0</v>
      </c>
      <c r="T113" s="223">
        <f t="shared" si="162"/>
        <v>0</v>
      </c>
      <c r="U113" s="223">
        <f t="shared" si="162"/>
        <v>0</v>
      </c>
      <c r="V113" s="223">
        <f t="shared" si="162"/>
        <v>0</v>
      </c>
      <c r="W113" s="223">
        <f t="shared" si="162"/>
        <v>0</v>
      </c>
      <c r="X113" s="223">
        <f t="shared" si="162"/>
        <v>0</v>
      </c>
      <c r="Y113" s="223">
        <f t="shared" si="162"/>
        <v>0</v>
      </c>
      <c r="Z113" s="223">
        <f t="shared" si="162"/>
        <v>0</v>
      </c>
      <c r="AA113" s="223">
        <f t="shared" si="162"/>
        <v>0</v>
      </c>
      <c r="AB113" s="223">
        <f t="shared" si="162"/>
        <v>0</v>
      </c>
      <c r="AC113" s="223">
        <f t="shared" si="162"/>
        <v>0</v>
      </c>
      <c r="AD113" s="223">
        <f t="shared" si="162"/>
        <v>0</v>
      </c>
      <c r="AE113" s="223">
        <f t="shared" si="162"/>
        <v>0</v>
      </c>
      <c r="AF113" s="223">
        <f t="shared" si="162"/>
        <v>0</v>
      </c>
      <c r="AG113" s="223">
        <f t="shared" si="162"/>
        <v>0</v>
      </c>
      <c r="AH113" s="223">
        <f t="shared" si="162"/>
        <v>0</v>
      </c>
      <c r="AI113" s="223">
        <f t="shared" si="162"/>
        <v>0</v>
      </c>
      <c r="AJ113" s="223">
        <f t="shared" si="162"/>
        <v>0</v>
      </c>
      <c r="AK113" s="223">
        <f t="shared" si="162"/>
        <v>0</v>
      </c>
      <c r="AL113" s="223">
        <f t="shared" si="162"/>
        <v>0</v>
      </c>
      <c r="AM113" s="223">
        <f t="shared" si="162"/>
        <v>0</v>
      </c>
      <c r="AN113" s="223">
        <f t="shared" si="162"/>
        <v>0</v>
      </c>
      <c r="AO113" s="223">
        <f t="shared" si="162"/>
        <v>0</v>
      </c>
      <c r="AP113" s="223">
        <f t="shared" si="162"/>
        <v>0</v>
      </c>
      <c r="AQ113" s="223">
        <f t="shared" si="162"/>
        <v>0</v>
      </c>
      <c r="AR113" s="223">
        <f t="shared" si="162"/>
        <v>0</v>
      </c>
      <c r="AS113" s="223">
        <f t="shared" si="162"/>
        <v>0</v>
      </c>
      <c r="AT113" s="223">
        <f t="shared" si="123"/>
        <v>0</v>
      </c>
      <c r="AU113" s="231">
        <f t="shared" si="124"/>
        <v>0</v>
      </c>
      <c r="AV113" s="232">
        <f t="shared" si="125"/>
        <v>0</v>
      </c>
      <c r="AW113" s="231" t="e">
        <f t="shared" si="126"/>
        <v>#DIV/0!</v>
      </c>
      <c r="AX113" s="220" t="s">
        <v>531</v>
      </c>
      <c r="AY113" s="220" t="s">
        <v>534</v>
      </c>
      <c r="AZ113" s="220" t="s">
        <v>4729</v>
      </c>
      <c r="BA113" s="223">
        <f t="shared" ref="BA113:BD113" si="164">SUM(BA114:BA117)</f>
        <v>0</v>
      </c>
      <c r="BB113" s="223">
        <f t="shared" si="164"/>
        <v>0</v>
      </c>
      <c r="BC113" s="223">
        <f t="shared" si="164"/>
        <v>0</v>
      </c>
      <c r="BD113" s="223">
        <f t="shared" si="164"/>
        <v>0</v>
      </c>
      <c r="BE113" s="223">
        <f t="shared" ref="BE113" si="165">SUM(BE114:BE117)</f>
        <v>0</v>
      </c>
      <c r="BF113" s="223">
        <f t="shared" ref="BF113:BG113" si="166">SUM(BF114:BF117)</f>
        <v>0</v>
      </c>
      <c r="BG113" s="223">
        <f t="shared" si="166"/>
        <v>0</v>
      </c>
      <c r="BH113" s="223">
        <f t="shared" ref="BH113" si="167">SUM(BH114:BH117)</f>
        <v>0</v>
      </c>
    </row>
    <row r="114" spans="2:60" x14ac:dyDescent="0.3">
      <c r="B114" s="288">
        <v>521211</v>
      </c>
      <c r="C114" s="220" t="s">
        <v>7</v>
      </c>
      <c r="D114" s="220"/>
      <c r="E114" s="220"/>
      <c r="F114" s="221">
        <v>0</v>
      </c>
      <c r="G114" s="221">
        <v>118575000</v>
      </c>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c r="AR114" s="221"/>
      <c r="AS114" s="221"/>
      <c r="AT114" s="221">
        <f t="shared" si="123"/>
        <v>0</v>
      </c>
      <c r="AU114" s="224">
        <f t="shared" si="124"/>
        <v>0</v>
      </c>
      <c r="AV114" s="225">
        <f t="shared" si="125"/>
        <v>0</v>
      </c>
      <c r="AW114" s="224" t="e">
        <f t="shared" si="126"/>
        <v>#DIV/0!</v>
      </c>
      <c r="AX114" s="220" t="s">
        <v>531</v>
      </c>
      <c r="AY114" s="220" t="s">
        <v>534</v>
      </c>
      <c r="AZ114" s="220" t="s">
        <v>4729</v>
      </c>
      <c r="BA114" s="221"/>
      <c r="BB114" s="221"/>
      <c r="BC114" s="300"/>
      <c r="BD114" s="221"/>
      <c r="BE114" s="221"/>
      <c r="BF114" s="221"/>
      <c r="BG114" s="221"/>
      <c r="BH114" s="221"/>
    </row>
    <row r="115" spans="2:60" x14ac:dyDescent="0.3">
      <c r="B115" s="288">
        <v>521219</v>
      </c>
      <c r="C115" s="220" t="s">
        <v>53</v>
      </c>
      <c r="D115" s="220"/>
      <c r="E115" s="220"/>
      <c r="F115" s="221">
        <v>0</v>
      </c>
      <c r="G115" s="221">
        <v>393200000</v>
      </c>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c r="AR115" s="221"/>
      <c r="AS115" s="221"/>
      <c r="AT115" s="221">
        <f t="shared" si="123"/>
        <v>0</v>
      </c>
      <c r="AU115" s="224">
        <f t="shared" si="124"/>
        <v>0</v>
      </c>
      <c r="AV115" s="225">
        <f t="shared" si="125"/>
        <v>0</v>
      </c>
      <c r="AW115" s="224" t="e">
        <f t="shared" si="126"/>
        <v>#DIV/0!</v>
      </c>
      <c r="AX115" s="220" t="s">
        <v>531</v>
      </c>
      <c r="AY115" s="220" t="s">
        <v>534</v>
      </c>
      <c r="AZ115" s="220" t="s">
        <v>4729</v>
      </c>
      <c r="BA115" s="221"/>
      <c r="BB115" s="221"/>
      <c r="BC115" s="300"/>
      <c r="BD115" s="221"/>
      <c r="BE115" s="221"/>
      <c r="BF115" s="221"/>
      <c r="BG115" s="221"/>
      <c r="BH115" s="221"/>
    </row>
    <row r="116" spans="2:60" x14ac:dyDescent="0.3">
      <c r="B116" s="288">
        <v>522141</v>
      </c>
      <c r="C116" s="220" t="s">
        <v>95</v>
      </c>
      <c r="D116" s="220"/>
      <c r="E116" s="220"/>
      <c r="F116" s="221">
        <v>0</v>
      </c>
      <c r="G116" s="221">
        <v>120000000</v>
      </c>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c r="AR116" s="221"/>
      <c r="AS116" s="221"/>
      <c r="AT116" s="221">
        <f t="shared" si="123"/>
        <v>0</v>
      </c>
      <c r="AU116" s="224">
        <f t="shared" si="124"/>
        <v>0</v>
      </c>
      <c r="AV116" s="225">
        <f>F116-AT116</f>
        <v>0</v>
      </c>
      <c r="AW116" s="224" t="e">
        <f t="shared" si="126"/>
        <v>#DIV/0!</v>
      </c>
      <c r="AX116" s="220" t="s">
        <v>531</v>
      </c>
      <c r="AY116" s="220" t="s">
        <v>534</v>
      </c>
      <c r="AZ116" s="220" t="s">
        <v>4729</v>
      </c>
      <c r="BA116" s="221"/>
      <c r="BB116" s="221"/>
      <c r="BC116" s="300"/>
      <c r="BD116" s="221"/>
      <c r="BE116" s="221"/>
      <c r="BF116" s="221"/>
      <c r="BG116" s="221"/>
      <c r="BH116" s="221"/>
    </row>
    <row r="117" spans="2:60" x14ac:dyDescent="0.3">
      <c r="B117" s="288">
        <v>524111</v>
      </c>
      <c r="C117" s="220" t="s">
        <v>19</v>
      </c>
      <c r="D117" s="220"/>
      <c r="E117" s="220"/>
      <c r="F117" s="221">
        <v>0</v>
      </c>
      <c r="G117" s="221">
        <v>7962000</v>
      </c>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c r="AR117" s="221"/>
      <c r="AS117" s="221"/>
      <c r="AT117" s="221">
        <f t="shared" si="123"/>
        <v>0</v>
      </c>
      <c r="AU117" s="224">
        <f t="shared" si="124"/>
        <v>0</v>
      </c>
      <c r="AV117" s="225">
        <f t="shared" si="125"/>
        <v>0</v>
      </c>
      <c r="AW117" s="224" t="e">
        <f t="shared" si="126"/>
        <v>#DIV/0!</v>
      </c>
      <c r="AX117" s="220" t="s">
        <v>531</v>
      </c>
      <c r="AY117" s="220" t="s">
        <v>534</v>
      </c>
      <c r="AZ117" s="220" t="s">
        <v>4729</v>
      </c>
      <c r="BA117" s="221"/>
      <c r="BB117" s="221"/>
      <c r="BC117" s="300"/>
      <c r="BD117" s="221"/>
      <c r="BE117" s="221"/>
      <c r="BF117" s="221"/>
      <c r="BG117" s="221"/>
      <c r="BH117" s="221"/>
    </row>
    <row r="118" spans="2:60" x14ac:dyDescent="0.3">
      <c r="B118" s="290" t="s">
        <v>581</v>
      </c>
      <c r="C118" s="222" t="s">
        <v>1537</v>
      </c>
      <c r="D118" s="222"/>
      <c r="E118" s="222"/>
      <c r="F118" s="223">
        <f>SUM(F119:F122)</f>
        <v>110263000</v>
      </c>
      <c r="G118" s="223">
        <f>SUM(G119:G122)</f>
        <v>110263000</v>
      </c>
      <c r="H118" s="223">
        <f>SUM(H119:H122)</f>
        <v>0</v>
      </c>
      <c r="I118" s="223"/>
      <c r="J118" s="223">
        <f t="shared" ref="J118:AS118" si="168">SUM(J119:J122)</f>
        <v>0</v>
      </c>
      <c r="K118" s="223">
        <f t="shared" si="168"/>
        <v>0</v>
      </c>
      <c r="L118" s="223">
        <f t="shared" si="168"/>
        <v>0</v>
      </c>
      <c r="M118" s="223">
        <f t="shared" si="168"/>
        <v>0</v>
      </c>
      <c r="N118" s="223">
        <f t="shared" si="168"/>
        <v>0</v>
      </c>
      <c r="O118" s="223">
        <f t="shared" si="168"/>
        <v>0</v>
      </c>
      <c r="P118" s="223">
        <f t="shared" si="168"/>
        <v>0</v>
      </c>
      <c r="Q118" s="223">
        <f t="shared" si="168"/>
        <v>9200000</v>
      </c>
      <c r="R118" s="223">
        <f t="shared" si="168"/>
        <v>18676000</v>
      </c>
      <c r="S118" s="223">
        <f t="shared" si="168"/>
        <v>0</v>
      </c>
      <c r="T118" s="223">
        <f t="shared" si="168"/>
        <v>0</v>
      </c>
      <c r="U118" s="223">
        <f t="shared" si="168"/>
        <v>0</v>
      </c>
      <c r="V118" s="223">
        <f t="shared" si="168"/>
        <v>0</v>
      </c>
      <c r="W118" s="223">
        <f t="shared" si="168"/>
        <v>528000</v>
      </c>
      <c r="X118" s="223">
        <f t="shared" si="168"/>
        <v>20747000</v>
      </c>
      <c r="Y118" s="223">
        <f t="shared" si="168"/>
        <v>0</v>
      </c>
      <c r="Z118" s="223">
        <f t="shared" si="168"/>
        <v>0</v>
      </c>
      <c r="AA118" s="223">
        <f t="shared" si="168"/>
        <v>0</v>
      </c>
      <c r="AB118" s="223">
        <f t="shared" si="168"/>
        <v>0</v>
      </c>
      <c r="AC118" s="223">
        <f t="shared" si="168"/>
        <v>0</v>
      </c>
      <c r="AD118" s="223">
        <f t="shared" si="168"/>
        <v>0</v>
      </c>
      <c r="AE118" s="223">
        <f t="shared" si="168"/>
        <v>0</v>
      </c>
      <c r="AF118" s="223">
        <f t="shared" si="168"/>
        <v>0</v>
      </c>
      <c r="AG118" s="223">
        <f t="shared" si="168"/>
        <v>0</v>
      </c>
      <c r="AH118" s="223">
        <f t="shared" si="168"/>
        <v>0</v>
      </c>
      <c r="AI118" s="223">
        <f t="shared" si="168"/>
        <v>0</v>
      </c>
      <c r="AJ118" s="223">
        <f t="shared" si="168"/>
        <v>0</v>
      </c>
      <c r="AK118" s="223">
        <f t="shared" si="168"/>
        <v>0</v>
      </c>
      <c r="AL118" s="223">
        <f t="shared" si="168"/>
        <v>0</v>
      </c>
      <c r="AM118" s="223">
        <f t="shared" si="168"/>
        <v>0</v>
      </c>
      <c r="AN118" s="223">
        <f t="shared" si="168"/>
        <v>0</v>
      </c>
      <c r="AO118" s="223">
        <f t="shared" si="168"/>
        <v>0</v>
      </c>
      <c r="AP118" s="223">
        <f t="shared" si="168"/>
        <v>0</v>
      </c>
      <c r="AQ118" s="223">
        <f t="shared" si="168"/>
        <v>0</v>
      </c>
      <c r="AR118" s="223">
        <f t="shared" si="168"/>
        <v>0</v>
      </c>
      <c r="AS118" s="223">
        <f t="shared" si="168"/>
        <v>0</v>
      </c>
      <c r="AT118" s="223">
        <f t="shared" si="123"/>
        <v>49151000</v>
      </c>
      <c r="AU118" s="231">
        <f t="shared" si="124"/>
        <v>44.576149751049762</v>
      </c>
      <c r="AV118" s="232">
        <f t="shared" si="125"/>
        <v>61112000</v>
      </c>
      <c r="AW118" s="231">
        <f t="shared" si="126"/>
        <v>55.423850248950238</v>
      </c>
      <c r="AX118" s="220" t="s">
        <v>531</v>
      </c>
      <c r="AY118" s="220" t="s">
        <v>534</v>
      </c>
      <c r="AZ118" s="220" t="s">
        <v>4729</v>
      </c>
      <c r="BA118" s="223">
        <f t="shared" ref="BA118:BD118" si="169">SUM(BA119:BA122)</f>
        <v>0</v>
      </c>
      <c r="BB118" s="223">
        <f t="shared" si="169"/>
        <v>18676000</v>
      </c>
      <c r="BC118" s="223">
        <f t="shared" si="169"/>
        <v>9200000</v>
      </c>
      <c r="BD118" s="223">
        <f t="shared" si="169"/>
        <v>0</v>
      </c>
      <c r="BE118" s="223">
        <f t="shared" ref="BE118" si="170">SUM(BE119:BE122)</f>
        <v>0</v>
      </c>
      <c r="BF118" s="223">
        <f t="shared" ref="BF118:BG118" si="171">SUM(BF119:BF122)</f>
        <v>528000</v>
      </c>
      <c r="BG118" s="223">
        <f t="shared" si="171"/>
        <v>20747000</v>
      </c>
      <c r="BH118" s="223">
        <f t="shared" ref="BH118" si="172">SUM(BH119:BH122)</f>
        <v>0</v>
      </c>
    </row>
    <row r="119" spans="2:60" x14ac:dyDescent="0.3">
      <c r="B119" s="288">
        <v>521211</v>
      </c>
      <c r="C119" s="220" t="s">
        <v>7</v>
      </c>
      <c r="D119" s="220"/>
      <c r="E119" s="220"/>
      <c r="F119" s="221">
        <v>17550000</v>
      </c>
      <c r="G119" s="221">
        <v>17550000</v>
      </c>
      <c r="H119" s="221"/>
      <c r="I119" s="221"/>
      <c r="J119" s="221"/>
      <c r="K119" s="221"/>
      <c r="L119" s="221"/>
      <c r="M119" s="221"/>
      <c r="N119" s="221"/>
      <c r="O119" s="221"/>
      <c r="P119" s="221"/>
      <c r="Q119" s="300"/>
      <c r="R119" s="221">
        <v>2444000</v>
      </c>
      <c r="S119" s="221"/>
      <c r="T119" s="221"/>
      <c r="U119" s="221"/>
      <c r="V119" s="221"/>
      <c r="W119" s="221">
        <v>528000</v>
      </c>
      <c r="X119" s="221">
        <v>6497000</v>
      </c>
      <c r="Y119" s="221"/>
      <c r="Z119" s="221"/>
      <c r="AA119" s="221"/>
      <c r="AB119" s="221"/>
      <c r="AC119" s="221"/>
      <c r="AD119" s="221"/>
      <c r="AE119" s="221"/>
      <c r="AF119" s="221"/>
      <c r="AG119" s="221"/>
      <c r="AH119" s="221"/>
      <c r="AI119" s="221"/>
      <c r="AJ119" s="221"/>
      <c r="AK119" s="221"/>
      <c r="AL119" s="221"/>
      <c r="AM119" s="221"/>
      <c r="AN119" s="221"/>
      <c r="AO119" s="221"/>
      <c r="AP119" s="221"/>
      <c r="AQ119" s="221"/>
      <c r="AR119" s="221"/>
      <c r="AS119" s="221"/>
      <c r="AT119" s="221">
        <f t="shared" si="123"/>
        <v>9469000</v>
      </c>
      <c r="AU119" s="224">
        <f t="shared" si="124"/>
        <v>53.954415954415957</v>
      </c>
      <c r="AV119" s="225">
        <f t="shared" si="125"/>
        <v>8081000</v>
      </c>
      <c r="AW119" s="224">
        <f t="shared" si="126"/>
        <v>46.04558404558405</v>
      </c>
      <c r="AX119" s="220" t="s">
        <v>531</v>
      </c>
      <c r="AY119" s="220" t="s">
        <v>534</v>
      </c>
      <c r="AZ119" s="220" t="s">
        <v>4729</v>
      </c>
      <c r="BA119" s="221"/>
      <c r="BB119" s="221">
        <v>2444000</v>
      </c>
      <c r="BC119" s="300"/>
      <c r="BD119" s="221"/>
      <c r="BE119" s="221"/>
      <c r="BF119" s="221">
        <v>528000</v>
      </c>
      <c r="BG119" s="221">
        <v>6497000</v>
      </c>
      <c r="BH119" s="221"/>
    </row>
    <row r="120" spans="2:60" x14ac:dyDescent="0.3">
      <c r="B120" s="288">
        <v>521219</v>
      </c>
      <c r="C120" s="220" t="s">
        <v>53</v>
      </c>
      <c r="D120" s="220"/>
      <c r="E120" s="220"/>
      <c r="F120" s="221">
        <v>27651000</v>
      </c>
      <c r="G120" s="221">
        <v>27651000</v>
      </c>
      <c r="H120" s="221"/>
      <c r="I120" s="221"/>
      <c r="J120" s="221"/>
      <c r="K120" s="221"/>
      <c r="L120" s="221"/>
      <c r="M120" s="221"/>
      <c r="N120" s="221"/>
      <c r="O120" s="221"/>
      <c r="P120" s="221"/>
      <c r="Q120" s="300">
        <v>120000</v>
      </c>
      <c r="R120" s="221">
        <v>250000</v>
      </c>
      <c r="S120" s="221"/>
      <c r="T120" s="221"/>
      <c r="U120" s="221"/>
      <c r="V120" s="221"/>
      <c r="W120" s="221"/>
      <c r="X120" s="221">
        <v>250000</v>
      </c>
      <c r="Y120" s="221"/>
      <c r="Z120" s="221"/>
      <c r="AA120" s="221"/>
      <c r="AB120" s="221"/>
      <c r="AC120" s="221"/>
      <c r="AD120" s="221"/>
      <c r="AE120" s="221"/>
      <c r="AF120" s="221"/>
      <c r="AG120" s="221"/>
      <c r="AH120" s="221"/>
      <c r="AI120" s="221"/>
      <c r="AJ120" s="221"/>
      <c r="AK120" s="221"/>
      <c r="AL120" s="221"/>
      <c r="AM120" s="221"/>
      <c r="AN120" s="221"/>
      <c r="AO120" s="221"/>
      <c r="AP120" s="221"/>
      <c r="AQ120" s="221"/>
      <c r="AR120" s="221"/>
      <c r="AS120" s="221"/>
      <c r="AT120" s="221">
        <f t="shared" si="123"/>
        <v>620000</v>
      </c>
      <c r="AU120" s="224">
        <f t="shared" si="124"/>
        <v>2.2422335539401832</v>
      </c>
      <c r="AV120" s="225">
        <f t="shared" si="125"/>
        <v>27031000</v>
      </c>
      <c r="AW120" s="224">
        <f t="shared" si="126"/>
        <v>97.757766446059819</v>
      </c>
      <c r="AX120" s="220" t="s">
        <v>531</v>
      </c>
      <c r="AY120" s="220" t="s">
        <v>534</v>
      </c>
      <c r="AZ120" s="382" t="s">
        <v>4729</v>
      </c>
      <c r="BA120" s="221"/>
      <c r="BB120" s="221">
        <v>250000</v>
      </c>
      <c r="BC120" s="300">
        <v>120000</v>
      </c>
      <c r="BD120" s="221"/>
      <c r="BE120" s="221"/>
      <c r="BF120" s="221"/>
      <c r="BG120" s="221">
        <v>250000</v>
      </c>
      <c r="BH120" s="221"/>
    </row>
    <row r="121" spans="2:60" x14ac:dyDescent="0.3">
      <c r="B121" s="288">
        <v>522151</v>
      </c>
      <c r="C121" s="220" t="s">
        <v>11</v>
      </c>
      <c r="D121" s="220"/>
      <c r="E121" s="220"/>
      <c r="F121" s="221">
        <v>40000000</v>
      </c>
      <c r="G121" s="221">
        <v>40000000</v>
      </c>
      <c r="H121" s="221"/>
      <c r="I121" s="221"/>
      <c r="J121" s="221"/>
      <c r="K121" s="221"/>
      <c r="L121" s="221"/>
      <c r="M121" s="221"/>
      <c r="N121" s="221"/>
      <c r="O121" s="221"/>
      <c r="P121" s="221"/>
      <c r="Q121" s="221"/>
      <c r="R121" s="221"/>
      <c r="S121" s="221"/>
      <c r="T121" s="221"/>
      <c r="U121" s="221"/>
      <c r="V121" s="221"/>
      <c r="W121" s="221"/>
      <c r="X121" s="221">
        <v>14000000</v>
      </c>
      <c r="Y121" s="221"/>
      <c r="Z121" s="221"/>
      <c r="AA121" s="221"/>
      <c r="AB121" s="221"/>
      <c r="AC121" s="221"/>
      <c r="AD121" s="221"/>
      <c r="AE121" s="221"/>
      <c r="AF121" s="221"/>
      <c r="AG121" s="221"/>
      <c r="AH121" s="221"/>
      <c r="AI121" s="221"/>
      <c r="AJ121" s="221"/>
      <c r="AK121" s="221"/>
      <c r="AL121" s="221"/>
      <c r="AM121" s="221"/>
      <c r="AN121" s="221"/>
      <c r="AO121" s="221"/>
      <c r="AP121" s="221"/>
      <c r="AQ121" s="221"/>
      <c r="AR121" s="221"/>
      <c r="AS121" s="221"/>
      <c r="AT121" s="221">
        <f t="shared" si="123"/>
        <v>14000000</v>
      </c>
      <c r="AU121" s="224">
        <f t="shared" si="124"/>
        <v>35</v>
      </c>
      <c r="AV121" s="225">
        <f>F121-AT121</f>
        <v>26000000</v>
      </c>
      <c r="AW121" s="224">
        <f t="shared" si="126"/>
        <v>65</v>
      </c>
      <c r="AX121" s="220" t="s">
        <v>531</v>
      </c>
      <c r="AY121" s="220" t="s">
        <v>534</v>
      </c>
      <c r="AZ121" s="220" t="s">
        <v>4729</v>
      </c>
      <c r="BA121" s="221"/>
      <c r="BB121" s="221"/>
      <c r="BC121" s="300"/>
      <c r="BD121" s="221"/>
      <c r="BE121" s="221"/>
      <c r="BF121" s="221"/>
      <c r="BG121" s="221">
        <v>14000000</v>
      </c>
      <c r="BH121" s="221"/>
    </row>
    <row r="122" spans="2:60" x14ac:dyDescent="0.3">
      <c r="B122" s="288">
        <v>524111</v>
      </c>
      <c r="C122" s="220" t="s">
        <v>19</v>
      </c>
      <c r="D122" s="220"/>
      <c r="E122" s="220"/>
      <c r="F122" s="221">
        <v>25062000</v>
      </c>
      <c r="G122" s="221">
        <v>25062000</v>
      </c>
      <c r="H122" s="221"/>
      <c r="I122" s="221"/>
      <c r="J122" s="221"/>
      <c r="K122" s="221"/>
      <c r="L122" s="221"/>
      <c r="M122" s="221"/>
      <c r="N122" s="221"/>
      <c r="O122" s="221"/>
      <c r="P122" s="221"/>
      <c r="Q122" s="300">
        <v>9080000</v>
      </c>
      <c r="R122" s="221">
        <v>15982000</v>
      </c>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c r="AS122" s="221"/>
      <c r="AT122" s="221">
        <f t="shared" si="123"/>
        <v>25062000</v>
      </c>
      <c r="AU122" s="224">
        <f t="shared" si="124"/>
        <v>100</v>
      </c>
      <c r="AV122" s="225">
        <f t="shared" si="125"/>
        <v>0</v>
      </c>
      <c r="AW122" s="224">
        <f t="shared" si="126"/>
        <v>0</v>
      </c>
      <c r="AX122" s="220" t="s">
        <v>531</v>
      </c>
      <c r="AY122" s="220" t="s">
        <v>534</v>
      </c>
      <c r="AZ122" s="220" t="s">
        <v>4729</v>
      </c>
      <c r="BA122" s="221"/>
      <c r="BB122" s="221">
        <v>15982000</v>
      </c>
      <c r="BC122" s="300">
        <v>9080000</v>
      </c>
      <c r="BD122" s="221"/>
      <c r="BE122" s="221"/>
      <c r="BF122" s="221"/>
      <c r="BG122" s="221"/>
      <c r="BH122" s="221"/>
    </row>
    <row r="123" spans="2:60" x14ac:dyDescent="0.3">
      <c r="B123" s="226" t="s">
        <v>3986</v>
      </c>
      <c r="C123" s="227" t="s">
        <v>1701</v>
      </c>
      <c r="D123" s="227">
        <v>1</v>
      </c>
      <c r="E123" s="227" t="s">
        <v>3740</v>
      </c>
      <c r="F123" s="228">
        <f>F124</f>
        <v>2195658000</v>
      </c>
      <c r="G123" s="228">
        <f>G124</f>
        <v>2195658000</v>
      </c>
      <c r="H123" s="228">
        <f>H124</f>
        <v>100000000</v>
      </c>
      <c r="I123" s="228"/>
      <c r="J123" s="228">
        <f t="shared" ref="J123:AS123" si="173">J124</f>
        <v>0</v>
      </c>
      <c r="K123" s="228">
        <f t="shared" si="173"/>
        <v>0</v>
      </c>
      <c r="L123" s="228">
        <f t="shared" si="173"/>
        <v>0</v>
      </c>
      <c r="M123" s="228">
        <f t="shared" si="173"/>
        <v>63640000</v>
      </c>
      <c r="N123" s="228">
        <f t="shared" si="173"/>
        <v>0</v>
      </c>
      <c r="O123" s="228">
        <f t="shared" si="173"/>
        <v>0</v>
      </c>
      <c r="P123" s="228">
        <f t="shared" si="173"/>
        <v>63640000</v>
      </c>
      <c r="Q123" s="228">
        <f t="shared" si="173"/>
        <v>49421537</v>
      </c>
      <c r="R123" s="228">
        <f t="shared" si="173"/>
        <v>80540400</v>
      </c>
      <c r="S123" s="228">
        <f t="shared" si="173"/>
        <v>127280000</v>
      </c>
      <c r="T123" s="228">
        <f t="shared" si="173"/>
        <v>35138796</v>
      </c>
      <c r="U123" s="228">
        <f t="shared" si="173"/>
        <v>0</v>
      </c>
      <c r="V123" s="228">
        <f t="shared" si="173"/>
        <v>63640000</v>
      </c>
      <c r="W123" s="228">
        <f t="shared" si="173"/>
        <v>116380908</v>
      </c>
      <c r="X123" s="228">
        <f t="shared" si="173"/>
        <v>0</v>
      </c>
      <c r="Y123" s="228">
        <f t="shared" si="173"/>
        <v>63640000</v>
      </c>
      <c r="Z123" s="228">
        <f t="shared" si="173"/>
        <v>0</v>
      </c>
      <c r="AA123" s="228">
        <f t="shared" si="173"/>
        <v>0</v>
      </c>
      <c r="AB123" s="228">
        <f t="shared" si="173"/>
        <v>0</v>
      </c>
      <c r="AC123" s="228">
        <f t="shared" si="173"/>
        <v>0</v>
      </c>
      <c r="AD123" s="228">
        <f t="shared" si="173"/>
        <v>0</v>
      </c>
      <c r="AE123" s="228">
        <f t="shared" si="173"/>
        <v>0</v>
      </c>
      <c r="AF123" s="228">
        <f t="shared" si="173"/>
        <v>0</v>
      </c>
      <c r="AG123" s="228">
        <f t="shared" si="173"/>
        <v>0</v>
      </c>
      <c r="AH123" s="228">
        <f t="shared" si="173"/>
        <v>0</v>
      </c>
      <c r="AI123" s="228">
        <f t="shared" si="173"/>
        <v>0</v>
      </c>
      <c r="AJ123" s="228">
        <f t="shared" si="173"/>
        <v>0</v>
      </c>
      <c r="AK123" s="228">
        <f t="shared" si="173"/>
        <v>0</v>
      </c>
      <c r="AL123" s="228">
        <f t="shared" si="173"/>
        <v>0</v>
      </c>
      <c r="AM123" s="228">
        <f t="shared" si="173"/>
        <v>0</v>
      </c>
      <c r="AN123" s="228">
        <f t="shared" si="173"/>
        <v>0</v>
      </c>
      <c r="AO123" s="228">
        <f t="shared" si="173"/>
        <v>0</v>
      </c>
      <c r="AP123" s="228">
        <f t="shared" si="173"/>
        <v>0</v>
      </c>
      <c r="AQ123" s="228">
        <f t="shared" si="173"/>
        <v>0</v>
      </c>
      <c r="AR123" s="228">
        <f t="shared" si="173"/>
        <v>0</v>
      </c>
      <c r="AS123" s="228">
        <f t="shared" si="173"/>
        <v>0</v>
      </c>
      <c r="AT123" s="228">
        <f>SUM(J123:AS123)</f>
        <v>663321641</v>
      </c>
      <c r="AU123" s="229">
        <f t="shared" si="124"/>
        <v>30.210608437197411</v>
      </c>
      <c r="AV123" s="230">
        <f>F123-AT123</f>
        <v>1532336359</v>
      </c>
      <c r="AW123" s="229">
        <f>AV123/F123*100</f>
        <v>69.789391562802578</v>
      </c>
      <c r="AX123" s="220" t="s">
        <v>576</v>
      </c>
      <c r="AY123" s="220" t="s">
        <v>560</v>
      </c>
      <c r="AZ123" s="220" t="s">
        <v>4812</v>
      </c>
      <c r="BA123" s="228">
        <f t="shared" ref="BA123:BH123" si="174">BA124</f>
        <v>40653115</v>
      </c>
      <c r="BB123" s="228">
        <f t="shared" si="174"/>
        <v>80540400</v>
      </c>
      <c r="BC123" s="228">
        <f t="shared" si="174"/>
        <v>8768422</v>
      </c>
      <c r="BD123" s="228">
        <f t="shared" si="174"/>
        <v>35138796</v>
      </c>
      <c r="BE123" s="228">
        <f t="shared" si="174"/>
        <v>64950711</v>
      </c>
      <c r="BF123" s="228">
        <f t="shared" si="174"/>
        <v>51430197</v>
      </c>
      <c r="BG123" s="228">
        <f t="shared" si="174"/>
        <v>0</v>
      </c>
      <c r="BH123" s="228">
        <f t="shared" si="174"/>
        <v>0</v>
      </c>
    </row>
    <row r="124" spans="2:60" x14ac:dyDescent="0.3">
      <c r="B124" s="226" t="s">
        <v>557</v>
      </c>
      <c r="C124" s="227" t="s">
        <v>89</v>
      </c>
      <c r="D124" s="227"/>
      <c r="E124" s="227"/>
      <c r="F124" s="228">
        <f>F125+F128+F131+F134+F137</f>
        <v>2195658000</v>
      </c>
      <c r="G124" s="228">
        <f>G125+G128+G131+G134+G137</f>
        <v>2195658000</v>
      </c>
      <c r="H124" s="228">
        <f>H125+H128+H131+H134+H137</f>
        <v>100000000</v>
      </c>
      <c r="I124" s="228"/>
      <c r="J124" s="228">
        <f t="shared" ref="J124:AS124" si="175">J125+J128+J131+J134+J137</f>
        <v>0</v>
      </c>
      <c r="K124" s="228">
        <f t="shared" si="175"/>
        <v>0</v>
      </c>
      <c r="L124" s="228">
        <f t="shared" si="175"/>
        <v>0</v>
      </c>
      <c r="M124" s="228">
        <f t="shared" si="175"/>
        <v>63640000</v>
      </c>
      <c r="N124" s="228">
        <f t="shared" si="175"/>
        <v>0</v>
      </c>
      <c r="O124" s="228">
        <f t="shared" si="175"/>
        <v>0</v>
      </c>
      <c r="P124" s="228">
        <f t="shared" si="175"/>
        <v>63640000</v>
      </c>
      <c r="Q124" s="228">
        <f t="shared" si="175"/>
        <v>49421537</v>
      </c>
      <c r="R124" s="228">
        <f t="shared" si="175"/>
        <v>80540400</v>
      </c>
      <c r="S124" s="228">
        <f t="shared" si="175"/>
        <v>127280000</v>
      </c>
      <c r="T124" s="228">
        <f t="shared" si="175"/>
        <v>35138796</v>
      </c>
      <c r="U124" s="228">
        <f t="shared" si="175"/>
        <v>0</v>
      </c>
      <c r="V124" s="228">
        <f t="shared" si="175"/>
        <v>63640000</v>
      </c>
      <c r="W124" s="228">
        <f t="shared" si="175"/>
        <v>116380908</v>
      </c>
      <c r="X124" s="228">
        <f t="shared" si="175"/>
        <v>0</v>
      </c>
      <c r="Y124" s="228">
        <f t="shared" si="175"/>
        <v>63640000</v>
      </c>
      <c r="Z124" s="228">
        <f t="shared" si="175"/>
        <v>0</v>
      </c>
      <c r="AA124" s="228">
        <f t="shared" si="175"/>
        <v>0</v>
      </c>
      <c r="AB124" s="228">
        <f t="shared" si="175"/>
        <v>0</v>
      </c>
      <c r="AC124" s="228">
        <f t="shared" si="175"/>
        <v>0</v>
      </c>
      <c r="AD124" s="228">
        <f t="shared" si="175"/>
        <v>0</v>
      </c>
      <c r="AE124" s="228">
        <f t="shared" si="175"/>
        <v>0</v>
      </c>
      <c r="AF124" s="228">
        <f t="shared" si="175"/>
        <v>0</v>
      </c>
      <c r="AG124" s="228">
        <f t="shared" si="175"/>
        <v>0</v>
      </c>
      <c r="AH124" s="228">
        <f t="shared" si="175"/>
        <v>0</v>
      </c>
      <c r="AI124" s="228">
        <f t="shared" si="175"/>
        <v>0</v>
      </c>
      <c r="AJ124" s="228">
        <f t="shared" si="175"/>
        <v>0</v>
      </c>
      <c r="AK124" s="228">
        <f t="shared" si="175"/>
        <v>0</v>
      </c>
      <c r="AL124" s="228">
        <f t="shared" si="175"/>
        <v>0</v>
      </c>
      <c r="AM124" s="228">
        <f t="shared" si="175"/>
        <v>0</v>
      </c>
      <c r="AN124" s="228">
        <f t="shared" si="175"/>
        <v>0</v>
      </c>
      <c r="AO124" s="228">
        <f t="shared" si="175"/>
        <v>0</v>
      </c>
      <c r="AP124" s="228">
        <f t="shared" si="175"/>
        <v>0</v>
      </c>
      <c r="AQ124" s="228">
        <f t="shared" si="175"/>
        <v>0</v>
      </c>
      <c r="AR124" s="228">
        <f t="shared" si="175"/>
        <v>0</v>
      </c>
      <c r="AS124" s="228">
        <f t="shared" si="175"/>
        <v>0</v>
      </c>
      <c r="AT124" s="228">
        <f>SUM(J124:AS124)</f>
        <v>663321641</v>
      </c>
      <c r="AU124" s="229">
        <f t="shared" si="124"/>
        <v>30.210608437197411</v>
      </c>
      <c r="AV124" s="230">
        <f>F124-AT124</f>
        <v>1532336359</v>
      </c>
      <c r="AW124" s="229">
        <f t="shared" si="126"/>
        <v>69.789391562802578</v>
      </c>
      <c r="AX124" s="220" t="s">
        <v>576</v>
      </c>
      <c r="AY124" s="220" t="s">
        <v>560</v>
      </c>
      <c r="AZ124" s="220" t="s">
        <v>4812</v>
      </c>
      <c r="BA124" s="228">
        <f t="shared" ref="BA124:BC124" si="176">BA125+BA128+BA131+BA134+BA137</f>
        <v>40653115</v>
      </c>
      <c r="BB124" s="228">
        <f t="shared" si="176"/>
        <v>80540400</v>
      </c>
      <c r="BC124" s="228">
        <f t="shared" si="176"/>
        <v>8768422</v>
      </c>
      <c r="BD124" s="228">
        <f t="shared" ref="BD124" si="177">BD125+BD128+BD131+BD134+BD137</f>
        <v>35138796</v>
      </c>
      <c r="BE124" s="228">
        <f t="shared" ref="BE124" si="178">BE125+BE128+BE131+BE134+BE137</f>
        <v>64950711</v>
      </c>
      <c r="BF124" s="228">
        <f t="shared" ref="BF124:BG124" si="179">BF125+BF128+BF131+BF134+BF137</f>
        <v>51430197</v>
      </c>
      <c r="BG124" s="228">
        <f t="shared" si="179"/>
        <v>0</v>
      </c>
      <c r="BH124" s="228">
        <f t="shared" ref="BH124" si="180">BH125+BH128+BH131+BH134+BH137</f>
        <v>0</v>
      </c>
    </row>
    <row r="125" spans="2:60" x14ac:dyDescent="0.3">
      <c r="B125" s="290" t="s">
        <v>1807</v>
      </c>
      <c r="C125" s="222" t="s">
        <v>2171</v>
      </c>
      <c r="D125" s="222"/>
      <c r="E125" s="222"/>
      <c r="F125" s="223">
        <f>SUM(F126:F127)</f>
        <v>1254380000</v>
      </c>
      <c r="G125" s="223">
        <f>SUM(G126:G127)</f>
        <v>1254380000</v>
      </c>
      <c r="H125" s="223">
        <f>SUM(H126:H127)</f>
        <v>0</v>
      </c>
      <c r="I125" s="223"/>
      <c r="J125" s="223">
        <f t="shared" ref="J125:AS125" si="181">SUM(J126:J127)</f>
        <v>0</v>
      </c>
      <c r="K125" s="223">
        <f t="shared" si="181"/>
        <v>0</v>
      </c>
      <c r="L125" s="223">
        <f t="shared" si="181"/>
        <v>0</v>
      </c>
      <c r="M125" s="223">
        <f t="shared" si="181"/>
        <v>63640000</v>
      </c>
      <c r="N125" s="223">
        <f t="shared" si="181"/>
        <v>0</v>
      </c>
      <c r="O125" s="223">
        <f t="shared" si="181"/>
        <v>0</v>
      </c>
      <c r="P125" s="223">
        <f t="shared" si="181"/>
        <v>63640000</v>
      </c>
      <c r="Q125" s="223">
        <f t="shared" si="181"/>
        <v>22203587</v>
      </c>
      <c r="R125" s="223">
        <f t="shared" si="181"/>
        <v>27406900</v>
      </c>
      <c r="S125" s="223">
        <f t="shared" si="181"/>
        <v>127280000</v>
      </c>
      <c r="T125" s="223">
        <f t="shared" si="181"/>
        <v>17187096</v>
      </c>
      <c r="U125" s="223">
        <f t="shared" si="181"/>
        <v>0</v>
      </c>
      <c r="V125" s="223">
        <f t="shared" si="181"/>
        <v>63640000</v>
      </c>
      <c r="W125" s="223">
        <f t="shared" si="181"/>
        <v>39128568</v>
      </c>
      <c r="X125" s="223">
        <f t="shared" si="181"/>
        <v>0</v>
      </c>
      <c r="Y125" s="223">
        <f t="shared" si="181"/>
        <v>63640000</v>
      </c>
      <c r="Z125" s="223">
        <f t="shared" si="181"/>
        <v>0</v>
      </c>
      <c r="AA125" s="223">
        <f t="shared" si="181"/>
        <v>0</v>
      </c>
      <c r="AB125" s="223">
        <f t="shared" si="181"/>
        <v>0</v>
      </c>
      <c r="AC125" s="223">
        <f t="shared" si="181"/>
        <v>0</v>
      </c>
      <c r="AD125" s="223">
        <f t="shared" si="181"/>
        <v>0</v>
      </c>
      <c r="AE125" s="223">
        <f t="shared" si="181"/>
        <v>0</v>
      </c>
      <c r="AF125" s="223">
        <f t="shared" si="181"/>
        <v>0</v>
      </c>
      <c r="AG125" s="223">
        <f t="shared" si="181"/>
        <v>0</v>
      </c>
      <c r="AH125" s="223">
        <f t="shared" si="181"/>
        <v>0</v>
      </c>
      <c r="AI125" s="223">
        <f t="shared" si="181"/>
        <v>0</v>
      </c>
      <c r="AJ125" s="223">
        <f t="shared" si="181"/>
        <v>0</v>
      </c>
      <c r="AK125" s="223">
        <f t="shared" si="181"/>
        <v>0</v>
      </c>
      <c r="AL125" s="223">
        <f t="shared" si="181"/>
        <v>0</v>
      </c>
      <c r="AM125" s="223">
        <f t="shared" si="181"/>
        <v>0</v>
      </c>
      <c r="AN125" s="223">
        <f t="shared" si="181"/>
        <v>0</v>
      </c>
      <c r="AO125" s="223">
        <f t="shared" si="181"/>
        <v>0</v>
      </c>
      <c r="AP125" s="223">
        <f t="shared" si="181"/>
        <v>0</v>
      </c>
      <c r="AQ125" s="223">
        <f t="shared" si="181"/>
        <v>0</v>
      </c>
      <c r="AR125" s="223">
        <f t="shared" si="181"/>
        <v>0</v>
      </c>
      <c r="AS125" s="223">
        <f t="shared" si="181"/>
        <v>0</v>
      </c>
      <c r="AT125" s="223">
        <f>SUM(J125:AS125)</f>
        <v>487766151</v>
      </c>
      <c r="AU125" s="231">
        <f t="shared" si="124"/>
        <v>38.885038903681505</v>
      </c>
      <c r="AV125" s="232">
        <f>F125-AT125</f>
        <v>766613849</v>
      </c>
      <c r="AW125" s="231">
        <f>AV125/F125*100</f>
        <v>61.114961096318495</v>
      </c>
      <c r="AX125" s="220" t="s">
        <v>576</v>
      </c>
      <c r="AY125" s="220" t="s">
        <v>560</v>
      </c>
      <c r="AZ125" s="220" t="s">
        <v>4812</v>
      </c>
      <c r="BA125" s="223">
        <f t="shared" ref="BA125:BC125" si="182">SUM(BA126:BA127)</f>
        <v>15353865</v>
      </c>
      <c r="BB125" s="223">
        <f t="shared" si="182"/>
        <v>27406900</v>
      </c>
      <c r="BC125" s="223">
        <f t="shared" si="182"/>
        <v>6849722</v>
      </c>
      <c r="BD125" s="223">
        <f t="shared" ref="BD125" si="183">SUM(BD126:BD127)</f>
        <v>17187096</v>
      </c>
      <c r="BE125" s="223">
        <f t="shared" ref="BE125" si="184">SUM(BE126:BE127)</f>
        <v>10296711</v>
      </c>
      <c r="BF125" s="223">
        <f t="shared" ref="BF125:BG125" si="185">SUM(BF126:BF127)</f>
        <v>28831857</v>
      </c>
      <c r="BG125" s="223">
        <f t="shared" si="185"/>
        <v>0</v>
      </c>
      <c r="BH125" s="223">
        <f t="shared" ref="BH125" si="186">SUM(BH126:BH127)</f>
        <v>0</v>
      </c>
    </row>
    <row r="126" spans="2:60" x14ac:dyDescent="0.3">
      <c r="B126" s="288">
        <v>521111</v>
      </c>
      <c r="C126" s="220" t="s">
        <v>90</v>
      </c>
      <c r="D126" s="220"/>
      <c r="E126" s="220"/>
      <c r="F126" s="221">
        <v>1076220000</v>
      </c>
      <c r="G126" s="221">
        <v>1076220000</v>
      </c>
      <c r="H126" s="221"/>
      <c r="I126" s="221"/>
      <c r="J126" s="221"/>
      <c r="K126" s="221"/>
      <c r="L126" s="221"/>
      <c r="M126" s="221">
        <v>63640000</v>
      </c>
      <c r="N126" s="221"/>
      <c r="O126" s="221"/>
      <c r="P126" s="221">
        <v>63640000</v>
      </c>
      <c r="Q126" s="221">
        <f>2178865+6849722</f>
        <v>9028587</v>
      </c>
      <c r="R126" s="221">
        <v>8107900</v>
      </c>
      <c r="S126" s="221">
        <f>63640000+63640000</f>
        <v>127280000</v>
      </c>
      <c r="T126" s="221">
        <v>8235096</v>
      </c>
      <c r="U126" s="221"/>
      <c r="V126" s="221">
        <v>63640000</v>
      </c>
      <c r="W126" s="221">
        <f>8616711+7229857</f>
        <v>15846568</v>
      </c>
      <c r="X126" s="221"/>
      <c r="Y126" s="221">
        <v>63640000</v>
      </c>
      <c r="Z126" s="221"/>
      <c r="AA126" s="221"/>
      <c r="AB126" s="221"/>
      <c r="AC126" s="221"/>
      <c r="AD126" s="221"/>
      <c r="AE126" s="221"/>
      <c r="AF126" s="221"/>
      <c r="AG126" s="221"/>
      <c r="AH126" s="221"/>
      <c r="AI126" s="221"/>
      <c r="AJ126" s="221"/>
      <c r="AK126" s="221"/>
      <c r="AL126" s="221"/>
      <c r="AM126" s="221"/>
      <c r="AN126" s="221"/>
      <c r="AO126" s="221"/>
      <c r="AP126" s="221"/>
      <c r="AQ126" s="221"/>
      <c r="AR126" s="221"/>
      <c r="AS126" s="221"/>
      <c r="AT126" s="221">
        <f>SUM(J126:AS126)</f>
        <v>423058151</v>
      </c>
      <c r="AU126" s="224">
        <f t="shared" si="124"/>
        <v>39.309634740108898</v>
      </c>
      <c r="AV126" s="225">
        <f>F126-AT126</f>
        <v>653161849</v>
      </c>
      <c r="AW126" s="224">
        <f>AV126/F126*100</f>
        <v>60.690365259891102</v>
      </c>
      <c r="AX126" s="220" t="s">
        <v>576</v>
      </c>
      <c r="AY126" s="220" t="s">
        <v>560</v>
      </c>
      <c r="AZ126" s="220" t="s">
        <v>4812</v>
      </c>
      <c r="BA126" s="221">
        <v>2178865</v>
      </c>
      <c r="BB126" s="221">
        <v>8107900</v>
      </c>
      <c r="BC126" s="300">
        <v>6849722</v>
      </c>
      <c r="BD126" s="221">
        <v>8235096</v>
      </c>
      <c r="BE126" s="221">
        <v>8616711</v>
      </c>
      <c r="BF126" s="221">
        <v>7229857</v>
      </c>
      <c r="BG126" s="221"/>
      <c r="BH126" s="221"/>
    </row>
    <row r="127" spans="2:60" x14ac:dyDescent="0.3">
      <c r="B127" s="288">
        <v>521811</v>
      </c>
      <c r="C127" s="220" t="s">
        <v>64</v>
      </c>
      <c r="D127" s="220"/>
      <c r="E127" s="220"/>
      <c r="F127" s="221">
        <v>178160000</v>
      </c>
      <c r="G127" s="221">
        <v>178160000</v>
      </c>
      <c r="H127" s="221"/>
      <c r="I127" s="221"/>
      <c r="J127" s="221"/>
      <c r="K127" s="221"/>
      <c r="L127" s="221"/>
      <c r="M127" s="221"/>
      <c r="N127" s="221"/>
      <c r="O127" s="221"/>
      <c r="P127" s="221"/>
      <c r="Q127" s="221">
        <v>13175000</v>
      </c>
      <c r="R127" s="221">
        <v>19299000</v>
      </c>
      <c r="S127" s="221"/>
      <c r="T127" s="221">
        <v>8952000</v>
      </c>
      <c r="U127" s="221"/>
      <c r="V127" s="221"/>
      <c r="W127" s="221">
        <f>1680000+21602000</f>
        <v>23282000</v>
      </c>
      <c r="X127" s="221"/>
      <c r="Y127" s="221"/>
      <c r="Z127" s="221"/>
      <c r="AA127" s="221"/>
      <c r="AB127" s="221"/>
      <c r="AC127" s="221"/>
      <c r="AD127" s="221"/>
      <c r="AE127" s="221"/>
      <c r="AF127" s="221"/>
      <c r="AG127" s="221"/>
      <c r="AH127" s="221"/>
      <c r="AI127" s="221"/>
      <c r="AJ127" s="221"/>
      <c r="AK127" s="221"/>
      <c r="AL127" s="221"/>
      <c r="AM127" s="221"/>
      <c r="AN127" s="221"/>
      <c r="AO127" s="221"/>
      <c r="AP127" s="221"/>
      <c r="AQ127" s="221"/>
      <c r="AR127" s="221"/>
      <c r="AS127" s="221"/>
      <c r="AT127" s="221">
        <f t="shared" si="123"/>
        <v>64708000</v>
      </c>
      <c r="AU127" s="224">
        <f t="shared" si="124"/>
        <v>36.320161652447233</v>
      </c>
      <c r="AV127" s="225">
        <f>F127-AT127</f>
        <v>113452000</v>
      </c>
      <c r="AW127" s="224">
        <f t="shared" si="126"/>
        <v>63.679838347552767</v>
      </c>
      <c r="AX127" s="220" t="s">
        <v>576</v>
      </c>
      <c r="AY127" s="220" t="s">
        <v>560</v>
      </c>
      <c r="AZ127" s="220" t="s">
        <v>4812</v>
      </c>
      <c r="BA127" s="221">
        <v>13175000</v>
      </c>
      <c r="BB127" s="221">
        <v>19299000</v>
      </c>
      <c r="BC127" s="300"/>
      <c r="BD127" s="221">
        <v>8952000</v>
      </c>
      <c r="BE127" s="221">
        <v>1680000</v>
      </c>
      <c r="BF127" s="221">
        <v>21602000</v>
      </c>
      <c r="BG127" s="221"/>
      <c r="BH127" s="221"/>
    </row>
    <row r="128" spans="2:60" x14ac:dyDescent="0.3">
      <c r="B128" s="290" t="s">
        <v>2208</v>
      </c>
      <c r="C128" s="222" t="s">
        <v>2209</v>
      </c>
      <c r="D128" s="222"/>
      <c r="E128" s="222"/>
      <c r="F128" s="223">
        <f t="shared" ref="F128:AS128" si="187">SUM(F129:F130)</f>
        <v>148852000</v>
      </c>
      <c r="G128" s="223">
        <f t="shared" ref="G128:H128" si="188">SUM(G129:G130)</f>
        <v>148852000</v>
      </c>
      <c r="H128" s="223">
        <f t="shared" si="188"/>
        <v>0</v>
      </c>
      <c r="I128" s="223"/>
      <c r="J128" s="223">
        <f t="shared" si="187"/>
        <v>0</v>
      </c>
      <c r="K128" s="223">
        <f t="shared" si="187"/>
        <v>0</v>
      </c>
      <c r="L128" s="223">
        <f t="shared" si="187"/>
        <v>0</v>
      </c>
      <c r="M128" s="223">
        <f t="shared" si="187"/>
        <v>0</v>
      </c>
      <c r="N128" s="223">
        <f t="shared" si="187"/>
        <v>0</v>
      </c>
      <c r="O128" s="223">
        <f t="shared" si="187"/>
        <v>0</v>
      </c>
      <c r="P128" s="223">
        <f t="shared" si="187"/>
        <v>0</v>
      </c>
      <c r="Q128" s="223">
        <f t="shared" si="187"/>
        <v>354050</v>
      </c>
      <c r="R128" s="223">
        <f t="shared" si="187"/>
        <v>4950000</v>
      </c>
      <c r="S128" s="223">
        <f t="shared" si="187"/>
        <v>0</v>
      </c>
      <c r="T128" s="223">
        <f t="shared" si="187"/>
        <v>10503000</v>
      </c>
      <c r="U128" s="223">
        <f t="shared" si="187"/>
        <v>0</v>
      </c>
      <c r="V128" s="223">
        <f t="shared" si="187"/>
        <v>0</v>
      </c>
      <c r="W128" s="223">
        <f t="shared" si="187"/>
        <v>6279000</v>
      </c>
      <c r="X128" s="223">
        <f t="shared" si="187"/>
        <v>0</v>
      </c>
      <c r="Y128" s="223">
        <f t="shared" si="187"/>
        <v>0</v>
      </c>
      <c r="Z128" s="223">
        <f t="shared" si="187"/>
        <v>0</v>
      </c>
      <c r="AA128" s="223">
        <f t="shared" si="187"/>
        <v>0</v>
      </c>
      <c r="AB128" s="223">
        <f t="shared" si="187"/>
        <v>0</v>
      </c>
      <c r="AC128" s="223">
        <f t="shared" si="187"/>
        <v>0</v>
      </c>
      <c r="AD128" s="223">
        <f t="shared" si="187"/>
        <v>0</v>
      </c>
      <c r="AE128" s="223">
        <f t="shared" si="187"/>
        <v>0</v>
      </c>
      <c r="AF128" s="223">
        <f t="shared" si="187"/>
        <v>0</v>
      </c>
      <c r="AG128" s="223">
        <f t="shared" si="187"/>
        <v>0</v>
      </c>
      <c r="AH128" s="223">
        <f t="shared" si="187"/>
        <v>0</v>
      </c>
      <c r="AI128" s="223">
        <f t="shared" si="187"/>
        <v>0</v>
      </c>
      <c r="AJ128" s="223">
        <f t="shared" si="187"/>
        <v>0</v>
      </c>
      <c r="AK128" s="223">
        <f t="shared" si="187"/>
        <v>0</v>
      </c>
      <c r="AL128" s="223">
        <f t="shared" si="187"/>
        <v>0</v>
      </c>
      <c r="AM128" s="223">
        <f t="shared" si="187"/>
        <v>0</v>
      </c>
      <c r="AN128" s="223">
        <f t="shared" si="187"/>
        <v>0</v>
      </c>
      <c r="AO128" s="223">
        <f t="shared" si="187"/>
        <v>0</v>
      </c>
      <c r="AP128" s="223">
        <f t="shared" si="187"/>
        <v>0</v>
      </c>
      <c r="AQ128" s="223">
        <f t="shared" si="187"/>
        <v>0</v>
      </c>
      <c r="AR128" s="223">
        <f t="shared" si="187"/>
        <v>0</v>
      </c>
      <c r="AS128" s="223">
        <f t="shared" si="187"/>
        <v>0</v>
      </c>
      <c r="AT128" s="223">
        <f t="shared" ref="AT128:AT138" si="189">SUM(J128:AS128)</f>
        <v>22086050</v>
      </c>
      <c r="AU128" s="231">
        <f t="shared" si="124"/>
        <v>14.837590358208153</v>
      </c>
      <c r="AV128" s="232">
        <f t="shared" ref="AV128" si="190">F128-AT128</f>
        <v>126765950</v>
      </c>
      <c r="AW128" s="231">
        <f t="shared" ref="AW128:AW135" si="191">AV128/F128*100</f>
        <v>85.162409641791854</v>
      </c>
      <c r="AX128" s="220" t="s">
        <v>576</v>
      </c>
      <c r="AY128" s="220" t="s">
        <v>560</v>
      </c>
      <c r="AZ128" s="220" t="s">
        <v>4812</v>
      </c>
      <c r="BA128" s="223">
        <f>SUM(BA129:BA130)</f>
        <v>295050</v>
      </c>
      <c r="BB128" s="223">
        <f t="shared" ref="BB128:BD128" si="192">SUM(BB129:BB130)</f>
        <v>4950000</v>
      </c>
      <c r="BC128" s="223">
        <f t="shared" si="192"/>
        <v>59000</v>
      </c>
      <c r="BD128" s="223">
        <f t="shared" si="192"/>
        <v>10503000</v>
      </c>
      <c r="BE128" s="223">
        <f t="shared" ref="BE128" si="193">SUM(BE129:BE130)</f>
        <v>276000</v>
      </c>
      <c r="BF128" s="223">
        <f t="shared" ref="BF128:BG128" si="194">SUM(BF129:BF130)</f>
        <v>6003000</v>
      </c>
      <c r="BG128" s="223">
        <f t="shared" si="194"/>
        <v>0</v>
      </c>
      <c r="BH128" s="223">
        <f t="shared" ref="BH128" si="195">SUM(BH129:BH130)</f>
        <v>0</v>
      </c>
    </row>
    <row r="129" spans="2:60" x14ac:dyDescent="0.3">
      <c r="B129" s="288">
        <v>521114</v>
      </c>
      <c r="C129" s="220" t="s">
        <v>94</v>
      </c>
      <c r="D129" s="220"/>
      <c r="E129" s="220"/>
      <c r="F129" s="221">
        <v>30000000</v>
      </c>
      <c r="G129" s="221">
        <v>30000000</v>
      </c>
      <c r="H129" s="221"/>
      <c r="I129" s="221"/>
      <c r="J129" s="221"/>
      <c r="K129" s="221"/>
      <c r="L129" s="221"/>
      <c r="M129" s="221"/>
      <c r="N129" s="221"/>
      <c r="O129" s="221"/>
      <c r="P129" s="221"/>
      <c r="Q129" s="221">
        <f>295050+59000</f>
        <v>354050</v>
      </c>
      <c r="R129" s="221"/>
      <c r="S129" s="221"/>
      <c r="T129" s="221">
        <v>603000</v>
      </c>
      <c r="U129" s="221"/>
      <c r="V129" s="221"/>
      <c r="W129" s="221">
        <f>276000+1053000</f>
        <v>1329000</v>
      </c>
      <c r="X129" s="221"/>
      <c r="Y129" s="221"/>
      <c r="Z129" s="221"/>
      <c r="AA129" s="221"/>
      <c r="AB129" s="221"/>
      <c r="AC129" s="221"/>
      <c r="AD129" s="221"/>
      <c r="AE129" s="221"/>
      <c r="AF129" s="221"/>
      <c r="AG129" s="221"/>
      <c r="AH129" s="221"/>
      <c r="AI129" s="221"/>
      <c r="AJ129" s="221"/>
      <c r="AK129" s="221"/>
      <c r="AL129" s="221"/>
      <c r="AM129" s="221"/>
      <c r="AN129" s="221"/>
      <c r="AO129" s="221"/>
      <c r="AP129" s="221"/>
      <c r="AQ129" s="221"/>
      <c r="AR129" s="221"/>
      <c r="AS129" s="221"/>
      <c r="AT129" s="221">
        <f t="shared" si="189"/>
        <v>2286050</v>
      </c>
      <c r="AU129" s="224">
        <f t="shared" si="124"/>
        <v>7.620166666666667</v>
      </c>
      <c r="AV129" s="225">
        <f t="shared" ref="AV129:AV138" si="196">F129-AT129</f>
        <v>27713950</v>
      </c>
      <c r="AW129" s="224">
        <f t="shared" si="191"/>
        <v>92.379833333333337</v>
      </c>
      <c r="AX129" s="220" t="s">
        <v>576</v>
      </c>
      <c r="AY129" s="220" t="s">
        <v>560</v>
      </c>
      <c r="AZ129" s="220" t="s">
        <v>4812</v>
      </c>
      <c r="BA129" s="221">
        <v>295050</v>
      </c>
      <c r="BB129" s="221"/>
      <c r="BC129" s="300">
        <v>59000</v>
      </c>
      <c r="BD129" s="221">
        <v>603000</v>
      </c>
      <c r="BE129" s="221">
        <v>276000</v>
      </c>
      <c r="BF129" s="221">
        <v>1053000</v>
      </c>
      <c r="BG129" s="221"/>
      <c r="BH129" s="221"/>
    </row>
    <row r="130" spans="2:60" x14ac:dyDescent="0.3">
      <c r="B130" s="288">
        <v>522141</v>
      </c>
      <c r="C130" s="220" t="s">
        <v>95</v>
      </c>
      <c r="D130" s="220"/>
      <c r="E130" s="220"/>
      <c r="F130" s="221">
        <v>118852000</v>
      </c>
      <c r="G130" s="221">
        <v>118852000</v>
      </c>
      <c r="H130" s="221"/>
      <c r="I130" s="221"/>
      <c r="J130" s="221"/>
      <c r="K130" s="221"/>
      <c r="L130" s="221"/>
      <c r="M130" s="221"/>
      <c r="N130" s="221"/>
      <c r="O130" s="221"/>
      <c r="P130" s="221"/>
      <c r="Q130" s="221"/>
      <c r="R130" s="221">
        <v>4950000</v>
      </c>
      <c r="S130" s="221"/>
      <c r="T130" s="221">
        <v>9900000</v>
      </c>
      <c r="U130" s="221"/>
      <c r="V130" s="221"/>
      <c r="W130" s="221">
        <v>4950000</v>
      </c>
      <c r="X130" s="221"/>
      <c r="Y130" s="221"/>
      <c r="Z130" s="221"/>
      <c r="AA130" s="221"/>
      <c r="AB130" s="221"/>
      <c r="AC130" s="221"/>
      <c r="AD130" s="221"/>
      <c r="AE130" s="221"/>
      <c r="AF130" s="221"/>
      <c r="AG130" s="221"/>
      <c r="AH130" s="221"/>
      <c r="AI130" s="221"/>
      <c r="AJ130" s="221"/>
      <c r="AK130" s="221"/>
      <c r="AL130" s="221"/>
      <c r="AM130" s="221"/>
      <c r="AN130" s="221"/>
      <c r="AO130" s="221"/>
      <c r="AP130" s="221"/>
      <c r="AQ130" s="221"/>
      <c r="AR130" s="221"/>
      <c r="AS130" s="221"/>
      <c r="AT130" s="221">
        <f t="shared" si="189"/>
        <v>19800000</v>
      </c>
      <c r="AU130" s="224">
        <f t="shared" si="124"/>
        <v>16.659374684481541</v>
      </c>
      <c r="AV130" s="225">
        <f t="shared" si="196"/>
        <v>99052000</v>
      </c>
      <c r="AW130" s="224">
        <f t="shared" si="191"/>
        <v>83.340625315518452</v>
      </c>
      <c r="AX130" s="220" t="s">
        <v>576</v>
      </c>
      <c r="AY130" s="220" t="s">
        <v>560</v>
      </c>
      <c r="AZ130" s="220" t="s">
        <v>4812</v>
      </c>
      <c r="BA130" s="221"/>
      <c r="BB130" s="221">
        <v>4950000</v>
      </c>
      <c r="BC130" s="300"/>
      <c r="BD130" s="221">
        <v>9900000</v>
      </c>
      <c r="BE130" s="221"/>
      <c r="BF130" s="221">
        <v>4950000</v>
      </c>
      <c r="BG130" s="221"/>
      <c r="BH130" s="221"/>
    </row>
    <row r="131" spans="2:60" x14ac:dyDescent="0.3">
      <c r="B131" s="290" t="s">
        <v>2219</v>
      </c>
      <c r="C131" s="222" t="s">
        <v>2220</v>
      </c>
      <c r="D131" s="222"/>
      <c r="E131" s="222"/>
      <c r="F131" s="223">
        <f>SUM(F132:F133)</f>
        <v>533050000</v>
      </c>
      <c r="G131" s="223">
        <f>SUM(G132:G133)</f>
        <v>533050000</v>
      </c>
      <c r="H131" s="223">
        <f>SUM(H132:H133)</f>
        <v>0</v>
      </c>
      <c r="I131" s="223"/>
      <c r="J131" s="223">
        <f t="shared" ref="J131:BD131" si="197">SUM(J132:J133)</f>
        <v>0</v>
      </c>
      <c r="K131" s="223">
        <f t="shared" si="197"/>
        <v>0</v>
      </c>
      <c r="L131" s="223">
        <f t="shared" si="197"/>
        <v>0</v>
      </c>
      <c r="M131" s="223">
        <f t="shared" si="197"/>
        <v>0</v>
      </c>
      <c r="N131" s="223">
        <f t="shared" si="197"/>
        <v>0</v>
      </c>
      <c r="O131" s="223">
        <f t="shared" si="197"/>
        <v>0</v>
      </c>
      <c r="P131" s="223">
        <f t="shared" si="197"/>
        <v>0</v>
      </c>
      <c r="Q131" s="223">
        <f t="shared" si="197"/>
        <v>26863900</v>
      </c>
      <c r="R131" s="223">
        <f t="shared" si="197"/>
        <v>38727500</v>
      </c>
      <c r="S131" s="223">
        <f t="shared" si="197"/>
        <v>0</v>
      </c>
      <c r="T131" s="223">
        <f t="shared" si="197"/>
        <v>7448700</v>
      </c>
      <c r="U131" s="223">
        <f t="shared" si="197"/>
        <v>0</v>
      </c>
      <c r="V131" s="223">
        <f t="shared" si="197"/>
        <v>0</v>
      </c>
      <c r="W131" s="223">
        <f t="shared" si="197"/>
        <v>21835340</v>
      </c>
      <c r="X131" s="223">
        <f t="shared" si="197"/>
        <v>0</v>
      </c>
      <c r="Y131" s="223">
        <f t="shared" si="197"/>
        <v>0</v>
      </c>
      <c r="Z131" s="223">
        <f t="shared" si="197"/>
        <v>0</v>
      </c>
      <c r="AA131" s="223">
        <f t="shared" si="197"/>
        <v>0</v>
      </c>
      <c r="AB131" s="223">
        <f t="shared" si="197"/>
        <v>0</v>
      </c>
      <c r="AC131" s="223">
        <f t="shared" si="197"/>
        <v>0</v>
      </c>
      <c r="AD131" s="223">
        <f t="shared" si="197"/>
        <v>0</v>
      </c>
      <c r="AE131" s="223">
        <f t="shared" si="197"/>
        <v>0</v>
      </c>
      <c r="AF131" s="223">
        <f t="shared" si="197"/>
        <v>0</v>
      </c>
      <c r="AG131" s="223">
        <f t="shared" si="197"/>
        <v>0</v>
      </c>
      <c r="AH131" s="223">
        <f t="shared" si="197"/>
        <v>0</v>
      </c>
      <c r="AI131" s="223">
        <f t="shared" si="197"/>
        <v>0</v>
      </c>
      <c r="AJ131" s="223">
        <f t="shared" si="197"/>
        <v>0</v>
      </c>
      <c r="AK131" s="223">
        <f t="shared" si="197"/>
        <v>0</v>
      </c>
      <c r="AL131" s="223">
        <f t="shared" si="197"/>
        <v>0</v>
      </c>
      <c r="AM131" s="223">
        <f t="shared" si="197"/>
        <v>0</v>
      </c>
      <c r="AN131" s="223">
        <f t="shared" si="197"/>
        <v>0</v>
      </c>
      <c r="AO131" s="223">
        <f t="shared" si="197"/>
        <v>0</v>
      </c>
      <c r="AP131" s="223">
        <f t="shared" si="197"/>
        <v>0</v>
      </c>
      <c r="AQ131" s="223">
        <f t="shared" si="197"/>
        <v>0</v>
      </c>
      <c r="AR131" s="223">
        <f t="shared" si="197"/>
        <v>0</v>
      </c>
      <c r="AS131" s="223">
        <f t="shared" si="197"/>
        <v>0</v>
      </c>
      <c r="AT131" s="223">
        <f t="shared" si="189"/>
        <v>94875440</v>
      </c>
      <c r="AU131" s="231">
        <f t="shared" si="124"/>
        <v>17.798600506519087</v>
      </c>
      <c r="AV131" s="232">
        <f t="shared" si="196"/>
        <v>438174560</v>
      </c>
      <c r="AW131" s="231">
        <f t="shared" si="191"/>
        <v>82.201399493480906</v>
      </c>
      <c r="AX131" s="220" t="s">
        <v>576</v>
      </c>
      <c r="AY131" s="220" t="s">
        <v>560</v>
      </c>
      <c r="AZ131" s="220" t="s">
        <v>4812</v>
      </c>
      <c r="BA131" s="223">
        <f t="shared" si="197"/>
        <v>25004200</v>
      </c>
      <c r="BB131" s="223">
        <f t="shared" si="197"/>
        <v>38727500</v>
      </c>
      <c r="BC131" s="223">
        <f t="shared" si="197"/>
        <v>1859700</v>
      </c>
      <c r="BD131" s="223">
        <f t="shared" si="197"/>
        <v>7448700</v>
      </c>
      <c r="BE131" s="223">
        <f t="shared" ref="BE131" si="198">SUM(BE132:BE133)</f>
        <v>9968000</v>
      </c>
      <c r="BF131" s="223">
        <f t="shared" ref="BF131:BG131" si="199">SUM(BF132:BF133)</f>
        <v>11867340</v>
      </c>
      <c r="BG131" s="223">
        <f t="shared" si="199"/>
        <v>0</v>
      </c>
      <c r="BH131" s="223">
        <f t="shared" ref="BH131" si="200">SUM(BH132:BH133)</f>
        <v>0</v>
      </c>
    </row>
    <row r="132" spans="2:60" x14ac:dyDescent="0.3">
      <c r="B132" s="288">
        <v>523121</v>
      </c>
      <c r="C132" s="220" t="s">
        <v>99</v>
      </c>
      <c r="D132" s="220"/>
      <c r="E132" s="220"/>
      <c r="F132" s="221">
        <v>497050000</v>
      </c>
      <c r="G132" s="221">
        <v>497050000</v>
      </c>
      <c r="H132" s="221"/>
      <c r="I132" s="221"/>
      <c r="J132" s="221"/>
      <c r="K132" s="221"/>
      <c r="L132" s="221"/>
      <c r="M132" s="221"/>
      <c r="N132" s="221"/>
      <c r="O132" s="221"/>
      <c r="P132" s="221"/>
      <c r="Q132" s="221">
        <f>25004200+1859700</f>
        <v>26863900</v>
      </c>
      <c r="R132" s="221">
        <v>32727500</v>
      </c>
      <c r="S132" s="221"/>
      <c r="T132" s="221">
        <v>7448700</v>
      </c>
      <c r="U132" s="221"/>
      <c r="V132" s="221"/>
      <c r="W132" s="221">
        <f>6968000+11867340</f>
        <v>18835340</v>
      </c>
      <c r="X132" s="221"/>
      <c r="Y132" s="221"/>
      <c r="Z132" s="221"/>
      <c r="AA132" s="221"/>
      <c r="AB132" s="221"/>
      <c r="AC132" s="221"/>
      <c r="AD132" s="221"/>
      <c r="AE132" s="221"/>
      <c r="AF132" s="221"/>
      <c r="AG132" s="221"/>
      <c r="AH132" s="221"/>
      <c r="AI132" s="221"/>
      <c r="AJ132" s="221"/>
      <c r="AK132" s="221"/>
      <c r="AL132" s="221"/>
      <c r="AM132" s="221"/>
      <c r="AN132" s="221"/>
      <c r="AO132" s="221"/>
      <c r="AP132" s="221"/>
      <c r="AQ132" s="221"/>
      <c r="AR132" s="221"/>
      <c r="AS132" s="221"/>
      <c r="AT132" s="221">
        <f t="shared" si="189"/>
        <v>85875440</v>
      </c>
      <c r="AU132" s="224">
        <f t="shared" si="124"/>
        <v>17.277022432350869</v>
      </c>
      <c r="AV132" s="225">
        <f t="shared" si="196"/>
        <v>411174560</v>
      </c>
      <c r="AW132" s="224">
        <f t="shared" si="191"/>
        <v>82.722977567649124</v>
      </c>
      <c r="AX132" s="220" t="s">
        <v>576</v>
      </c>
      <c r="AY132" s="220" t="s">
        <v>560</v>
      </c>
      <c r="AZ132" s="220" t="s">
        <v>4812</v>
      </c>
      <c r="BA132" s="221">
        <v>25004200</v>
      </c>
      <c r="BB132" s="221">
        <v>32727500</v>
      </c>
      <c r="BC132" s="300">
        <v>1859700</v>
      </c>
      <c r="BD132" s="221">
        <v>7448700</v>
      </c>
      <c r="BE132" s="221">
        <v>6968000</v>
      </c>
      <c r="BF132" s="221">
        <v>11867340</v>
      </c>
      <c r="BG132" s="221"/>
      <c r="BH132" s="221"/>
    </row>
    <row r="133" spans="2:60" x14ac:dyDescent="0.3">
      <c r="B133" s="288">
        <v>523199</v>
      </c>
      <c r="C133" s="220" t="s">
        <v>102</v>
      </c>
      <c r="D133" s="220"/>
      <c r="E133" s="220"/>
      <c r="F133" s="221">
        <v>36000000</v>
      </c>
      <c r="G133" s="221">
        <v>36000000</v>
      </c>
      <c r="H133" s="221"/>
      <c r="I133" s="221"/>
      <c r="J133" s="221"/>
      <c r="K133" s="221"/>
      <c r="L133" s="221"/>
      <c r="M133" s="221"/>
      <c r="N133" s="221"/>
      <c r="O133" s="221"/>
      <c r="P133" s="221"/>
      <c r="Q133" s="221"/>
      <c r="R133" s="221">
        <v>6000000</v>
      </c>
      <c r="S133" s="221"/>
      <c r="T133" s="221"/>
      <c r="U133" s="221"/>
      <c r="V133" s="221"/>
      <c r="W133" s="221">
        <v>3000000</v>
      </c>
      <c r="X133" s="221"/>
      <c r="Y133" s="221"/>
      <c r="Z133" s="221"/>
      <c r="AA133" s="221"/>
      <c r="AB133" s="221"/>
      <c r="AC133" s="221"/>
      <c r="AD133" s="221"/>
      <c r="AE133" s="221"/>
      <c r="AF133" s="221"/>
      <c r="AG133" s="221"/>
      <c r="AH133" s="221"/>
      <c r="AI133" s="221"/>
      <c r="AJ133" s="221"/>
      <c r="AK133" s="221"/>
      <c r="AL133" s="221"/>
      <c r="AM133" s="221"/>
      <c r="AN133" s="221"/>
      <c r="AO133" s="221"/>
      <c r="AP133" s="221"/>
      <c r="AQ133" s="221"/>
      <c r="AR133" s="221"/>
      <c r="AS133" s="221"/>
      <c r="AT133" s="221">
        <f t="shared" si="189"/>
        <v>9000000</v>
      </c>
      <c r="AU133" s="224">
        <f t="shared" si="124"/>
        <v>25</v>
      </c>
      <c r="AV133" s="225">
        <f t="shared" si="196"/>
        <v>27000000</v>
      </c>
      <c r="AW133" s="224">
        <f t="shared" si="191"/>
        <v>75</v>
      </c>
      <c r="AX133" s="220" t="s">
        <v>576</v>
      </c>
      <c r="AY133" s="220" t="s">
        <v>560</v>
      </c>
      <c r="AZ133" s="220" t="s">
        <v>4812</v>
      </c>
      <c r="BA133" s="221"/>
      <c r="BB133" s="221">
        <v>6000000</v>
      </c>
      <c r="BC133" s="300"/>
      <c r="BD133" s="221"/>
      <c r="BE133" s="221">
        <v>3000000</v>
      </c>
      <c r="BF133" s="221"/>
      <c r="BG133" s="221"/>
      <c r="BH133" s="221"/>
    </row>
    <row r="134" spans="2:60" x14ac:dyDescent="0.3">
      <c r="B134" s="290" t="s">
        <v>2239</v>
      </c>
      <c r="C134" s="222" t="s">
        <v>2240</v>
      </c>
      <c r="D134" s="222"/>
      <c r="E134" s="222"/>
      <c r="F134" s="223">
        <f t="shared" ref="F134:BD134" si="201">SUM(F135:F136)</f>
        <v>159376000</v>
      </c>
      <c r="G134" s="223">
        <f t="shared" ref="G134:H134" si="202">SUM(G135:G136)</f>
        <v>159376000</v>
      </c>
      <c r="H134" s="223">
        <f t="shared" si="202"/>
        <v>0</v>
      </c>
      <c r="I134" s="223"/>
      <c r="J134" s="223">
        <f t="shared" si="201"/>
        <v>0</v>
      </c>
      <c r="K134" s="223">
        <f t="shared" si="201"/>
        <v>0</v>
      </c>
      <c r="L134" s="223">
        <f t="shared" si="201"/>
        <v>0</v>
      </c>
      <c r="M134" s="223">
        <f t="shared" si="201"/>
        <v>0</v>
      </c>
      <c r="N134" s="223">
        <f t="shared" si="201"/>
        <v>0</v>
      </c>
      <c r="O134" s="223">
        <f t="shared" si="201"/>
        <v>0</v>
      </c>
      <c r="P134" s="223">
        <f t="shared" si="201"/>
        <v>0</v>
      </c>
      <c r="Q134" s="223">
        <f t="shared" si="201"/>
        <v>0</v>
      </c>
      <c r="R134" s="223">
        <f t="shared" si="201"/>
        <v>9456000</v>
      </c>
      <c r="S134" s="223">
        <f t="shared" si="201"/>
        <v>0</v>
      </c>
      <c r="T134" s="223">
        <f t="shared" si="201"/>
        <v>0</v>
      </c>
      <c r="U134" s="223">
        <f t="shared" si="201"/>
        <v>0</v>
      </c>
      <c r="V134" s="223">
        <f t="shared" si="201"/>
        <v>0</v>
      </c>
      <c r="W134" s="223">
        <f t="shared" si="201"/>
        <v>49138000</v>
      </c>
      <c r="X134" s="223">
        <f t="shared" si="201"/>
        <v>0</v>
      </c>
      <c r="Y134" s="223">
        <f t="shared" si="201"/>
        <v>0</v>
      </c>
      <c r="Z134" s="223">
        <f t="shared" si="201"/>
        <v>0</v>
      </c>
      <c r="AA134" s="223">
        <f t="shared" si="201"/>
        <v>0</v>
      </c>
      <c r="AB134" s="223">
        <f t="shared" si="201"/>
        <v>0</v>
      </c>
      <c r="AC134" s="223">
        <f t="shared" si="201"/>
        <v>0</v>
      </c>
      <c r="AD134" s="223">
        <f t="shared" si="201"/>
        <v>0</v>
      </c>
      <c r="AE134" s="223">
        <f t="shared" si="201"/>
        <v>0</v>
      </c>
      <c r="AF134" s="223">
        <f t="shared" si="201"/>
        <v>0</v>
      </c>
      <c r="AG134" s="223">
        <f t="shared" si="201"/>
        <v>0</v>
      </c>
      <c r="AH134" s="223">
        <f t="shared" si="201"/>
        <v>0</v>
      </c>
      <c r="AI134" s="223">
        <f t="shared" si="201"/>
        <v>0</v>
      </c>
      <c r="AJ134" s="223">
        <f t="shared" si="201"/>
        <v>0</v>
      </c>
      <c r="AK134" s="223">
        <f t="shared" si="201"/>
        <v>0</v>
      </c>
      <c r="AL134" s="223">
        <f t="shared" si="201"/>
        <v>0</v>
      </c>
      <c r="AM134" s="223">
        <f t="shared" si="201"/>
        <v>0</v>
      </c>
      <c r="AN134" s="223">
        <f t="shared" si="201"/>
        <v>0</v>
      </c>
      <c r="AO134" s="223">
        <f t="shared" si="201"/>
        <v>0</v>
      </c>
      <c r="AP134" s="223">
        <f t="shared" si="201"/>
        <v>0</v>
      </c>
      <c r="AQ134" s="223">
        <f t="shared" si="201"/>
        <v>0</v>
      </c>
      <c r="AR134" s="223">
        <f t="shared" si="201"/>
        <v>0</v>
      </c>
      <c r="AS134" s="223">
        <f t="shared" si="201"/>
        <v>0</v>
      </c>
      <c r="AT134" s="223">
        <f t="shared" si="189"/>
        <v>58594000</v>
      </c>
      <c r="AU134" s="231">
        <f t="shared" si="124"/>
        <v>36.764632065053711</v>
      </c>
      <c r="AV134" s="232">
        <f t="shared" si="196"/>
        <v>100782000</v>
      </c>
      <c r="AW134" s="231">
        <f t="shared" si="191"/>
        <v>63.235367934946296</v>
      </c>
      <c r="AX134" s="220" t="s">
        <v>576</v>
      </c>
      <c r="AY134" s="220" t="s">
        <v>560</v>
      </c>
      <c r="AZ134" s="220" t="s">
        <v>4812</v>
      </c>
      <c r="BA134" s="223">
        <f t="shared" si="201"/>
        <v>0</v>
      </c>
      <c r="BB134" s="223">
        <f t="shared" si="201"/>
        <v>9456000</v>
      </c>
      <c r="BC134" s="223">
        <f t="shared" si="201"/>
        <v>0</v>
      </c>
      <c r="BD134" s="223">
        <f t="shared" si="201"/>
        <v>0</v>
      </c>
      <c r="BE134" s="223">
        <f t="shared" ref="BE134" si="203">SUM(BE135:BE136)</f>
        <v>44410000</v>
      </c>
      <c r="BF134" s="223">
        <f t="shared" ref="BF134:BG134" si="204">SUM(BF135:BF136)</f>
        <v>4728000</v>
      </c>
      <c r="BG134" s="223">
        <f t="shared" si="204"/>
        <v>0</v>
      </c>
      <c r="BH134" s="223">
        <f t="shared" ref="BH134" si="205">SUM(BH135:BH136)</f>
        <v>0</v>
      </c>
    </row>
    <row r="135" spans="2:60" x14ac:dyDescent="0.3">
      <c r="B135" s="288">
        <v>521111</v>
      </c>
      <c r="C135" s="220" t="s">
        <v>90</v>
      </c>
      <c r="D135" s="220"/>
      <c r="E135" s="220"/>
      <c r="F135" s="221">
        <v>101040000</v>
      </c>
      <c r="G135" s="221">
        <v>101040000</v>
      </c>
      <c r="H135" s="221"/>
      <c r="I135" s="221"/>
      <c r="J135" s="221"/>
      <c r="K135" s="221"/>
      <c r="L135" s="221"/>
      <c r="M135" s="221"/>
      <c r="N135" s="221"/>
      <c r="O135" s="221"/>
      <c r="P135" s="221"/>
      <c r="Q135" s="221"/>
      <c r="R135" s="221"/>
      <c r="S135" s="221"/>
      <c r="T135" s="221"/>
      <c r="U135" s="221"/>
      <c r="V135" s="221"/>
      <c r="W135" s="221">
        <f>44410000</f>
        <v>44410000</v>
      </c>
      <c r="X135" s="221"/>
      <c r="Y135" s="221"/>
      <c r="Z135" s="221"/>
      <c r="AA135" s="221"/>
      <c r="AB135" s="221"/>
      <c r="AC135" s="221"/>
      <c r="AD135" s="221"/>
      <c r="AE135" s="221"/>
      <c r="AF135" s="221"/>
      <c r="AG135" s="221"/>
      <c r="AH135" s="221"/>
      <c r="AI135" s="221"/>
      <c r="AJ135" s="221"/>
      <c r="AK135" s="221"/>
      <c r="AL135" s="221"/>
      <c r="AM135" s="221"/>
      <c r="AN135" s="221"/>
      <c r="AO135" s="221"/>
      <c r="AP135" s="221"/>
      <c r="AQ135" s="221"/>
      <c r="AR135" s="221"/>
      <c r="AS135" s="221"/>
      <c r="AT135" s="221">
        <f t="shared" si="189"/>
        <v>44410000</v>
      </c>
      <c r="AU135" s="224">
        <f t="shared" si="124"/>
        <v>43.952889944576405</v>
      </c>
      <c r="AV135" s="225">
        <f t="shared" si="196"/>
        <v>56630000</v>
      </c>
      <c r="AW135" s="224">
        <f t="shared" si="191"/>
        <v>56.047110055423602</v>
      </c>
      <c r="AX135" s="220" t="s">
        <v>576</v>
      </c>
      <c r="AY135" s="220" t="s">
        <v>560</v>
      </c>
      <c r="AZ135" s="220" t="s">
        <v>4812</v>
      </c>
      <c r="BA135" s="221"/>
      <c r="BB135" s="221"/>
      <c r="BC135" s="300"/>
      <c r="BD135" s="221"/>
      <c r="BE135" s="221">
        <v>44410000</v>
      </c>
      <c r="BF135" s="221"/>
      <c r="BG135" s="221"/>
      <c r="BH135" s="221"/>
    </row>
    <row r="136" spans="2:60" x14ac:dyDescent="0.3">
      <c r="B136" s="288">
        <v>521115</v>
      </c>
      <c r="C136" s="220" t="s">
        <v>104</v>
      </c>
      <c r="D136" s="220"/>
      <c r="E136" s="220"/>
      <c r="F136" s="221">
        <v>58336000</v>
      </c>
      <c r="G136" s="221">
        <v>58336000</v>
      </c>
      <c r="H136" s="221"/>
      <c r="I136" s="221"/>
      <c r="J136" s="221"/>
      <c r="K136" s="221"/>
      <c r="L136" s="221"/>
      <c r="M136" s="221"/>
      <c r="N136" s="221"/>
      <c r="O136" s="221"/>
      <c r="P136" s="221"/>
      <c r="Q136" s="221"/>
      <c r="R136" s="221">
        <v>9456000</v>
      </c>
      <c r="S136" s="221"/>
      <c r="T136" s="221"/>
      <c r="U136" s="221"/>
      <c r="V136" s="221"/>
      <c r="W136" s="221">
        <v>4728000</v>
      </c>
      <c r="X136" s="221"/>
      <c r="Y136" s="221"/>
      <c r="Z136" s="221"/>
      <c r="AA136" s="221"/>
      <c r="AB136" s="221"/>
      <c r="AC136" s="221"/>
      <c r="AD136" s="221"/>
      <c r="AE136" s="221"/>
      <c r="AF136" s="221"/>
      <c r="AG136" s="221"/>
      <c r="AH136" s="221"/>
      <c r="AI136" s="221"/>
      <c r="AJ136" s="221"/>
      <c r="AK136" s="221"/>
      <c r="AL136" s="221"/>
      <c r="AM136" s="221"/>
      <c r="AN136" s="221"/>
      <c r="AO136" s="221"/>
      <c r="AP136" s="221"/>
      <c r="AQ136" s="221"/>
      <c r="AR136" s="221"/>
      <c r="AS136" s="221"/>
      <c r="AT136" s="221">
        <f t="shared" si="189"/>
        <v>14184000</v>
      </c>
      <c r="AU136" s="224">
        <f t="shared" si="124"/>
        <v>24.314317059791552</v>
      </c>
      <c r="AV136" s="225">
        <f t="shared" si="196"/>
        <v>44152000</v>
      </c>
      <c r="AW136" s="224">
        <f t="shared" ref="AW136:AW189" si="206">AV136/F136*100</f>
        <v>75.685682940208437</v>
      </c>
      <c r="AX136" s="220" t="s">
        <v>576</v>
      </c>
      <c r="AY136" s="220" t="s">
        <v>560</v>
      </c>
      <c r="AZ136" s="220" t="s">
        <v>4812</v>
      </c>
      <c r="BA136" s="221"/>
      <c r="BB136" s="221">
        <v>9456000</v>
      </c>
      <c r="BC136" s="300"/>
      <c r="BD136" s="221"/>
      <c r="BE136" s="221"/>
      <c r="BF136" s="221">
        <v>4728000</v>
      </c>
      <c r="BG136" s="221"/>
      <c r="BH136" s="221"/>
    </row>
    <row r="137" spans="2:60" x14ac:dyDescent="0.3">
      <c r="B137" s="290" t="s">
        <v>4224</v>
      </c>
      <c r="C137" s="222" t="s">
        <v>4225</v>
      </c>
      <c r="D137" s="222"/>
      <c r="E137" s="222"/>
      <c r="F137" s="223">
        <f t="shared" ref="F137:BD137" si="207">SUM(F138:F140)</f>
        <v>100000000</v>
      </c>
      <c r="G137" s="223">
        <f t="shared" ref="G137:H137" si="208">SUM(G138:G140)</f>
        <v>100000000</v>
      </c>
      <c r="H137" s="223">
        <f t="shared" si="208"/>
        <v>100000000</v>
      </c>
      <c r="I137" s="223"/>
      <c r="J137" s="223">
        <f t="shared" si="207"/>
        <v>0</v>
      </c>
      <c r="K137" s="223">
        <f t="shared" si="207"/>
        <v>0</v>
      </c>
      <c r="L137" s="223">
        <f t="shared" si="207"/>
        <v>0</v>
      </c>
      <c r="M137" s="223">
        <f t="shared" si="207"/>
        <v>0</v>
      </c>
      <c r="N137" s="223">
        <f t="shared" si="207"/>
        <v>0</v>
      </c>
      <c r="O137" s="223">
        <f t="shared" si="207"/>
        <v>0</v>
      </c>
      <c r="P137" s="223">
        <f t="shared" si="207"/>
        <v>0</v>
      </c>
      <c r="Q137" s="223">
        <f t="shared" si="207"/>
        <v>0</v>
      </c>
      <c r="R137" s="223">
        <f t="shared" si="207"/>
        <v>0</v>
      </c>
      <c r="S137" s="223">
        <f t="shared" si="207"/>
        <v>0</v>
      </c>
      <c r="T137" s="223">
        <f t="shared" si="207"/>
        <v>0</v>
      </c>
      <c r="U137" s="223">
        <f t="shared" si="207"/>
        <v>0</v>
      </c>
      <c r="V137" s="223">
        <f t="shared" si="207"/>
        <v>0</v>
      </c>
      <c r="W137" s="223">
        <f t="shared" si="207"/>
        <v>0</v>
      </c>
      <c r="X137" s="223">
        <f t="shared" si="207"/>
        <v>0</v>
      </c>
      <c r="Y137" s="223">
        <f t="shared" si="207"/>
        <v>0</v>
      </c>
      <c r="Z137" s="223">
        <f t="shared" si="207"/>
        <v>0</v>
      </c>
      <c r="AA137" s="223">
        <f t="shared" si="207"/>
        <v>0</v>
      </c>
      <c r="AB137" s="223">
        <f t="shared" si="207"/>
        <v>0</v>
      </c>
      <c r="AC137" s="223">
        <f t="shared" si="207"/>
        <v>0</v>
      </c>
      <c r="AD137" s="223">
        <f t="shared" si="207"/>
        <v>0</v>
      </c>
      <c r="AE137" s="223">
        <f t="shared" si="207"/>
        <v>0</v>
      </c>
      <c r="AF137" s="223">
        <f t="shared" si="207"/>
        <v>0</v>
      </c>
      <c r="AG137" s="223">
        <f t="shared" si="207"/>
        <v>0</v>
      </c>
      <c r="AH137" s="223">
        <f t="shared" si="207"/>
        <v>0</v>
      </c>
      <c r="AI137" s="223">
        <f t="shared" si="207"/>
        <v>0</v>
      </c>
      <c r="AJ137" s="223">
        <f t="shared" si="207"/>
        <v>0</v>
      </c>
      <c r="AK137" s="223">
        <f t="shared" si="207"/>
        <v>0</v>
      </c>
      <c r="AL137" s="223">
        <f t="shared" si="207"/>
        <v>0</v>
      </c>
      <c r="AM137" s="223">
        <f t="shared" si="207"/>
        <v>0</v>
      </c>
      <c r="AN137" s="223">
        <f t="shared" si="207"/>
        <v>0</v>
      </c>
      <c r="AO137" s="223">
        <f t="shared" si="207"/>
        <v>0</v>
      </c>
      <c r="AP137" s="223">
        <f t="shared" si="207"/>
        <v>0</v>
      </c>
      <c r="AQ137" s="223">
        <f t="shared" si="207"/>
        <v>0</v>
      </c>
      <c r="AR137" s="223">
        <f t="shared" si="207"/>
        <v>0</v>
      </c>
      <c r="AS137" s="223">
        <f t="shared" si="207"/>
        <v>0</v>
      </c>
      <c r="AT137" s="223">
        <f t="shared" si="189"/>
        <v>0</v>
      </c>
      <c r="AU137" s="231">
        <f t="shared" si="124"/>
        <v>0</v>
      </c>
      <c r="AV137" s="232">
        <f t="shared" si="196"/>
        <v>100000000</v>
      </c>
      <c r="AW137" s="231">
        <f>AV137/F137*100</f>
        <v>100</v>
      </c>
      <c r="AX137" s="220" t="s">
        <v>576</v>
      </c>
      <c r="AY137" s="220" t="s">
        <v>560</v>
      </c>
      <c r="AZ137" s="220" t="s">
        <v>4812</v>
      </c>
      <c r="BA137" s="223">
        <f t="shared" si="207"/>
        <v>0</v>
      </c>
      <c r="BB137" s="223">
        <f t="shared" si="207"/>
        <v>0</v>
      </c>
      <c r="BC137" s="223">
        <f t="shared" si="207"/>
        <v>0</v>
      </c>
      <c r="BD137" s="223">
        <f t="shared" si="207"/>
        <v>0</v>
      </c>
      <c r="BE137" s="223">
        <f t="shared" ref="BE137" si="209">SUM(BE138:BE140)</f>
        <v>0</v>
      </c>
      <c r="BF137" s="223">
        <f t="shared" ref="BF137:BG137" si="210">SUM(BF138:BF140)</f>
        <v>0</v>
      </c>
      <c r="BG137" s="223">
        <f t="shared" si="210"/>
        <v>0</v>
      </c>
      <c r="BH137" s="223">
        <f t="shared" ref="BH137" si="211">SUM(BH138:BH140)</f>
        <v>0</v>
      </c>
    </row>
    <row r="138" spans="2:60" x14ac:dyDescent="0.3">
      <c r="B138" s="288">
        <v>521111</v>
      </c>
      <c r="C138" s="220" t="s">
        <v>90</v>
      </c>
      <c r="D138" s="220"/>
      <c r="E138" s="220"/>
      <c r="F138" s="221">
        <v>45000000</v>
      </c>
      <c r="G138" s="221">
        <v>45000000</v>
      </c>
      <c r="H138" s="221">
        <v>45000000</v>
      </c>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c r="AR138" s="221"/>
      <c r="AS138" s="221"/>
      <c r="AT138" s="221">
        <f t="shared" si="189"/>
        <v>0</v>
      </c>
      <c r="AU138" s="224">
        <f t="shared" si="124"/>
        <v>0</v>
      </c>
      <c r="AV138" s="225">
        <f t="shared" si="196"/>
        <v>45000000</v>
      </c>
      <c r="AW138" s="224">
        <f>AV138/F138*100</f>
        <v>100</v>
      </c>
      <c r="AX138" s="220" t="s">
        <v>576</v>
      </c>
      <c r="AY138" s="220" t="s">
        <v>560</v>
      </c>
      <c r="AZ138" s="220" t="s">
        <v>4812</v>
      </c>
      <c r="BA138" s="221"/>
      <c r="BB138" s="221"/>
      <c r="BC138" s="300"/>
      <c r="BD138" s="221"/>
      <c r="BE138" s="221"/>
      <c r="BF138" s="221"/>
      <c r="BG138" s="221"/>
      <c r="BH138" s="221"/>
    </row>
    <row r="139" spans="2:60" x14ac:dyDescent="0.3">
      <c r="B139" s="288">
        <v>521811</v>
      </c>
      <c r="C139" s="220" t="s">
        <v>64</v>
      </c>
      <c r="D139" s="220"/>
      <c r="E139" s="220"/>
      <c r="F139" s="221">
        <v>26000000</v>
      </c>
      <c r="G139" s="221">
        <v>26000000</v>
      </c>
      <c r="H139" s="221">
        <v>26000000</v>
      </c>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c r="AR139" s="221"/>
      <c r="AS139" s="221"/>
      <c r="AT139" s="221">
        <f t="shared" ref="AT139:AT140" si="212">SUM(J139:AS139)</f>
        <v>0</v>
      </c>
      <c r="AU139" s="224">
        <f t="shared" si="124"/>
        <v>0</v>
      </c>
      <c r="AV139" s="225">
        <f t="shared" ref="AV139:AV140" si="213">F139-AT139</f>
        <v>26000000</v>
      </c>
      <c r="AW139" s="224">
        <f t="shared" ref="AW139:AW140" si="214">AV139/F139*100</f>
        <v>100</v>
      </c>
      <c r="AX139" s="220" t="s">
        <v>576</v>
      </c>
      <c r="AY139" s="220" t="s">
        <v>560</v>
      </c>
      <c r="AZ139" s="220" t="s">
        <v>4812</v>
      </c>
      <c r="BA139" s="221"/>
      <c r="BB139" s="221"/>
      <c r="BC139" s="300"/>
      <c r="BD139" s="221"/>
      <c r="BE139" s="221"/>
      <c r="BF139" s="221"/>
      <c r="BG139" s="221"/>
      <c r="BH139" s="221"/>
    </row>
    <row r="140" spans="2:60" x14ac:dyDescent="0.3">
      <c r="B140" s="288">
        <v>523121</v>
      </c>
      <c r="C140" s="220" t="s">
        <v>99</v>
      </c>
      <c r="D140" s="220"/>
      <c r="E140" s="220"/>
      <c r="F140" s="221">
        <v>29000000</v>
      </c>
      <c r="G140" s="221">
        <v>29000000</v>
      </c>
      <c r="H140" s="221">
        <v>29000000</v>
      </c>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c r="AR140" s="221"/>
      <c r="AS140" s="221"/>
      <c r="AT140" s="221">
        <f t="shared" si="212"/>
        <v>0</v>
      </c>
      <c r="AU140" s="224">
        <f t="shared" si="124"/>
        <v>0</v>
      </c>
      <c r="AV140" s="225">
        <f t="shared" si="213"/>
        <v>29000000</v>
      </c>
      <c r="AW140" s="224">
        <f t="shared" si="214"/>
        <v>100</v>
      </c>
      <c r="AX140" s="220" t="s">
        <v>576</v>
      </c>
      <c r="AY140" s="220" t="s">
        <v>560</v>
      </c>
      <c r="AZ140" s="220" t="s">
        <v>4812</v>
      </c>
      <c r="BA140" s="221"/>
      <c r="BB140" s="221"/>
      <c r="BC140" s="300"/>
      <c r="BD140" s="221"/>
      <c r="BE140" s="221"/>
      <c r="BF140" s="221"/>
      <c r="BG140" s="221"/>
      <c r="BH140" s="221"/>
    </row>
    <row r="141" spans="2:60" x14ac:dyDescent="0.3">
      <c r="B141" s="236" t="s">
        <v>2269</v>
      </c>
      <c r="C141" s="237" t="s">
        <v>2270</v>
      </c>
      <c r="D141" s="237">
        <v>2</v>
      </c>
      <c r="E141" s="237" t="s">
        <v>42</v>
      </c>
      <c r="F141" s="235">
        <f t="shared" ref="F141:X143" si="215">F142</f>
        <v>540000000</v>
      </c>
      <c r="G141" s="235">
        <f t="shared" si="215"/>
        <v>540934000</v>
      </c>
      <c r="H141" s="235">
        <f t="shared" si="215"/>
        <v>0</v>
      </c>
      <c r="I141" s="235"/>
      <c r="J141" s="235">
        <f t="shared" si="215"/>
        <v>0</v>
      </c>
      <c r="K141" s="235">
        <f t="shared" si="215"/>
        <v>0</v>
      </c>
      <c r="L141" s="235">
        <f t="shared" si="215"/>
        <v>0</v>
      </c>
      <c r="M141" s="235">
        <f t="shared" si="215"/>
        <v>0</v>
      </c>
      <c r="N141" s="235">
        <f t="shared" si="215"/>
        <v>0</v>
      </c>
      <c r="O141" s="235">
        <f t="shared" si="215"/>
        <v>0</v>
      </c>
      <c r="P141" s="235">
        <f t="shared" si="215"/>
        <v>0</v>
      </c>
      <c r="Q141" s="235">
        <f t="shared" si="215"/>
        <v>0</v>
      </c>
      <c r="R141" s="235">
        <f t="shared" si="215"/>
        <v>0</v>
      </c>
      <c r="S141" s="235">
        <f t="shared" si="215"/>
        <v>0</v>
      </c>
      <c r="T141" s="235">
        <f t="shared" si="215"/>
        <v>0</v>
      </c>
      <c r="U141" s="235">
        <f t="shared" si="215"/>
        <v>0</v>
      </c>
      <c r="V141" s="235">
        <f t="shared" si="215"/>
        <v>540000000</v>
      </c>
      <c r="W141" s="235">
        <f t="shared" si="215"/>
        <v>0</v>
      </c>
      <c r="X141" s="235">
        <f t="shared" si="215"/>
        <v>0</v>
      </c>
      <c r="Y141" s="235">
        <f t="shared" ref="Y141:BB141" si="216">Y142</f>
        <v>0</v>
      </c>
      <c r="Z141" s="235">
        <f t="shared" si="216"/>
        <v>0</v>
      </c>
      <c r="AA141" s="235">
        <f t="shared" si="216"/>
        <v>0</v>
      </c>
      <c r="AB141" s="235">
        <f t="shared" si="216"/>
        <v>0</v>
      </c>
      <c r="AC141" s="235">
        <f t="shared" si="216"/>
        <v>0</v>
      </c>
      <c r="AD141" s="235">
        <f t="shared" si="216"/>
        <v>0</v>
      </c>
      <c r="AE141" s="235">
        <f t="shared" si="216"/>
        <v>0</v>
      </c>
      <c r="AF141" s="235">
        <f t="shared" si="216"/>
        <v>0</v>
      </c>
      <c r="AG141" s="235">
        <f t="shared" si="216"/>
        <v>0</v>
      </c>
      <c r="AH141" s="235">
        <f t="shared" si="216"/>
        <v>0</v>
      </c>
      <c r="AI141" s="235">
        <f t="shared" si="216"/>
        <v>0</v>
      </c>
      <c r="AJ141" s="235">
        <f t="shared" si="216"/>
        <v>0</v>
      </c>
      <c r="AK141" s="235">
        <f t="shared" si="216"/>
        <v>0</v>
      </c>
      <c r="AL141" s="235">
        <f t="shared" si="216"/>
        <v>0</v>
      </c>
      <c r="AM141" s="235">
        <f t="shared" si="216"/>
        <v>0</v>
      </c>
      <c r="AN141" s="235">
        <f t="shared" si="216"/>
        <v>0</v>
      </c>
      <c r="AO141" s="235">
        <f t="shared" si="216"/>
        <v>0</v>
      </c>
      <c r="AP141" s="235">
        <f t="shared" si="216"/>
        <v>0</v>
      </c>
      <c r="AQ141" s="235">
        <f t="shared" si="216"/>
        <v>0</v>
      </c>
      <c r="AR141" s="235">
        <f t="shared" si="216"/>
        <v>0</v>
      </c>
      <c r="AS141" s="235">
        <f t="shared" si="216"/>
        <v>0</v>
      </c>
      <c r="AT141" s="235">
        <f t="shared" ref="AT141:AT150" si="217">SUM(J141:AS141)</f>
        <v>540000000</v>
      </c>
      <c r="AU141" s="238">
        <f t="shared" si="124"/>
        <v>100</v>
      </c>
      <c r="AV141" s="239">
        <f>F141-AT141</f>
        <v>0</v>
      </c>
      <c r="AW141" s="238">
        <f>AV141/F141*100</f>
        <v>0</v>
      </c>
      <c r="AX141" s="220" t="s">
        <v>576</v>
      </c>
      <c r="AY141" s="220" t="s">
        <v>560</v>
      </c>
      <c r="AZ141" s="220" t="s">
        <v>4811</v>
      </c>
      <c r="BA141" s="235">
        <f>BA142</f>
        <v>0</v>
      </c>
      <c r="BB141" s="235">
        <f t="shared" si="216"/>
        <v>0</v>
      </c>
      <c r="BC141" s="235">
        <f t="shared" ref="BB141:BH142" si="218">BC142</f>
        <v>0</v>
      </c>
      <c r="BD141" s="235">
        <f t="shared" si="218"/>
        <v>0</v>
      </c>
      <c r="BE141" s="235">
        <f t="shared" si="218"/>
        <v>0</v>
      </c>
      <c r="BF141" s="235">
        <f t="shared" si="218"/>
        <v>0</v>
      </c>
      <c r="BG141" s="235">
        <f t="shared" si="218"/>
        <v>0</v>
      </c>
      <c r="BH141" s="235">
        <f t="shared" si="218"/>
        <v>0</v>
      </c>
    </row>
    <row r="142" spans="2:60" x14ac:dyDescent="0.3">
      <c r="B142" s="226" t="s">
        <v>4253</v>
      </c>
      <c r="C142" s="227" t="s">
        <v>2273</v>
      </c>
      <c r="D142" s="227">
        <v>1</v>
      </c>
      <c r="E142" s="227" t="s">
        <v>42</v>
      </c>
      <c r="F142" s="228">
        <f t="shared" si="215"/>
        <v>540000000</v>
      </c>
      <c r="G142" s="228">
        <f t="shared" si="215"/>
        <v>540934000</v>
      </c>
      <c r="H142" s="228">
        <f t="shared" si="215"/>
        <v>0</v>
      </c>
      <c r="I142" s="228"/>
      <c r="J142" s="228">
        <f t="shared" ref="J142:AS143" si="219">J143</f>
        <v>0</v>
      </c>
      <c r="K142" s="228">
        <f t="shared" si="219"/>
        <v>0</v>
      </c>
      <c r="L142" s="228">
        <f t="shared" si="219"/>
        <v>0</v>
      </c>
      <c r="M142" s="228">
        <f t="shared" si="219"/>
        <v>0</v>
      </c>
      <c r="N142" s="228">
        <f t="shared" si="219"/>
        <v>0</v>
      </c>
      <c r="O142" s="228">
        <f t="shared" si="219"/>
        <v>0</v>
      </c>
      <c r="P142" s="228">
        <f t="shared" si="219"/>
        <v>0</v>
      </c>
      <c r="Q142" s="228">
        <f t="shared" si="219"/>
        <v>0</v>
      </c>
      <c r="R142" s="228">
        <f t="shared" si="219"/>
        <v>0</v>
      </c>
      <c r="S142" s="228">
        <f t="shared" si="219"/>
        <v>0</v>
      </c>
      <c r="T142" s="228">
        <f t="shared" si="219"/>
        <v>0</v>
      </c>
      <c r="U142" s="228">
        <f t="shared" si="219"/>
        <v>0</v>
      </c>
      <c r="V142" s="228">
        <f t="shared" si="219"/>
        <v>540000000</v>
      </c>
      <c r="W142" s="228">
        <f t="shared" si="219"/>
        <v>0</v>
      </c>
      <c r="X142" s="228">
        <f t="shared" si="219"/>
        <v>0</v>
      </c>
      <c r="Y142" s="228">
        <f t="shared" si="219"/>
        <v>0</v>
      </c>
      <c r="Z142" s="228">
        <f t="shared" si="219"/>
        <v>0</v>
      </c>
      <c r="AA142" s="228">
        <f t="shared" si="219"/>
        <v>0</v>
      </c>
      <c r="AB142" s="228">
        <f t="shared" si="219"/>
        <v>0</v>
      </c>
      <c r="AC142" s="228">
        <f t="shared" si="219"/>
        <v>0</v>
      </c>
      <c r="AD142" s="228">
        <f t="shared" si="219"/>
        <v>0</v>
      </c>
      <c r="AE142" s="228">
        <f t="shared" si="219"/>
        <v>0</v>
      </c>
      <c r="AF142" s="228">
        <f t="shared" si="219"/>
        <v>0</v>
      </c>
      <c r="AG142" s="228">
        <f t="shared" si="219"/>
        <v>0</v>
      </c>
      <c r="AH142" s="228">
        <f t="shared" si="219"/>
        <v>0</v>
      </c>
      <c r="AI142" s="228">
        <f t="shared" si="219"/>
        <v>0</v>
      </c>
      <c r="AJ142" s="228">
        <f t="shared" si="219"/>
        <v>0</v>
      </c>
      <c r="AK142" s="228">
        <f t="shared" si="219"/>
        <v>0</v>
      </c>
      <c r="AL142" s="228">
        <f t="shared" si="219"/>
        <v>0</v>
      </c>
      <c r="AM142" s="228">
        <f t="shared" si="219"/>
        <v>0</v>
      </c>
      <c r="AN142" s="228">
        <f t="shared" si="219"/>
        <v>0</v>
      </c>
      <c r="AO142" s="228">
        <f t="shared" si="219"/>
        <v>0</v>
      </c>
      <c r="AP142" s="228">
        <f t="shared" si="219"/>
        <v>0</v>
      </c>
      <c r="AQ142" s="228">
        <f t="shared" si="219"/>
        <v>0</v>
      </c>
      <c r="AR142" s="228">
        <f t="shared" si="219"/>
        <v>0</v>
      </c>
      <c r="AS142" s="228">
        <f t="shared" si="219"/>
        <v>0</v>
      </c>
      <c r="AT142" s="228">
        <f t="shared" si="217"/>
        <v>540000000</v>
      </c>
      <c r="AU142" s="229">
        <f t="shared" si="124"/>
        <v>100</v>
      </c>
      <c r="AV142" s="230">
        <f t="shared" ref="AV142" si="220">F142-AT142</f>
        <v>0</v>
      </c>
      <c r="AW142" s="229">
        <f t="shared" ref="AW142" si="221">AV142/F142*100</f>
        <v>0</v>
      </c>
      <c r="AX142" s="220" t="s">
        <v>576</v>
      </c>
      <c r="AY142" s="220" t="s">
        <v>560</v>
      </c>
      <c r="AZ142" s="220" t="s">
        <v>4811</v>
      </c>
      <c r="BA142" s="228">
        <f>BA143</f>
        <v>0</v>
      </c>
      <c r="BB142" s="228">
        <f t="shared" si="218"/>
        <v>0</v>
      </c>
      <c r="BC142" s="228">
        <f t="shared" si="218"/>
        <v>0</v>
      </c>
      <c r="BD142" s="228">
        <f t="shared" si="218"/>
        <v>0</v>
      </c>
      <c r="BE142" s="228">
        <f t="shared" si="218"/>
        <v>0</v>
      </c>
      <c r="BF142" s="228">
        <f t="shared" si="218"/>
        <v>0</v>
      </c>
      <c r="BG142" s="228">
        <f t="shared" si="218"/>
        <v>0</v>
      </c>
      <c r="BH142" s="228">
        <f t="shared" si="218"/>
        <v>0</v>
      </c>
    </row>
    <row r="143" spans="2:60" x14ac:dyDescent="0.3">
      <c r="B143" s="226">
        <v>301</v>
      </c>
      <c r="C143" s="227" t="s">
        <v>2290</v>
      </c>
      <c r="D143" s="227"/>
      <c r="E143" s="227"/>
      <c r="F143" s="228">
        <f t="shared" si="215"/>
        <v>540000000</v>
      </c>
      <c r="G143" s="228">
        <f t="shared" si="215"/>
        <v>540934000</v>
      </c>
      <c r="H143" s="228">
        <f t="shared" si="215"/>
        <v>0</v>
      </c>
      <c r="I143" s="228"/>
      <c r="J143" s="228">
        <f t="shared" si="219"/>
        <v>0</v>
      </c>
      <c r="K143" s="228">
        <f t="shared" ref="K143:BH143" si="222">K144</f>
        <v>0</v>
      </c>
      <c r="L143" s="228">
        <f t="shared" si="222"/>
        <v>0</v>
      </c>
      <c r="M143" s="228">
        <f t="shared" si="222"/>
        <v>0</v>
      </c>
      <c r="N143" s="228">
        <f t="shared" si="222"/>
        <v>0</v>
      </c>
      <c r="O143" s="228">
        <f t="shared" si="222"/>
        <v>0</v>
      </c>
      <c r="P143" s="228">
        <f t="shared" si="222"/>
        <v>0</v>
      </c>
      <c r="Q143" s="228">
        <f t="shared" si="222"/>
        <v>0</v>
      </c>
      <c r="R143" s="228">
        <f t="shared" si="222"/>
        <v>0</v>
      </c>
      <c r="S143" s="228">
        <f t="shared" si="222"/>
        <v>0</v>
      </c>
      <c r="T143" s="228">
        <f t="shared" si="222"/>
        <v>0</v>
      </c>
      <c r="U143" s="228">
        <f t="shared" si="222"/>
        <v>0</v>
      </c>
      <c r="V143" s="228">
        <f t="shared" si="222"/>
        <v>540000000</v>
      </c>
      <c r="W143" s="228">
        <f t="shared" si="222"/>
        <v>0</v>
      </c>
      <c r="X143" s="228">
        <f t="shared" si="222"/>
        <v>0</v>
      </c>
      <c r="Y143" s="228">
        <f t="shared" si="222"/>
        <v>0</v>
      </c>
      <c r="Z143" s="228">
        <f t="shared" si="222"/>
        <v>0</v>
      </c>
      <c r="AA143" s="228">
        <f t="shared" si="222"/>
        <v>0</v>
      </c>
      <c r="AB143" s="228">
        <f t="shared" si="222"/>
        <v>0</v>
      </c>
      <c r="AC143" s="228">
        <f t="shared" si="222"/>
        <v>0</v>
      </c>
      <c r="AD143" s="228">
        <f t="shared" si="222"/>
        <v>0</v>
      </c>
      <c r="AE143" s="228">
        <f t="shared" si="222"/>
        <v>0</v>
      </c>
      <c r="AF143" s="228">
        <f t="shared" si="222"/>
        <v>0</v>
      </c>
      <c r="AG143" s="228">
        <f t="shared" si="222"/>
        <v>0</v>
      </c>
      <c r="AH143" s="228">
        <f t="shared" si="222"/>
        <v>0</v>
      </c>
      <c r="AI143" s="228">
        <f t="shared" si="222"/>
        <v>0</v>
      </c>
      <c r="AJ143" s="228">
        <f t="shared" si="222"/>
        <v>0</v>
      </c>
      <c r="AK143" s="228">
        <f t="shared" si="222"/>
        <v>0</v>
      </c>
      <c r="AL143" s="228">
        <f t="shared" si="222"/>
        <v>0</v>
      </c>
      <c r="AM143" s="228">
        <f t="shared" si="222"/>
        <v>0</v>
      </c>
      <c r="AN143" s="228">
        <f t="shared" si="222"/>
        <v>0</v>
      </c>
      <c r="AO143" s="228">
        <f t="shared" si="222"/>
        <v>0</v>
      </c>
      <c r="AP143" s="228">
        <f t="shared" si="222"/>
        <v>0</v>
      </c>
      <c r="AQ143" s="228">
        <f t="shared" si="222"/>
        <v>0</v>
      </c>
      <c r="AR143" s="228">
        <f t="shared" si="222"/>
        <v>0</v>
      </c>
      <c r="AS143" s="228">
        <f t="shared" si="222"/>
        <v>0</v>
      </c>
      <c r="AT143" s="228">
        <f t="shared" si="217"/>
        <v>540000000</v>
      </c>
      <c r="AU143" s="229">
        <f t="shared" ref="AU143:AU206" si="223">IFERROR(AT143/F143*100,0)</f>
        <v>100</v>
      </c>
      <c r="AV143" s="230">
        <f t="shared" ref="AV143" si="224">F143-AT143</f>
        <v>0</v>
      </c>
      <c r="AW143" s="229">
        <f t="shared" ref="AW143" si="225">AV143/F143*100</f>
        <v>0</v>
      </c>
      <c r="AX143" s="220" t="s">
        <v>576</v>
      </c>
      <c r="AY143" s="220" t="s">
        <v>560</v>
      </c>
      <c r="AZ143" s="220" t="s">
        <v>4811</v>
      </c>
      <c r="BA143" s="228">
        <f>BA144</f>
        <v>0</v>
      </c>
      <c r="BB143" s="228">
        <f t="shared" si="222"/>
        <v>0</v>
      </c>
      <c r="BC143" s="228">
        <f t="shared" si="222"/>
        <v>0</v>
      </c>
      <c r="BD143" s="228">
        <f t="shared" si="222"/>
        <v>0</v>
      </c>
      <c r="BE143" s="228">
        <f t="shared" si="222"/>
        <v>0</v>
      </c>
      <c r="BF143" s="228">
        <f t="shared" si="222"/>
        <v>0</v>
      </c>
      <c r="BG143" s="228">
        <f t="shared" si="222"/>
        <v>0</v>
      </c>
      <c r="BH143" s="228">
        <f t="shared" si="222"/>
        <v>0</v>
      </c>
    </row>
    <row r="144" spans="2:60" x14ac:dyDescent="0.3">
      <c r="B144" s="290" t="s">
        <v>8</v>
      </c>
      <c r="C144" s="222" t="s">
        <v>2292</v>
      </c>
      <c r="D144" s="222"/>
      <c r="E144" s="222"/>
      <c r="F144" s="223">
        <f t="shared" ref="F144:BA144" si="226">SUM(F145)</f>
        <v>540000000</v>
      </c>
      <c r="G144" s="223">
        <f t="shared" si="226"/>
        <v>540934000</v>
      </c>
      <c r="H144" s="223">
        <f t="shared" si="226"/>
        <v>0</v>
      </c>
      <c r="I144" s="223"/>
      <c r="J144" s="223">
        <f t="shared" si="226"/>
        <v>0</v>
      </c>
      <c r="K144" s="223">
        <f t="shared" si="226"/>
        <v>0</v>
      </c>
      <c r="L144" s="223">
        <f t="shared" si="226"/>
        <v>0</v>
      </c>
      <c r="M144" s="223">
        <f t="shared" si="226"/>
        <v>0</v>
      </c>
      <c r="N144" s="223">
        <f t="shared" si="226"/>
        <v>0</v>
      </c>
      <c r="O144" s="223">
        <f t="shared" si="226"/>
        <v>0</v>
      </c>
      <c r="P144" s="223">
        <f t="shared" si="226"/>
        <v>0</v>
      </c>
      <c r="Q144" s="223">
        <f t="shared" si="226"/>
        <v>0</v>
      </c>
      <c r="R144" s="223">
        <f t="shared" si="226"/>
        <v>0</v>
      </c>
      <c r="S144" s="223">
        <f t="shared" si="226"/>
        <v>0</v>
      </c>
      <c r="T144" s="223">
        <f t="shared" si="226"/>
        <v>0</v>
      </c>
      <c r="U144" s="223">
        <f t="shared" si="226"/>
        <v>0</v>
      </c>
      <c r="V144" s="223">
        <f t="shared" si="226"/>
        <v>540000000</v>
      </c>
      <c r="W144" s="223">
        <f t="shared" si="226"/>
        <v>0</v>
      </c>
      <c r="X144" s="223">
        <f t="shared" si="226"/>
        <v>0</v>
      </c>
      <c r="Y144" s="223">
        <f t="shared" si="226"/>
        <v>0</v>
      </c>
      <c r="Z144" s="223">
        <f t="shared" si="226"/>
        <v>0</v>
      </c>
      <c r="AA144" s="223">
        <f t="shared" si="226"/>
        <v>0</v>
      </c>
      <c r="AB144" s="223">
        <f t="shared" si="226"/>
        <v>0</v>
      </c>
      <c r="AC144" s="223">
        <f t="shared" si="226"/>
        <v>0</v>
      </c>
      <c r="AD144" s="223">
        <f t="shared" si="226"/>
        <v>0</v>
      </c>
      <c r="AE144" s="223">
        <f t="shared" si="226"/>
        <v>0</v>
      </c>
      <c r="AF144" s="223">
        <f t="shared" si="226"/>
        <v>0</v>
      </c>
      <c r="AG144" s="223">
        <f t="shared" si="226"/>
        <v>0</v>
      </c>
      <c r="AH144" s="223">
        <f t="shared" si="226"/>
        <v>0</v>
      </c>
      <c r="AI144" s="223">
        <f t="shared" si="226"/>
        <v>0</v>
      </c>
      <c r="AJ144" s="223">
        <f t="shared" si="226"/>
        <v>0</v>
      </c>
      <c r="AK144" s="223">
        <f t="shared" si="226"/>
        <v>0</v>
      </c>
      <c r="AL144" s="223">
        <f t="shared" si="226"/>
        <v>0</v>
      </c>
      <c r="AM144" s="223">
        <f t="shared" si="226"/>
        <v>0</v>
      </c>
      <c r="AN144" s="223">
        <f t="shared" si="226"/>
        <v>0</v>
      </c>
      <c r="AO144" s="223">
        <f t="shared" si="226"/>
        <v>0</v>
      </c>
      <c r="AP144" s="223">
        <f t="shared" si="226"/>
        <v>0</v>
      </c>
      <c r="AQ144" s="223">
        <f t="shared" si="226"/>
        <v>0</v>
      </c>
      <c r="AR144" s="223">
        <f t="shared" si="226"/>
        <v>0</v>
      </c>
      <c r="AS144" s="223">
        <f t="shared" si="226"/>
        <v>0</v>
      </c>
      <c r="AT144" s="223">
        <f>SUM(J144:AS144)</f>
        <v>540000000</v>
      </c>
      <c r="AU144" s="231">
        <f t="shared" si="223"/>
        <v>100</v>
      </c>
      <c r="AV144" s="232">
        <f>F144-AT144</f>
        <v>0</v>
      </c>
      <c r="AW144" s="231">
        <f>AV144/F144*100</f>
        <v>0</v>
      </c>
      <c r="AX144" s="220" t="s">
        <v>576</v>
      </c>
      <c r="AY144" s="220" t="s">
        <v>560</v>
      </c>
      <c r="AZ144" s="220" t="s">
        <v>4811</v>
      </c>
      <c r="BA144" s="223">
        <f t="shared" si="226"/>
        <v>0</v>
      </c>
      <c r="BB144" s="223">
        <f>SUM(BB145)</f>
        <v>0</v>
      </c>
      <c r="BC144" s="223">
        <f>SUM(BC145)</f>
        <v>0</v>
      </c>
      <c r="BD144" s="223">
        <f t="shared" ref="BD144:BH144" si="227">SUM(BD145)</f>
        <v>0</v>
      </c>
      <c r="BE144" s="223">
        <f t="shared" si="227"/>
        <v>0</v>
      </c>
      <c r="BF144" s="223">
        <f t="shared" si="227"/>
        <v>0</v>
      </c>
      <c r="BG144" s="223">
        <f t="shared" si="227"/>
        <v>0</v>
      </c>
      <c r="BH144" s="223">
        <f t="shared" si="227"/>
        <v>0</v>
      </c>
    </row>
    <row r="145" spans="2:60" x14ac:dyDescent="0.3">
      <c r="B145" s="288">
        <v>532111</v>
      </c>
      <c r="C145" s="220" t="s">
        <v>43</v>
      </c>
      <c r="D145" s="220"/>
      <c r="E145" s="220"/>
      <c r="F145" s="221">
        <v>540000000</v>
      </c>
      <c r="G145" s="221">
        <v>540934000</v>
      </c>
      <c r="H145" s="221"/>
      <c r="I145" s="221"/>
      <c r="J145" s="221"/>
      <c r="K145" s="221"/>
      <c r="L145" s="221"/>
      <c r="M145" s="221"/>
      <c r="N145" s="221"/>
      <c r="O145" s="221"/>
      <c r="P145" s="221"/>
      <c r="Q145" s="221"/>
      <c r="R145" s="221"/>
      <c r="S145" s="221"/>
      <c r="T145" s="221"/>
      <c r="U145" s="221"/>
      <c r="V145" s="221">
        <v>540000000</v>
      </c>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c r="AR145" s="221"/>
      <c r="AS145" s="221"/>
      <c r="AT145" s="221">
        <f t="shared" si="217"/>
        <v>540000000</v>
      </c>
      <c r="AU145" s="224">
        <f t="shared" si="223"/>
        <v>100</v>
      </c>
      <c r="AV145" s="225">
        <f>F145-AT145</f>
        <v>0</v>
      </c>
      <c r="AW145" s="224">
        <f>AV145/F145*100</f>
        <v>0</v>
      </c>
      <c r="AX145" s="220" t="s">
        <v>576</v>
      </c>
      <c r="AY145" s="220" t="s">
        <v>560</v>
      </c>
      <c r="AZ145" s="220" t="s">
        <v>4811</v>
      </c>
      <c r="BA145" s="221"/>
      <c r="BB145" s="221"/>
      <c r="BC145" s="221"/>
      <c r="BD145" s="221"/>
      <c r="BE145" s="221"/>
      <c r="BF145" s="221"/>
      <c r="BG145" s="221"/>
      <c r="BH145" s="221"/>
    </row>
    <row r="146" spans="2:60" x14ac:dyDescent="0.3">
      <c r="B146" s="236" t="s">
        <v>2466</v>
      </c>
      <c r="C146" s="237" t="s">
        <v>2467</v>
      </c>
      <c r="D146" s="237">
        <v>5</v>
      </c>
      <c r="E146" s="237" t="s">
        <v>4315</v>
      </c>
      <c r="F146" s="235">
        <f>F147+F165+F182</f>
        <v>548290000</v>
      </c>
      <c r="G146" s="235">
        <f>G147+G165+G182</f>
        <v>1538790000</v>
      </c>
      <c r="H146" s="235">
        <f>H147+H165+H182</f>
        <v>0</v>
      </c>
      <c r="I146" s="235"/>
      <c r="J146" s="235">
        <f t="shared" ref="J146" si="228">J147+J165+J182</f>
        <v>0</v>
      </c>
      <c r="K146" s="235">
        <f t="shared" ref="K146:BA146" si="229">K147+K165+K182</f>
        <v>0</v>
      </c>
      <c r="L146" s="235">
        <f t="shared" si="229"/>
        <v>0</v>
      </c>
      <c r="M146" s="235">
        <f t="shared" si="229"/>
        <v>10597800</v>
      </c>
      <c r="N146" s="235">
        <f t="shared" si="229"/>
        <v>0</v>
      </c>
      <c r="O146" s="235">
        <f t="shared" si="229"/>
        <v>0</v>
      </c>
      <c r="P146" s="235">
        <f t="shared" si="229"/>
        <v>0</v>
      </c>
      <c r="Q146" s="235">
        <f t="shared" si="229"/>
        <v>30344500</v>
      </c>
      <c r="R146" s="235">
        <f t="shared" si="229"/>
        <v>93601693</v>
      </c>
      <c r="S146" s="235">
        <f t="shared" si="229"/>
        <v>22589500</v>
      </c>
      <c r="T146" s="235">
        <f t="shared" si="229"/>
        <v>19929200</v>
      </c>
      <c r="U146" s="235">
        <f t="shared" si="229"/>
        <v>0</v>
      </c>
      <c r="V146" s="235">
        <f t="shared" si="229"/>
        <v>9172500</v>
      </c>
      <c r="W146" s="235">
        <f t="shared" si="229"/>
        <v>20182883</v>
      </c>
      <c r="X146" s="235">
        <f t="shared" si="229"/>
        <v>82150655</v>
      </c>
      <c r="Y146" s="235">
        <f t="shared" si="229"/>
        <v>51085531</v>
      </c>
      <c r="Z146" s="235">
        <f t="shared" si="229"/>
        <v>0</v>
      </c>
      <c r="AA146" s="235">
        <f t="shared" si="229"/>
        <v>4670000</v>
      </c>
      <c r="AB146" s="235">
        <f t="shared" si="229"/>
        <v>0</v>
      </c>
      <c r="AC146" s="235">
        <f t="shared" si="229"/>
        <v>0</v>
      </c>
      <c r="AD146" s="235">
        <f t="shared" si="229"/>
        <v>0</v>
      </c>
      <c r="AE146" s="235">
        <f t="shared" si="229"/>
        <v>0</v>
      </c>
      <c r="AF146" s="235">
        <f t="shared" si="229"/>
        <v>0</v>
      </c>
      <c r="AG146" s="235">
        <f t="shared" si="229"/>
        <v>0</v>
      </c>
      <c r="AH146" s="235">
        <f t="shared" si="229"/>
        <v>0</v>
      </c>
      <c r="AI146" s="235">
        <f t="shared" si="229"/>
        <v>0</v>
      </c>
      <c r="AJ146" s="235">
        <f t="shared" si="229"/>
        <v>0</v>
      </c>
      <c r="AK146" s="235">
        <f t="shared" si="229"/>
        <v>0</v>
      </c>
      <c r="AL146" s="235">
        <f t="shared" si="229"/>
        <v>0</v>
      </c>
      <c r="AM146" s="235">
        <f t="shared" si="229"/>
        <v>0</v>
      </c>
      <c r="AN146" s="235">
        <f t="shared" si="229"/>
        <v>0</v>
      </c>
      <c r="AO146" s="235">
        <f t="shared" si="229"/>
        <v>0</v>
      </c>
      <c r="AP146" s="235">
        <f t="shared" si="229"/>
        <v>0</v>
      </c>
      <c r="AQ146" s="235">
        <f t="shared" si="229"/>
        <v>0</v>
      </c>
      <c r="AR146" s="235">
        <f t="shared" si="229"/>
        <v>0</v>
      </c>
      <c r="AS146" s="235">
        <f t="shared" si="229"/>
        <v>0</v>
      </c>
      <c r="AT146" s="235">
        <f t="shared" si="217"/>
        <v>344324262</v>
      </c>
      <c r="AU146" s="238">
        <f t="shared" si="223"/>
        <v>62.799661128235066</v>
      </c>
      <c r="AV146" s="239">
        <f>F146-AT146</f>
        <v>203965738</v>
      </c>
      <c r="AW146" s="238">
        <f>AV146/F146*100</f>
        <v>37.200338871764941</v>
      </c>
      <c r="AX146" s="220"/>
      <c r="AY146" s="220"/>
      <c r="AZ146" s="220" t="s">
        <v>4729</v>
      </c>
      <c r="BA146" s="235">
        <f t="shared" si="229"/>
        <v>0</v>
      </c>
      <c r="BB146" s="235">
        <f t="shared" ref="BB146:BC146" si="230">BB147+BB165+BB182</f>
        <v>93601693</v>
      </c>
      <c r="BC146" s="235">
        <f t="shared" si="230"/>
        <v>30344500</v>
      </c>
      <c r="BD146" s="235">
        <f t="shared" ref="BD146" si="231">BD147+BD165+BD182</f>
        <v>19929200</v>
      </c>
      <c r="BE146" s="235">
        <f t="shared" ref="BE146" si="232">BE147+BE165+BE182</f>
        <v>10000000</v>
      </c>
      <c r="BF146" s="235">
        <f t="shared" ref="BF146:BG146" si="233">BF147+BF165+BF182</f>
        <v>10182883</v>
      </c>
      <c r="BG146" s="235">
        <f t="shared" si="233"/>
        <v>82150655</v>
      </c>
      <c r="BH146" s="235">
        <f t="shared" ref="BH146" si="234">BH147+BH165+BH182</f>
        <v>4670000</v>
      </c>
    </row>
    <row r="147" spans="2:60" x14ac:dyDescent="0.3">
      <c r="B147" s="226" t="s">
        <v>4316</v>
      </c>
      <c r="C147" s="227" t="s">
        <v>2470</v>
      </c>
      <c r="D147" s="227">
        <v>1</v>
      </c>
      <c r="E147" s="227" t="s">
        <v>4315</v>
      </c>
      <c r="F147" s="228">
        <f>F148</f>
        <v>180572000</v>
      </c>
      <c r="G147" s="228">
        <f>G148</f>
        <v>615138000</v>
      </c>
      <c r="H147" s="228">
        <f>H148</f>
        <v>0</v>
      </c>
      <c r="I147" s="228"/>
      <c r="J147" s="228">
        <f t="shared" ref="J147:BH147" si="235">J148</f>
        <v>0</v>
      </c>
      <c r="K147" s="228">
        <f t="shared" si="235"/>
        <v>0</v>
      </c>
      <c r="L147" s="228">
        <f t="shared" si="235"/>
        <v>0</v>
      </c>
      <c r="M147" s="228">
        <f t="shared" si="235"/>
        <v>10597800</v>
      </c>
      <c r="N147" s="228">
        <f t="shared" si="235"/>
        <v>0</v>
      </c>
      <c r="O147" s="228">
        <f t="shared" si="235"/>
        <v>0</v>
      </c>
      <c r="P147" s="228">
        <f t="shared" si="235"/>
        <v>0</v>
      </c>
      <c r="Q147" s="228">
        <f t="shared" si="235"/>
        <v>7845000</v>
      </c>
      <c r="R147" s="228">
        <f t="shared" si="235"/>
        <v>37430665</v>
      </c>
      <c r="S147" s="228">
        <f t="shared" si="235"/>
        <v>6535000</v>
      </c>
      <c r="T147" s="228">
        <f t="shared" si="235"/>
        <v>0</v>
      </c>
      <c r="U147" s="228">
        <f t="shared" si="235"/>
        <v>0</v>
      </c>
      <c r="V147" s="228">
        <f t="shared" si="235"/>
        <v>9172500</v>
      </c>
      <c r="W147" s="228">
        <f t="shared" si="235"/>
        <v>0</v>
      </c>
      <c r="X147" s="228">
        <f t="shared" si="235"/>
        <v>19898480</v>
      </c>
      <c r="Y147" s="228">
        <f t="shared" si="235"/>
        <v>10500000</v>
      </c>
      <c r="Z147" s="228">
        <f t="shared" si="235"/>
        <v>0</v>
      </c>
      <c r="AA147" s="228">
        <f t="shared" si="235"/>
        <v>0</v>
      </c>
      <c r="AB147" s="228">
        <f t="shared" si="235"/>
        <v>0</v>
      </c>
      <c r="AC147" s="228">
        <f t="shared" si="235"/>
        <v>0</v>
      </c>
      <c r="AD147" s="228">
        <f t="shared" si="235"/>
        <v>0</v>
      </c>
      <c r="AE147" s="228">
        <f t="shared" si="235"/>
        <v>0</v>
      </c>
      <c r="AF147" s="228">
        <f t="shared" si="235"/>
        <v>0</v>
      </c>
      <c r="AG147" s="228">
        <f t="shared" si="235"/>
        <v>0</v>
      </c>
      <c r="AH147" s="228">
        <f t="shared" si="235"/>
        <v>0</v>
      </c>
      <c r="AI147" s="228">
        <f t="shared" si="235"/>
        <v>0</v>
      </c>
      <c r="AJ147" s="228">
        <f t="shared" si="235"/>
        <v>0</v>
      </c>
      <c r="AK147" s="228">
        <f t="shared" si="235"/>
        <v>0</v>
      </c>
      <c r="AL147" s="228">
        <f t="shared" si="235"/>
        <v>0</v>
      </c>
      <c r="AM147" s="228">
        <f t="shared" si="235"/>
        <v>0</v>
      </c>
      <c r="AN147" s="228">
        <f t="shared" si="235"/>
        <v>0</v>
      </c>
      <c r="AO147" s="228">
        <f t="shared" si="235"/>
        <v>0</v>
      </c>
      <c r="AP147" s="228">
        <f t="shared" si="235"/>
        <v>0</v>
      </c>
      <c r="AQ147" s="228">
        <f t="shared" si="235"/>
        <v>0</v>
      </c>
      <c r="AR147" s="228">
        <f t="shared" si="235"/>
        <v>0</v>
      </c>
      <c r="AS147" s="228">
        <f t="shared" si="235"/>
        <v>0</v>
      </c>
      <c r="AT147" s="228">
        <f t="shared" si="217"/>
        <v>101979445</v>
      </c>
      <c r="AU147" s="229">
        <f t="shared" si="223"/>
        <v>56.475779744367891</v>
      </c>
      <c r="AV147" s="230">
        <f t="shared" ref="AV147:AV148" si="236">F147-AT147</f>
        <v>78592555</v>
      </c>
      <c r="AW147" s="229">
        <f t="shared" ref="AW147:AW148" si="237">AV147/F147*100</f>
        <v>43.524220255632102</v>
      </c>
      <c r="AX147" s="220" t="s">
        <v>542</v>
      </c>
      <c r="AY147" s="220" t="s">
        <v>543</v>
      </c>
      <c r="AZ147" s="220" t="s">
        <v>4729</v>
      </c>
      <c r="BA147" s="228">
        <f t="shared" si="235"/>
        <v>0</v>
      </c>
      <c r="BB147" s="228">
        <f t="shared" si="235"/>
        <v>37430665</v>
      </c>
      <c r="BC147" s="228">
        <f t="shared" si="235"/>
        <v>7845000</v>
      </c>
      <c r="BD147" s="228">
        <f t="shared" si="235"/>
        <v>0</v>
      </c>
      <c r="BE147" s="228">
        <f t="shared" si="235"/>
        <v>0</v>
      </c>
      <c r="BF147" s="228">
        <f t="shared" si="235"/>
        <v>0</v>
      </c>
      <c r="BG147" s="228">
        <f t="shared" si="235"/>
        <v>19898480</v>
      </c>
      <c r="BH147" s="228">
        <f t="shared" si="235"/>
        <v>0</v>
      </c>
    </row>
    <row r="148" spans="2:60" x14ac:dyDescent="0.3">
      <c r="B148" s="226">
        <v>301</v>
      </c>
      <c r="C148" s="227" t="s">
        <v>2740</v>
      </c>
      <c r="D148" s="227"/>
      <c r="E148" s="227"/>
      <c r="F148" s="228">
        <f>F149+F154+F160</f>
        <v>180572000</v>
      </c>
      <c r="G148" s="228">
        <f>G149+G154+G160</f>
        <v>615138000</v>
      </c>
      <c r="H148" s="228">
        <f>H149+H154+H160</f>
        <v>0</v>
      </c>
      <c r="I148" s="228"/>
      <c r="J148" s="228">
        <f t="shared" ref="J148" si="238">J149+J154+J160</f>
        <v>0</v>
      </c>
      <c r="K148" s="228">
        <f t="shared" ref="K148:BA148" si="239">K149+K154+K160</f>
        <v>0</v>
      </c>
      <c r="L148" s="228">
        <f t="shared" si="239"/>
        <v>0</v>
      </c>
      <c r="M148" s="228">
        <f t="shared" si="239"/>
        <v>10597800</v>
      </c>
      <c r="N148" s="228">
        <f t="shared" si="239"/>
        <v>0</v>
      </c>
      <c r="O148" s="228">
        <f t="shared" si="239"/>
        <v>0</v>
      </c>
      <c r="P148" s="228">
        <f t="shared" si="239"/>
        <v>0</v>
      </c>
      <c r="Q148" s="228">
        <f t="shared" si="239"/>
        <v>7845000</v>
      </c>
      <c r="R148" s="228">
        <f t="shared" si="239"/>
        <v>37430665</v>
      </c>
      <c r="S148" s="228">
        <f t="shared" si="239"/>
        <v>6535000</v>
      </c>
      <c r="T148" s="228">
        <f t="shared" si="239"/>
        <v>0</v>
      </c>
      <c r="U148" s="228">
        <f t="shared" si="239"/>
        <v>0</v>
      </c>
      <c r="V148" s="228">
        <f t="shared" si="239"/>
        <v>9172500</v>
      </c>
      <c r="W148" s="228">
        <f t="shared" si="239"/>
        <v>0</v>
      </c>
      <c r="X148" s="228">
        <f t="shared" si="239"/>
        <v>19898480</v>
      </c>
      <c r="Y148" s="228">
        <f t="shared" si="239"/>
        <v>10500000</v>
      </c>
      <c r="Z148" s="228">
        <f t="shared" si="239"/>
        <v>0</v>
      </c>
      <c r="AA148" s="228">
        <f t="shared" si="239"/>
        <v>0</v>
      </c>
      <c r="AB148" s="228">
        <f t="shared" si="239"/>
        <v>0</v>
      </c>
      <c r="AC148" s="228">
        <f t="shared" si="239"/>
        <v>0</v>
      </c>
      <c r="AD148" s="228">
        <f t="shared" si="239"/>
        <v>0</v>
      </c>
      <c r="AE148" s="228">
        <f t="shared" si="239"/>
        <v>0</v>
      </c>
      <c r="AF148" s="228">
        <f t="shared" si="239"/>
        <v>0</v>
      </c>
      <c r="AG148" s="228">
        <f t="shared" si="239"/>
        <v>0</v>
      </c>
      <c r="AH148" s="228">
        <f t="shared" si="239"/>
        <v>0</v>
      </c>
      <c r="AI148" s="228">
        <f t="shared" si="239"/>
        <v>0</v>
      </c>
      <c r="AJ148" s="228">
        <f t="shared" si="239"/>
        <v>0</v>
      </c>
      <c r="AK148" s="228">
        <f t="shared" si="239"/>
        <v>0</v>
      </c>
      <c r="AL148" s="228">
        <f t="shared" si="239"/>
        <v>0</v>
      </c>
      <c r="AM148" s="228">
        <f t="shared" si="239"/>
        <v>0</v>
      </c>
      <c r="AN148" s="228">
        <f t="shared" si="239"/>
        <v>0</v>
      </c>
      <c r="AO148" s="228">
        <f t="shared" si="239"/>
        <v>0</v>
      </c>
      <c r="AP148" s="228">
        <f t="shared" si="239"/>
        <v>0</v>
      </c>
      <c r="AQ148" s="228">
        <f t="shared" si="239"/>
        <v>0</v>
      </c>
      <c r="AR148" s="228">
        <f t="shared" si="239"/>
        <v>0</v>
      </c>
      <c r="AS148" s="228">
        <f t="shared" si="239"/>
        <v>0</v>
      </c>
      <c r="AT148" s="228">
        <f t="shared" si="217"/>
        <v>101979445</v>
      </c>
      <c r="AU148" s="229">
        <f t="shared" si="223"/>
        <v>56.475779744367891</v>
      </c>
      <c r="AV148" s="230">
        <f t="shared" si="236"/>
        <v>78592555</v>
      </c>
      <c r="AW148" s="229">
        <f t="shared" si="237"/>
        <v>43.524220255632102</v>
      </c>
      <c r="AX148" s="220" t="s">
        <v>542</v>
      </c>
      <c r="AY148" s="220" t="s">
        <v>543</v>
      </c>
      <c r="AZ148" s="220" t="s">
        <v>4729</v>
      </c>
      <c r="BA148" s="228">
        <f t="shared" si="239"/>
        <v>0</v>
      </c>
      <c r="BB148" s="228">
        <f t="shared" ref="BB148:BC148" si="240">BB149+BB154+BB160</f>
        <v>37430665</v>
      </c>
      <c r="BC148" s="228">
        <f t="shared" si="240"/>
        <v>7845000</v>
      </c>
      <c r="BD148" s="228">
        <f t="shared" ref="BD148" si="241">BD149+BD154+BD160</f>
        <v>0</v>
      </c>
      <c r="BE148" s="228">
        <f t="shared" ref="BE148" si="242">BE149+BE154+BE160</f>
        <v>0</v>
      </c>
      <c r="BF148" s="228">
        <f t="shared" ref="BF148:BG148" si="243">BF149+BF154+BF160</f>
        <v>0</v>
      </c>
      <c r="BG148" s="228">
        <f t="shared" si="243"/>
        <v>19898480</v>
      </c>
      <c r="BH148" s="228">
        <f t="shared" ref="BH148" si="244">BH149+BH154+BH160</f>
        <v>0</v>
      </c>
    </row>
    <row r="149" spans="2:60" x14ac:dyDescent="0.3">
      <c r="B149" s="290" t="s">
        <v>8</v>
      </c>
      <c r="C149" s="222" t="s">
        <v>129</v>
      </c>
      <c r="D149" s="222"/>
      <c r="E149" s="222"/>
      <c r="F149" s="223">
        <f>SUM(F150:F153)</f>
        <v>22164000</v>
      </c>
      <c r="G149" s="223">
        <f>SUM(G150:G153)</f>
        <v>101050000</v>
      </c>
      <c r="H149" s="223">
        <f>SUM(H150:H153)</f>
        <v>0</v>
      </c>
      <c r="I149" s="223"/>
      <c r="J149" s="223">
        <f t="shared" ref="J149" si="245">SUM(J150:J153)</f>
        <v>0</v>
      </c>
      <c r="K149" s="223">
        <f t="shared" ref="K149:BA149" si="246">SUM(K150:K153)</f>
        <v>0</v>
      </c>
      <c r="L149" s="223">
        <f t="shared" si="246"/>
        <v>0</v>
      </c>
      <c r="M149" s="223">
        <f t="shared" si="246"/>
        <v>1010000</v>
      </c>
      <c r="N149" s="223">
        <f t="shared" si="246"/>
        <v>0</v>
      </c>
      <c r="O149" s="223">
        <f t="shared" si="246"/>
        <v>0</v>
      </c>
      <c r="P149" s="223">
        <f t="shared" si="246"/>
        <v>0</v>
      </c>
      <c r="Q149" s="223">
        <f t="shared" si="246"/>
        <v>2805000</v>
      </c>
      <c r="R149" s="223">
        <f t="shared" si="246"/>
        <v>4303915</v>
      </c>
      <c r="S149" s="223">
        <f t="shared" si="246"/>
        <v>0</v>
      </c>
      <c r="T149" s="223">
        <f t="shared" si="246"/>
        <v>0</v>
      </c>
      <c r="U149" s="223">
        <f t="shared" si="246"/>
        <v>0</v>
      </c>
      <c r="V149" s="223">
        <f t="shared" si="246"/>
        <v>1348500</v>
      </c>
      <c r="W149" s="223">
        <f t="shared" si="246"/>
        <v>0</v>
      </c>
      <c r="X149" s="223">
        <f t="shared" si="246"/>
        <v>4238980</v>
      </c>
      <c r="Y149" s="223">
        <f t="shared" si="246"/>
        <v>0</v>
      </c>
      <c r="Z149" s="223">
        <f t="shared" si="246"/>
        <v>0</v>
      </c>
      <c r="AA149" s="223">
        <f t="shared" si="246"/>
        <v>0</v>
      </c>
      <c r="AB149" s="223">
        <f t="shared" si="246"/>
        <v>0</v>
      </c>
      <c r="AC149" s="223">
        <f t="shared" si="246"/>
        <v>0</v>
      </c>
      <c r="AD149" s="223">
        <f t="shared" si="246"/>
        <v>0</v>
      </c>
      <c r="AE149" s="223">
        <f t="shared" si="246"/>
        <v>0</v>
      </c>
      <c r="AF149" s="223">
        <f t="shared" si="246"/>
        <v>0</v>
      </c>
      <c r="AG149" s="223">
        <f t="shared" si="246"/>
        <v>0</v>
      </c>
      <c r="AH149" s="223">
        <f t="shared" si="246"/>
        <v>0</v>
      </c>
      <c r="AI149" s="223">
        <f t="shared" si="246"/>
        <v>0</v>
      </c>
      <c r="AJ149" s="223">
        <f t="shared" si="246"/>
        <v>0</v>
      </c>
      <c r="AK149" s="223">
        <f t="shared" si="246"/>
        <v>0</v>
      </c>
      <c r="AL149" s="223">
        <f t="shared" si="246"/>
        <v>0</v>
      </c>
      <c r="AM149" s="223">
        <f t="shared" si="246"/>
        <v>0</v>
      </c>
      <c r="AN149" s="223">
        <f t="shared" si="246"/>
        <v>0</v>
      </c>
      <c r="AO149" s="223">
        <f t="shared" si="246"/>
        <v>0</v>
      </c>
      <c r="AP149" s="223">
        <f t="shared" si="246"/>
        <v>0</v>
      </c>
      <c r="AQ149" s="223">
        <f t="shared" si="246"/>
        <v>0</v>
      </c>
      <c r="AR149" s="223">
        <f t="shared" si="246"/>
        <v>0</v>
      </c>
      <c r="AS149" s="223">
        <f t="shared" si="246"/>
        <v>0</v>
      </c>
      <c r="AT149" s="223">
        <f t="shared" si="217"/>
        <v>13706395</v>
      </c>
      <c r="AU149" s="231">
        <f t="shared" si="223"/>
        <v>61.84080039704024</v>
      </c>
      <c r="AV149" s="232">
        <f>F149-AT149</f>
        <v>8457605</v>
      </c>
      <c r="AW149" s="231">
        <f>AV149/F149*100</f>
        <v>38.159199602959752</v>
      </c>
      <c r="AX149" s="220" t="s">
        <v>542</v>
      </c>
      <c r="AY149" s="220" t="s">
        <v>543</v>
      </c>
      <c r="AZ149" s="220" t="s">
        <v>4729</v>
      </c>
      <c r="BA149" s="223">
        <f t="shared" si="246"/>
        <v>0</v>
      </c>
      <c r="BB149" s="223">
        <f t="shared" ref="BB149:BC149" si="247">SUM(BB150:BB153)</f>
        <v>4303915</v>
      </c>
      <c r="BC149" s="223">
        <f t="shared" si="247"/>
        <v>2805000</v>
      </c>
      <c r="BD149" s="223">
        <f t="shared" ref="BD149" si="248">SUM(BD150:BD153)</f>
        <v>0</v>
      </c>
      <c r="BE149" s="223">
        <f t="shared" ref="BE149" si="249">SUM(BE150:BE153)</f>
        <v>0</v>
      </c>
      <c r="BF149" s="223">
        <f t="shared" ref="BF149:BG149" si="250">SUM(BF150:BF153)</f>
        <v>0</v>
      </c>
      <c r="BG149" s="223">
        <f t="shared" si="250"/>
        <v>4238980</v>
      </c>
      <c r="BH149" s="223">
        <f t="shared" ref="BH149" si="251">SUM(BH150:BH153)</f>
        <v>0</v>
      </c>
    </row>
    <row r="150" spans="2:60" x14ac:dyDescent="0.3">
      <c r="B150" s="288">
        <v>521211</v>
      </c>
      <c r="C150" s="220" t="s">
        <v>7</v>
      </c>
      <c r="D150" s="220"/>
      <c r="E150" s="220"/>
      <c r="F150" s="221">
        <v>6000000</v>
      </c>
      <c r="G150" s="221">
        <v>22650000</v>
      </c>
      <c r="H150" s="221"/>
      <c r="I150" s="221"/>
      <c r="J150" s="221"/>
      <c r="K150" s="221"/>
      <c r="L150" s="221"/>
      <c r="M150" s="221"/>
      <c r="N150" s="221"/>
      <c r="O150" s="221"/>
      <c r="P150" s="221"/>
      <c r="Q150" s="221"/>
      <c r="R150" s="221">
        <v>1498000</v>
      </c>
      <c r="S150" s="221"/>
      <c r="T150" s="221"/>
      <c r="U150" s="221"/>
      <c r="V150" s="221"/>
      <c r="W150" s="221"/>
      <c r="X150" s="300">
        <v>1493000</v>
      </c>
      <c r="Y150" s="221"/>
      <c r="Z150" s="221"/>
      <c r="AA150" s="221"/>
      <c r="AB150" s="221"/>
      <c r="AC150" s="221"/>
      <c r="AD150" s="221"/>
      <c r="AE150" s="221"/>
      <c r="AF150" s="221"/>
      <c r="AG150" s="221"/>
      <c r="AH150" s="221"/>
      <c r="AI150" s="221"/>
      <c r="AJ150" s="221"/>
      <c r="AK150" s="221"/>
      <c r="AL150" s="221"/>
      <c r="AM150" s="221"/>
      <c r="AN150" s="221"/>
      <c r="AO150" s="221"/>
      <c r="AP150" s="221"/>
      <c r="AQ150" s="221"/>
      <c r="AR150" s="221"/>
      <c r="AS150" s="221"/>
      <c r="AT150" s="221">
        <f t="shared" si="217"/>
        <v>2991000</v>
      </c>
      <c r="AU150" s="224">
        <f t="shared" si="223"/>
        <v>49.85</v>
      </c>
      <c r="AV150" s="225">
        <f>F150-AT150</f>
        <v>3009000</v>
      </c>
      <c r="AW150" s="224">
        <f>AV150/F150*100</f>
        <v>50.149999999999991</v>
      </c>
      <c r="AX150" s="220" t="s">
        <v>542</v>
      </c>
      <c r="AY150" s="220" t="s">
        <v>543</v>
      </c>
      <c r="AZ150" s="220" t="s">
        <v>4729</v>
      </c>
      <c r="BA150" s="221"/>
      <c r="BB150" s="221">
        <v>1498000</v>
      </c>
      <c r="BC150" s="300"/>
      <c r="BD150" s="300"/>
      <c r="BE150" s="300"/>
      <c r="BF150" s="300"/>
      <c r="BG150" s="300">
        <v>1493000</v>
      </c>
      <c r="BH150" s="300"/>
    </row>
    <row r="151" spans="2:60" x14ac:dyDescent="0.3">
      <c r="B151" s="288">
        <v>521219</v>
      </c>
      <c r="C151" s="220" t="s">
        <v>53</v>
      </c>
      <c r="D151" s="220"/>
      <c r="E151" s="220"/>
      <c r="F151" s="221">
        <v>1000000</v>
      </c>
      <c r="G151" s="221">
        <v>1000000</v>
      </c>
      <c r="H151" s="221"/>
      <c r="I151" s="221"/>
      <c r="J151" s="221"/>
      <c r="K151" s="221"/>
      <c r="L151" s="221"/>
      <c r="M151" s="221"/>
      <c r="N151" s="221"/>
      <c r="O151" s="221"/>
      <c r="P151" s="221"/>
      <c r="Q151" s="221"/>
      <c r="R151" s="221">
        <v>346915</v>
      </c>
      <c r="S151" s="221"/>
      <c r="T151" s="221"/>
      <c r="U151" s="221"/>
      <c r="V151" s="221"/>
      <c r="W151" s="221"/>
      <c r="X151" s="221">
        <v>355980</v>
      </c>
      <c r="Y151" s="221"/>
      <c r="Z151" s="221"/>
      <c r="AA151" s="221"/>
      <c r="AB151" s="221"/>
      <c r="AC151" s="221"/>
      <c r="AD151" s="221"/>
      <c r="AE151" s="221"/>
      <c r="AF151" s="221"/>
      <c r="AG151" s="221"/>
      <c r="AH151" s="221"/>
      <c r="AI151" s="221"/>
      <c r="AJ151" s="221"/>
      <c r="AK151" s="221"/>
      <c r="AL151" s="221"/>
      <c r="AM151" s="221"/>
      <c r="AN151" s="221"/>
      <c r="AO151" s="221"/>
      <c r="AP151" s="221"/>
      <c r="AQ151" s="221"/>
      <c r="AR151" s="221"/>
      <c r="AS151" s="221"/>
      <c r="AT151" s="221">
        <f t="shared" ref="AT151:AT153" si="252">SUM(J151:AS151)</f>
        <v>702895</v>
      </c>
      <c r="AU151" s="224">
        <f t="shared" si="223"/>
        <v>70.289500000000004</v>
      </c>
      <c r="AV151" s="225">
        <f t="shared" ref="AV151:AV154" si="253">F151-AT151</f>
        <v>297105</v>
      </c>
      <c r="AW151" s="224">
        <f t="shared" ref="AW151:AW153" si="254">AV151/F151*100</f>
        <v>29.7105</v>
      </c>
      <c r="AX151" s="220" t="s">
        <v>542</v>
      </c>
      <c r="AY151" s="220" t="s">
        <v>543</v>
      </c>
      <c r="AZ151" s="382" t="s">
        <v>4729</v>
      </c>
      <c r="BA151" s="221"/>
      <c r="BB151" s="221">
        <v>346915</v>
      </c>
      <c r="BC151" s="300"/>
      <c r="BD151" s="221"/>
      <c r="BE151" s="221"/>
      <c r="BF151" s="221"/>
      <c r="BG151" s="221">
        <v>355980</v>
      </c>
      <c r="BH151" s="221"/>
    </row>
    <row r="152" spans="2:60" x14ac:dyDescent="0.3">
      <c r="B152" s="288">
        <v>521811</v>
      </c>
      <c r="C152" s="220" t="s">
        <v>64</v>
      </c>
      <c r="D152" s="220"/>
      <c r="E152" s="220"/>
      <c r="F152" s="221">
        <v>10000000</v>
      </c>
      <c r="G152" s="221">
        <v>15000000</v>
      </c>
      <c r="H152" s="221"/>
      <c r="I152" s="221"/>
      <c r="J152" s="221"/>
      <c r="K152" s="221"/>
      <c r="L152" s="221"/>
      <c r="M152" s="221"/>
      <c r="N152" s="221"/>
      <c r="O152" s="221"/>
      <c r="P152" s="221"/>
      <c r="Q152" s="221"/>
      <c r="R152" s="221">
        <v>2459000</v>
      </c>
      <c r="S152" s="221"/>
      <c r="T152" s="221"/>
      <c r="U152" s="221"/>
      <c r="V152" s="221"/>
      <c r="W152" s="221"/>
      <c r="X152" s="221">
        <v>2390000</v>
      </c>
      <c r="Y152" s="221"/>
      <c r="Z152" s="221"/>
      <c r="AA152" s="221"/>
      <c r="AB152" s="221"/>
      <c r="AC152" s="221"/>
      <c r="AD152" s="221"/>
      <c r="AE152" s="221"/>
      <c r="AF152" s="221"/>
      <c r="AG152" s="221"/>
      <c r="AH152" s="221"/>
      <c r="AI152" s="221"/>
      <c r="AJ152" s="221"/>
      <c r="AK152" s="221"/>
      <c r="AL152" s="221"/>
      <c r="AM152" s="221"/>
      <c r="AN152" s="221"/>
      <c r="AO152" s="221"/>
      <c r="AP152" s="221"/>
      <c r="AQ152" s="221"/>
      <c r="AR152" s="221"/>
      <c r="AS152" s="221"/>
      <c r="AT152" s="221">
        <f>SUM(J152:AS152)</f>
        <v>4849000</v>
      </c>
      <c r="AU152" s="224">
        <f t="shared" si="223"/>
        <v>48.49</v>
      </c>
      <c r="AV152" s="225">
        <f t="shared" si="253"/>
        <v>5151000</v>
      </c>
      <c r="AW152" s="224">
        <f t="shared" si="254"/>
        <v>51.51</v>
      </c>
      <c r="AX152" s="220" t="s">
        <v>542</v>
      </c>
      <c r="AY152" s="220" t="s">
        <v>543</v>
      </c>
      <c r="AZ152" s="220" t="s">
        <v>4729</v>
      </c>
      <c r="BA152" s="221"/>
      <c r="BB152" s="221">
        <v>2459000</v>
      </c>
      <c r="BC152" s="300"/>
      <c r="BD152" s="221"/>
      <c r="BE152" s="221"/>
      <c r="BF152" s="221"/>
      <c r="BG152" s="221">
        <v>2390000</v>
      </c>
      <c r="BH152" s="221"/>
    </row>
    <row r="153" spans="2:60" x14ac:dyDescent="0.3">
      <c r="B153" s="288">
        <v>524111</v>
      </c>
      <c r="C153" s="220" t="s">
        <v>19</v>
      </c>
      <c r="D153" s="220"/>
      <c r="E153" s="220"/>
      <c r="F153" s="221">
        <v>5164000</v>
      </c>
      <c r="G153" s="221">
        <v>62400000</v>
      </c>
      <c r="H153" s="221"/>
      <c r="I153" s="221"/>
      <c r="J153" s="221"/>
      <c r="K153" s="221"/>
      <c r="L153" s="221"/>
      <c r="M153" s="221">
        <v>1010000</v>
      </c>
      <c r="N153" s="221"/>
      <c r="O153" s="221"/>
      <c r="P153" s="221"/>
      <c r="Q153" s="300">
        <v>2805000</v>
      </c>
      <c r="R153" s="221"/>
      <c r="S153" s="221"/>
      <c r="T153" s="221"/>
      <c r="U153" s="221"/>
      <c r="V153" s="221">
        <f>900500+448000</f>
        <v>1348500</v>
      </c>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c r="AR153" s="221"/>
      <c r="AS153" s="221"/>
      <c r="AT153" s="221">
        <f t="shared" si="252"/>
        <v>5163500</v>
      </c>
      <c r="AU153" s="224">
        <f t="shared" si="223"/>
        <v>99.990317583268791</v>
      </c>
      <c r="AV153" s="225">
        <f t="shared" si="253"/>
        <v>500</v>
      </c>
      <c r="AW153" s="224">
        <f t="shared" si="254"/>
        <v>9.6824167312161129E-3</v>
      </c>
      <c r="AX153" s="220" t="s">
        <v>542</v>
      </c>
      <c r="AY153" s="220" t="s">
        <v>543</v>
      </c>
      <c r="AZ153" s="220" t="s">
        <v>4729</v>
      </c>
      <c r="BA153" s="221"/>
      <c r="BB153" s="221"/>
      <c r="BC153" s="300">
        <v>2805000</v>
      </c>
      <c r="BD153" s="221"/>
      <c r="BE153" s="221"/>
      <c r="BF153" s="221"/>
      <c r="BG153" s="221"/>
      <c r="BH153" s="221"/>
    </row>
    <row r="154" spans="2:60" x14ac:dyDescent="0.3">
      <c r="B154" s="290" t="s">
        <v>511</v>
      </c>
      <c r="C154" s="222" t="s">
        <v>130</v>
      </c>
      <c r="D154" s="222"/>
      <c r="E154" s="222"/>
      <c r="F154" s="223">
        <f t="shared" ref="F154:AS154" si="255">SUM(F155:F159)</f>
        <v>78000000</v>
      </c>
      <c r="G154" s="223">
        <f t="shared" ref="G154:H154" si="256">SUM(G155:G159)</f>
        <v>345988000</v>
      </c>
      <c r="H154" s="223">
        <f t="shared" si="256"/>
        <v>0</v>
      </c>
      <c r="I154" s="223"/>
      <c r="J154" s="223">
        <f t="shared" si="255"/>
        <v>0</v>
      </c>
      <c r="K154" s="223">
        <f t="shared" si="255"/>
        <v>0</v>
      </c>
      <c r="L154" s="223">
        <f t="shared" si="255"/>
        <v>0</v>
      </c>
      <c r="M154" s="223">
        <f t="shared" si="255"/>
        <v>0</v>
      </c>
      <c r="N154" s="223">
        <f t="shared" si="255"/>
        <v>0</v>
      </c>
      <c r="O154" s="223">
        <f t="shared" si="255"/>
        <v>0</v>
      </c>
      <c r="P154" s="223">
        <f t="shared" si="255"/>
        <v>0</v>
      </c>
      <c r="Q154" s="223">
        <f t="shared" si="255"/>
        <v>0</v>
      </c>
      <c r="R154" s="223">
        <f t="shared" si="255"/>
        <v>7874000</v>
      </c>
      <c r="S154" s="223">
        <f t="shared" si="255"/>
        <v>205000</v>
      </c>
      <c r="T154" s="223">
        <f t="shared" si="255"/>
        <v>0</v>
      </c>
      <c r="U154" s="223">
        <f t="shared" si="255"/>
        <v>0</v>
      </c>
      <c r="V154" s="223">
        <f t="shared" si="255"/>
        <v>4224000</v>
      </c>
      <c r="W154" s="223">
        <f t="shared" si="255"/>
        <v>0</v>
      </c>
      <c r="X154" s="223">
        <f t="shared" si="255"/>
        <v>7848000</v>
      </c>
      <c r="Y154" s="223">
        <f t="shared" si="255"/>
        <v>0</v>
      </c>
      <c r="Z154" s="223">
        <f t="shared" si="255"/>
        <v>0</v>
      </c>
      <c r="AA154" s="223">
        <f t="shared" si="255"/>
        <v>0</v>
      </c>
      <c r="AB154" s="223">
        <f t="shared" si="255"/>
        <v>0</v>
      </c>
      <c r="AC154" s="223">
        <f t="shared" si="255"/>
        <v>0</v>
      </c>
      <c r="AD154" s="223">
        <f t="shared" si="255"/>
        <v>0</v>
      </c>
      <c r="AE154" s="223">
        <f t="shared" si="255"/>
        <v>0</v>
      </c>
      <c r="AF154" s="223">
        <f t="shared" si="255"/>
        <v>0</v>
      </c>
      <c r="AG154" s="223">
        <f t="shared" si="255"/>
        <v>0</v>
      </c>
      <c r="AH154" s="223">
        <f t="shared" si="255"/>
        <v>0</v>
      </c>
      <c r="AI154" s="223">
        <f t="shared" si="255"/>
        <v>0</v>
      </c>
      <c r="AJ154" s="223">
        <f t="shared" si="255"/>
        <v>0</v>
      </c>
      <c r="AK154" s="223">
        <f t="shared" si="255"/>
        <v>0</v>
      </c>
      <c r="AL154" s="223">
        <f t="shared" si="255"/>
        <v>0</v>
      </c>
      <c r="AM154" s="223">
        <f t="shared" si="255"/>
        <v>0</v>
      </c>
      <c r="AN154" s="223">
        <f t="shared" si="255"/>
        <v>0</v>
      </c>
      <c r="AO154" s="223">
        <f t="shared" si="255"/>
        <v>0</v>
      </c>
      <c r="AP154" s="223">
        <f t="shared" si="255"/>
        <v>0</v>
      </c>
      <c r="AQ154" s="223">
        <f t="shared" si="255"/>
        <v>0</v>
      </c>
      <c r="AR154" s="223">
        <f t="shared" si="255"/>
        <v>0</v>
      </c>
      <c r="AS154" s="223">
        <f t="shared" si="255"/>
        <v>0</v>
      </c>
      <c r="AT154" s="223">
        <f>SUM(J154:AS154)</f>
        <v>20151000</v>
      </c>
      <c r="AU154" s="231">
        <f t="shared" si="223"/>
        <v>25.834615384615383</v>
      </c>
      <c r="AV154" s="232">
        <f t="shared" si="253"/>
        <v>57849000</v>
      </c>
      <c r="AW154" s="231">
        <f>AV154/F154*100</f>
        <v>74.16538461538461</v>
      </c>
      <c r="AX154" s="220" t="s">
        <v>542</v>
      </c>
      <c r="AY154" s="220" t="s">
        <v>543</v>
      </c>
      <c r="AZ154" s="220" t="s">
        <v>4729</v>
      </c>
      <c r="BA154" s="223">
        <f>SUM(BA155:BA159)</f>
        <v>0</v>
      </c>
      <c r="BB154" s="223">
        <f>SUM(BB155:BB159)</f>
        <v>7874000</v>
      </c>
      <c r="BC154" s="223">
        <f>SUM(BC155:BC159)</f>
        <v>0</v>
      </c>
      <c r="BD154" s="223">
        <f t="shared" ref="BD154" si="257">SUM(BD155:BD159)</f>
        <v>0</v>
      </c>
      <c r="BE154" s="223">
        <f t="shared" ref="BE154" si="258">SUM(BE155:BE159)</f>
        <v>0</v>
      </c>
      <c r="BF154" s="223">
        <f t="shared" ref="BF154:BG154" si="259">SUM(BF155:BF159)</f>
        <v>0</v>
      </c>
      <c r="BG154" s="223">
        <f t="shared" si="259"/>
        <v>7848000</v>
      </c>
      <c r="BH154" s="223">
        <f t="shared" ref="BH154" si="260">SUM(BH155:BH159)</f>
        <v>0</v>
      </c>
    </row>
    <row r="155" spans="2:60" x14ac:dyDescent="0.3">
      <c r="B155" s="288">
        <v>521211</v>
      </c>
      <c r="C155" s="220" t="s">
        <v>7</v>
      </c>
      <c r="D155" s="220"/>
      <c r="E155" s="220"/>
      <c r="F155" s="221">
        <v>12000000</v>
      </c>
      <c r="G155" s="221">
        <v>49300000</v>
      </c>
      <c r="H155" s="221"/>
      <c r="I155" s="221"/>
      <c r="J155" s="221"/>
      <c r="K155" s="221"/>
      <c r="L155" s="221"/>
      <c r="M155" s="221"/>
      <c r="N155" s="221"/>
      <c r="O155" s="221"/>
      <c r="P155" s="221"/>
      <c r="Q155" s="221"/>
      <c r="R155" s="221">
        <v>2964000</v>
      </c>
      <c r="S155" s="221"/>
      <c r="T155" s="221"/>
      <c r="U155" s="221"/>
      <c r="V155" s="221"/>
      <c r="W155" s="221"/>
      <c r="X155" s="221">
        <v>2975000</v>
      </c>
      <c r="Y155" s="221"/>
      <c r="Z155" s="221"/>
      <c r="AA155" s="221"/>
      <c r="AB155" s="221"/>
      <c r="AC155" s="221"/>
      <c r="AD155" s="221"/>
      <c r="AE155" s="221"/>
      <c r="AF155" s="221"/>
      <c r="AG155" s="221"/>
      <c r="AH155" s="221"/>
      <c r="AI155" s="221"/>
      <c r="AJ155" s="221"/>
      <c r="AK155" s="221"/>
      <c r="AL155" s="221"/>
      <c r="AM155" s="221"/>
      <c r="AN155" s="221"/>
      <c r="AO155" s="221"/>
      <c r="AP155" s="221"/>
      <c r="AQ155" s="221"/>
      <c r="AR155" s="221"/>
      <c r="AS155" s="221"/>
      <c r="AT155" s="221">
        <f>SUM(J155:AS155)</f>
        <v>5939000</v>
      </c>
      <c r="AU155" s="224">
        <f t="shared" si="223"/>
        <v>49.491666666666667</v>
      </c>
      <c r="AV155" s="225">
        <f t="shared" ref="AV155:AV189" si="261">F155-AT155</f>
        <v>6061000</v>
      </c>
      <c r="AW155" s="224">
        <f t="shared" si="206"/>
        <v>50.508333333333333</v>
      </c>
      <c r="AX155" s="220" t="s">
        <v>542</v>
      </c>
      <c r="AY155" s="220" t="s">
        <v>543</v>
      </c>
      <c r="AZ155" s="220" t="s">
        <v>4729</v>
      </c>
      <c r="BA155" s="221"/>
      <c r="BB155" s="221">
        <v>2964000</v>
      </c>
      <c r="BC155" s="300"/>
      <c r="BD155" s="221"/>
      <c r="BE155" s="221"/>
      <c r="BF155" s="221"/>
      <c r="BG155" s="221">
        <v>2975000</v>
      </c>
      <c r="BH155" s="221"/>
    </row>
    <row r="156" spans="2:60" x14ac:dyDescent="0.3">
      <c r="B156" s="288">
        <v>521219</v>
      </c>
      <c r="C156" s="220" t="s">
        <v>53</v>
      </c>
      <c r="D156" s="220"/>
      <c r="E156" s="220"/>
      <c r="F156" s="221">
        <v>1000000</v>
      </c>
      <c r="G156" s="221">
        <v>1000000</v>
      </c>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c r="AR156" s="221"/>
      <c r="AS156" s="221"/>
      <c r="AT156" s="221">
        <f t="shared" ref="AT156:AT189" si="262">SUM(J156:AS156)</f>
        <v>0</v>
      </c>
      <c r="AU156" s="224">
        <f t="shared" si="223"/>
        <v>0</v>
      </c>
      <c r="AV156" s="225">
        <f t="shared" si="261"/>
        <v>1000000</v>
      </c>
      <c r="AW156" s="224">
        <f t="shared" si="206"/>
        <v>100</v>
      </c>
      <c r="AX156" s="220" t="s">
        <v>542</v>
      </c>
      <c r="AY156" s="220" t="s">
        <v>543</v>
      </c>
      <c r="AZ156" s="382" t="s">
        <v>4729</v>
      </c>
      <c r="BA156" s="221"/>
      <c r="BB156" s="221"/>
      <c r="BC156" s="300"/>
      <c r="BD156" s="221"/>
      <c r="BE156" s="221"/>
      <c r="BF156" s="221"/>
      <c r="BG156" s="221"/>
      <c r="BH156" s="221"/>
    </row>
    <row r="157" spans="2:60" x14ac:dyDescent="0.3">
      <c r="B157" s="288">
        <v>521811</v>
      </c>
      <c r="C157" s="220" t="s">
        <v>64</v>
      </c>
      <c r="D157" s="220"/>
      <c r="E157" s="220"/>
      <c r="F157" s="221">
        <v>20000000</v>
      </c>
      <c r="G157" s="221">
        <v>25000000</v>
      </c>
      <c r="H157" s="221"/>
      <c r="I157" s="221"/>
      <c r="J157" s="221"/>
      <c r="K157" s="221"/>
      <c r="L157" s="221"/>
      <c r="M157" s="221"/>
      <c r="N157" s="221"/>
      <c r="O157" s="221"/>
      <c r="P157" s="221"/>
      <c r="Q157" s="221"/>
      <c r="R157" s="221">
        <v>4910000</v>
      </c>
      <c r="S157" s="221"/>
      <c r="T157" s="221"/>
      <c r="U157" s="221"/>
      <c r="V157" s="221"/>
      <c r="W157" s="221"/>
      <c r="X157" s="221">
        <v>4873000</v>
      </c>
      <c r="Y157" s="221"/>
      <c r="Z157" s="221"/>
      <c r="AA157" s="221"/>
      <c r="AB157" s="221"/>
      <c r="AC157" s="221"/>
      <c r="AD157" s="221"/>
      <c r="AE157" s="221"/>
      <c r="AF157" s="221"/>
      <c r="AG157" s="221"/>
      <c r="AH157" s="221"/>
      <c r="AI157" s="221"/>
      <c r="AJ157" s="221"/>
      <c r="AK157" s="221"/>
      <c r="AL157" s="221"/>
      <c r="AM157" s="221"/>
      <c r="AN157" s="221"/>
      <c r="AO157" s="221"/>
      <c r="AP157" s="221"/>
      <c r="AQ157" s="221"/>
      <c r="AR157" s="221"/>
      <c r="AS157" s="221"/>
      <c r="AT157" s="221">
        <f t="shared" si="262"/>
        <v>9783000</v>
      </c>
      <c r="AU157" s="224">
        <f t="shared" si="223"/>
        <v>48.914999999999999</v>
      </c>
      <c r="AV157" s="225">
        <f t="shared" si="261"/>
        <v>10217000</v>
      </c>
      <c r="AW157" s="224">
        <f t="shared" si="206"/>
        <v>51.085000000000001</v>
      </c>
      <c r="AX157" s="220" t="s">
        <v>542</v>
      </c>
      <c r="AY157" s="220" t="s">
        <v>543</v>
      </c>
      <c r="AZ157" s="220" t="s">
        <v>4729</v>
      </c>
      <c r="BA157" s="221"/>
      <c r="BB157" s="221">
        <v>4910000</v>
      </c>
      <c r="BC157" s="300"/>
      <c r="BD157" s="221"/>
      <c r="BE157" s="221"/>
      <c r="BF157" s="221"/>
      <c r="BG157" s="221">
        <v>4873000</v>
      </c>
      <c r="BH157" s="221"/>
    </row>
    <row r="158" spans="2:60" x14ac:dyDescent="0.3">
      <c r="B158" s="288">
        <v>522151</v>
      </c>
      <c r="C158" s="220" t="s">
        <v>11</v>
      </c>
      <c r="D158" s="220"/>
      <c r="E158" s="220"/>
      <c r="F158" s="221">
        <v>0</v>
      </c>
      <c r="G158" s="221">
        <v>12000000</v>
      </c>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c r="AR158" s="221"/>
      <c r="AS158" s="221"/>
      <c r="AT158" s="221">
        <f t="shared" si="262"/>
        <v>0</v>
      </c>
      <c r="AU158" s="224">
        <f t="shared" si="223"/>
        <v>0</v>
      </c>
      <c r="AV158" s="225">
        <f t="shared" si="261"/>
        <v>0</v>
      </c>
      <c r="AW158" s="224" t="e">
        <f t="shared" si="206"/>
        <v>#DIV/0!</v>
      </c>
      <c r="AX158" s="220" t="s">
        <v>542</v>
      </c>
      <c r="AY158" s="220" t="s">
        <v>543</v>
      </c>
      <c r="AZ158" s="220" t="s">
        <v>4729</v>
      </c>
      <c r="BA158" s="221"/>
      <c r="BB158" s="221"/>
      <c r="BC158" s="300"/>
      <c r="BD158" s="221"/>
      <c r="BE158" s="221"/>
      <c r="BF158" s="221"/>
      <c r="BG158" s="221"/>
      <c r="BH158" s="221"/>
    </row>
    <row r="159" spans="2:60" x14ac:dyDescent="0.3">
      <c r="B159" s="288">
        <v>524111</v>
      </c>
      <c r="C159" s="220" t="s">
        <v>19</v>
      </c>
      <c r="D159" s="220"/>
      <c r="E159" s="220"/>
      <c r="F159" s="221">
        <v>45000000</v>
      </c>
      <c r="G159" s="221">
        <v>258688000</v>
      </c>
      <c r="H159" s="221"/>
      <c r="I159" s="221"/>
      <c r="J159" s="221"/>
      <c r="K159" s="221"/>
      <c r="L159" s="221"/>
      <c r="M159" s="221"/>
      <c r="N159" s="221"/>
      <c r="O159" s="221"/>
      <c r="P159" s="221"/>
      <c r="Q159" s="221"/>
      <c r="R159" s="221"/>
      <c r="S159" s="221">
        <v>205000</v>
      </c>
      <c r="T159" s="221"/>
      <c r="U159" s="221"/>
      <c r="V159" s="221">
        <f>1040000+3184000</f>
        <v>4224000</v>
      </c>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c r="AR159" s="221"/>
      <c r="AS159" s="221"/>
      <c r="AT159" s="221">
        <f t="shared" si="262"/>
        <v>4429000</v>
      </c>
      <c r="AU159" s="224">
        <f t="shared" si="223"/>
        <v>9.8422222222222224</v>
      </c>
      <c r="AV159" s="225">
        <f t="shared" si="261"/>
        <v>40571000</v>
      </c>
      <c r="AW159" s="224">
        <f t="shared" si="206"/>
        <v>90.157777777777781</v>
      </c>
      <c r="AX159" s="220" t="s">
        <v>542</v>
      </c>
      <c r="AY159" s="220" t="s">
        <v>543</v>
      </c>
      <c r="AZ159" s="220" t="s">
        <v>4729</v>
      </c>
      <c r="BA159" s="221"/>
      <c r="BB159" s="221"/>
      <c r="BC159" s="300"/>
      <c r="BD159" s="221"/>
      <c r="BE159" s="221"/>
      <c r="BF159" s="221"/>
      <c r="BG159" s="221"/>
      <c r="BH159" s="221"/>
    </row>
    <row r="160" spans="2:60" x14ac:dyDescent="0.3">
      <c r="B160" s="290" t="s">
        <v>512</v>
      </c>
      <c r="C160" s="222" t="s">
        <v>131</v>
      </c>
      <c r="D160" s="222"/>
      <c r="E160" s="222"/>
      <c r="F160" s="223">
        <f t="shared" ref="F160:AS160" si="263">SUM(F161:F164)</f>
        <v>80408000</v>
      </c>
      <c r="G160" s="223">
        <f t="shared" ref="G160:H160" si="264">SUM(G161:G164)</f>
        <v>168100000</v>
      </c>
      <c r="H160" s="223">
        <f t="shared" si="264"/>
        <v>0</v>
      </c>
      <c r="I160" s="223"/>
      <c r="J160" s="223">
        <f t="shared" si="263"/>
        <v>0</v>
      </c>
      <c r="K160" s="223">
        <f t="shared" si="263"/>
        <v>0</v>
      </c>
      <c r="L160" s="223">
        <f t="shared" si="263"/>
        <v>0</v>
      </c>
      <c r="M160" s="223">
        <f t="shared" si="263"/>
        <v>9587800</v>
      </c>
      <c r="N160" s="223">
        <f t="shared" si="263"/>
        <v>0</v>
      </c>
      <c r="O160" s="223">
        <f t="shared" si="263"/>
        <v>0</v>
      </c>
      <c r="P160" s="223">
        <f t="shared" si="263"/>
        <v>0</v>
      </c>
      <c r="Q160" s="223">
        <f t="shared" si="263"/>
        <v>5040000</v>
      </c>
      <c r="R160" s="223">
        <f t="shared" si="263"/>
        <v>25252750</v>
      </c>
      <c r="S160" s="223">
        <f t="shared" si="263"/>
        <v>6330000</v>
      </c>
      <c r="T160" s="223">
        <f t="shared" si="263"/>
        <v>0</v>
      </c>
      <c r="U160" s="223">
        <f t="shared" si="263"/>
        <v>0</v>
      </c>
      <c r="V160" s="223">
        <f t="shared" si="263"/>
        <v>3600000</v>
      </c>
      <c r="W160" s="223">
        <f t="shared" si="263"/>
        <v>0</v>
      </c>
      <c r="X160" s="223">
        <f t="shared" si="263"/>
        <v>7811500</v>
      </c>
      <c r="Y160" s="223">
        <f t="shared" si="263"/>
        <v>10500000</v>
      </c>
      <c r="Z160" s="223">
        <f t="shared" si="263"/>
        <v>0</v>
      </c>
      <c r="AA160" s="223">
        <f t="shared" si="263"/>
        <v>0</v>
      </c>
      <c r="AB160" s="223">
        <f t="shared" si="263"/>
        <v>0</v>
      </c>
      <c r="AC160" s="223">
        <f t="shared" si="263"/>
        <v>0</v>
      </c>
      <c r="AD160" s="223">
        <f t="shared" si="263"/>
        <v>0</v>
      </c>
      <c r="AE160" s="223">
        <f t="shared" si="263"/>
        <v>0</v>
      </c>
      <c r="AF160" s="223">
        <f t="shared" si="263"/>
        <v>0</v>
      </c>
      <c r="AG160" s="223">
        <f t="shared" si="263"/>
        <v>0</v>
      </c>
      <c r="AH160" s="223">
        <f t="shared" si="263"/>
        <v>0</v>
      </c>
      <c r="AI160" s="223">
        <f t="shared" si="263"/>
        <v>0</v>
      </c>
      <c r="AJ160" s="223">
        <f t="shared" si="263"/>
        <v>0</v>
      </c>
      <c r="AK160" s="223">
        <f t="shared" si="263"/>
        <v>0</v>
      </c>
      <c r="AL160" s="223">
        <f t="shared" si="263"/>
        <v>0</v>
      </c>
      <c r="AM160" s="223">
        <f t="shared" si="263"/>
        <v>0</v>
      </c>
      <c r="AN160" s="223">
        <f t="shared" si="263"/>
        <v>0</v>
      </c>
      <c r="AO160" s="223">
        <f t="shared" si="263"/>
        <v>0</v>
      </c>
      <c r="AP160" s="223">
        <f t="shared" si="263"/>
        <v>0</v>
      </c>
      <c r="AQ160" s="223">
        <f t="shared" si="263"/>
        <v>0</v>
      </c>
      <c r="AR160" s="223">
        <f t="shared" si="263"/>
        <v>0</v>
      </c>
      <c r="AS160" s="223">
        <f t="shared" si="263"/>
        <v>0</v>
      </c>
      <c r="AT160" s="223">
        <f t="shared" si="262"/>
        <v>68122050</v>
      </c>
      <c r="AU160" s="231">
        <f t="shared" si="223"/>
        <v>84.720488011143175</v>
      </c>
      <c r="AV160" s="232">
        <f t="shared" si="261"/>
        <v>12285950</v>
      </c>
      <c r="AW160" s="231">
        <f t="shared" si="206"/>
        <v>15.27951198885683</v>
      </c>
      <c r="AX160" s="220" t="s">
        <v>542</v>
      </c>
      <c r="AY160" s="220" t="s">
        <v>543</v>
      </c>
      <c r="AZ160" s="220" t="s">
        <v>4729</v>
      </c>
      <c r="BA160" s="223">
        <f t="shared" ref="BA160:BD160" si="265">SUM(BA161:BA164)</f>
        <v>0</v>
      </c>
      <c r="BB160" s="223">
        <f t="shared" si="265"/>
        <v>25252750</v>
      </c>
      <c r="BC160" s="223">
        <f t="shared" si="265"/>
        <v>5040000</v>
      </c>
      <c r="BD160" s="223">
        <f t="shared" si="265"/>
        <v>0</v>
      </c>
      <c r="BE160" s="223">
        <f t="shared" ref="BE160" si="266">SUM(BE161:BE164)</f>
        <v>0</v>
      </c>
      <c r="BF160" s="223">
        <f t="shared" ref="BF160:BG160" si="267">SUM(BF161:BF164)</f>
        <v>0</v>
      </c>
      <c r="BG160" s="223">
        <f t="shared" si="267"/>
        <v>7811500</v>
      </c>
      <c r="BH160" s="223">
        <f t="shared" ref="BH160" si="268">SUM(BH161:BH164)</f>
        <v>0</v>
      </c>
    </row>
    <row r="161" spans="2:60" x14ac:dyDescent="0.3">
      <c r="B161" s="288">
        <v>521211</v>
      </c>
      <c r="C161" s="220" t="s">
        <v>7</v>
      </c>
      <c r="D161" s="220"/>
      <c r="E161" s="220"/>
      <c r="F161" s="221">
        <v>21000000</v>
      </c>
      <c r="G161" s="221">
        <v>39500000</v>
      </c>
      <c r="H161" s="221"/>
      <c r="I161" s="221"/>
      <c r="J161" s="221"/>
      <c r="K161" s="221"/>
      <c r="L161" s="221"/>
      <c r="M161" s="221"/>
      <c r="N161" s="221"/>
      <c r="O161" s="221"/>
      <c r="P161" s="221"/>
      <c r="Q161" s="221"/>
      <c r="R161" s="221">
        <v>2955000</v>
      </c>
      <c r="S161" s="221"/>
      <c r="T161" s="221"/>
      <c r="U161" s="221"/>
      <c r="V161" s="221"/>
      <c r="W161" s="221"/>
      <c r="X161" s="221">
        <v>2933500</v>
      </c>
      <c r="Y161" s="221">
        <v>10500000</v>
      </c>
      <c r="Z161" s="221"/>
      <c r="AA161" s="221"/>
      <c r="AB161" s="221"/>
      <c r="AC161" s="221"/>
      <c r="AD161" s="221"/>
      <c r="AE161" s="221"/>
      <c r="AF161" s="221"/>
      <c r="AG161" s="221"/>
      <c r="AH161" s="221"/>
      <c r="AI161" s="221"/>
      <c r="AJ161" s="221"/>
      <c r="AK161" s="221"/>
      <c r="AL161" s="221"/>
      <c r="AM161" s="221"/>
      <c r="AN161" s="221"/>
      <c r="AO161" s="221"/>
      <c r="AP161" s="221"/>
      <c r="AQ161" s="221"/>
      <c r="AR161" s="221"/>
      <c r="AS161" s="221"/>
      <c r="AT161" s="221">
        <f t="shared" si="262"/>
        <v>16388500</v>
      </c>
      <c r="AU161" s="224">
        <f t="shared" si="223"/>
        <v>78.040476190476198</v>
      </c>
      <c r="AV161" s="225">
        <f t="shared" si="261"/>
        <v>4611500</v>
      </c>
      <c r="AW161" s="224">
        <f t="shared" si="206"/>
        <v>21.959523809523809</v>
      </c>
      <c r="AX161" s="220" t="s">
        <v>542</v>
      </c>
      <c r="AY161" s="220" t="s">
        <v>543</v>
      </c>
      <c r="AZ161" s="220" t="s">
        <v>4729</v>
      </c>
      <c r="BA161" s="221"/>
      <c r="BB161" s="221">
        <v>2955000</v>
      </c>
      <c r="BC161" s="300"/>
      <c r="BD161" s="221"/>
      <c r="BE161" s="221"/>
      <c r="BF161" s="221"/>
      <c r="BG161" s="221">
        <v>2933500</v>
      </c>
      <c r="BH161" s="221"/>
    </row>
    <row r="162" spans="2:60" x14ac:dyDescent="0.3">
      <c r="B162" s="288">
        <v>521811</v>
      </c>
      <c r="C162" s="220" t="s">
        <v>64</v>
      </c>
      <c r="D162" s="220"/>
      <c r="E162" s="220"/>
      <c r="F162" s="221">
        <v>17500000</v>
      </c>
      <c r="G162" s="221">
        <v>25000000</v>
      </c>
      <c r="H162" s="221"/>
      <c r="I162" s="221"/>
      <c r="J162" s="221"/>
      <c r="K162" s="221"/>
      <c r="L162" s="221"/>
      <c r="M162" s="221"/>
      <c r="N162" s="221"/>
      <c r="O162" s="221"/>
      <c r="P162" s="221"/>
      <c r="Q162" s="221"/>
      <c r="R162" s="221">
        <v>4947750</v>
      </c>
      <c r="S162" s="221"/>
      <c r="T162" s="221"/>
      <c r="U162" s="221"/>
      <c r="V162" s="221"/>
      <c r="W162" s="221"/>
      <c r="X162" s="221">
        <v>4878000</v>
      </c>
      <c r="Y162" s="221"/>
      <c r="Z162" s="221"/>
      <c r="AA162" s="221"/>
      <c r="AB162" s="221"/>
      <c r="AC162" s="221"/>
      <c r="AD162" s="221"/>
      <c r="AE162" s="221"/>
      <c r="AF162" s="221"/>
      <c r="AG162" s="221"/>
      <c r="AH162" s="221"/>
      <c r="AI162" s="221"/>
      <c r="AJ162" s="221"/>
      <c r="AK162" s="221"/>
      <c r="AL162" s="221"/>
      <c r="AM162" s="221"/>
      <c r="AN162" s="221"/>
      <c r="AO162" s="221"/>
      <c r="AP162" s="221"/>
      <c r="AQ162" s="221"/>
      <c r="AR162" s="221"/>
      <c r="AS162" s="221"/>
      <c r="AT162" s="221">
        <f t="shared" si="262"/>
        <v>9825750</v>
      </c>
      <c r="AU162" s="224">
        <f t="shared" si="223"/>
        <v>56.14714285714286</v>
      </c>
      <c r="AV162" s="225">
        <f t="shared" si="261"/>
        <v>7674250</v>
      </c>
      <c r="AW162" s="224">
        <f t="shared" si="206"/>
        <v>43.852857142857147</v>
      </c>
      <c r="AX162" s="220" t="s">
        <v>542</v>
      </c>
      <c r="AY162" s="220" t="s">
        <v>543</v>
      </c>
      <c r="AZ162" s="220" t="s">
        <v>4729</v>
      </c>
      <c r="BA162" s="221"/>
      <c r="BB162" s="221">
        <v>4947750</v>
      </c>
      <c r="BC162" s="300"/>
      <c r="BD162" s="221"/>
      <c r="BE162" s="221"/>
      <c r="BF162" s="221"/>
      <c r="BG162" s="221">
        <v>4878000</v>
      </c>
      <c r="BH162" s="221"/>
    </row>
    <row r="163" spans="2:60" x14ac:dyDescent="0.3">
      <c r="B163" s="288">
        <v>522151</v>
      </c>
      <c r="C163" s="220" t="s">
        <v>11</v>
      </c>
      <c r="D163" s="220"/>
      <c r="E163" s="220"/>
      <c r="F163" s="221">
        <v>0</v>
      </c>
      <c r="G163" s="221">
        <v>10000000</v>
      </c>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c r="AR163" s="221"/>
      <c r="AS163" s="221"/>
      <c r="AT163" s="221">
        <f t="shared" si="262"/>
        <v>0</v>
      </c>
      <c r="AU163" s="224">
        <f t="shared" si="223"/>
        <v>0</v>
      </c>
      <c r="AV163" s="225">
        <f t="shared" si="261"/>
        <v>0</v>
      </c>
      <c r="AW163" s="224" t="e">
        <f t="shared" si="206"/>
        <v>#DIV/0!</v>
      </c>
      <c r="AX163" s="220" t="s">
        <v>542</v>
      </c>
      <c r="AY163" s="220" t="s">
        <v>543</v>
      </c>
      <c r="AZ163" s="220" t="s">
        <v>4729</v>
      </c>
      <c r="BA163" s="221"/>
      <c r="BB163" s="221"/>
      <c r="BC163" s="300"/>
      <c r="BD163" s="221"/>
      <c r="BE163" s="221"/>
      <c r="BF163" s="221"/>
      <c r="BG163" s="221"/>
      <c r="BH163" s="221"/>
    </row>
    <row r="164" spans="2:60" x14ac:dyDescent="0.3">
      <c r="B164" s="288">
        <v>524111</v>
      </c>
      <c r="C164" s="220" t="s">
        <v>19</v>
      </c>
      <c r="D164" s="220"/>
      <c r="E164" s="220"/>
      <c r="F164" s="221">
        <v>41908000</v>
      </c>
      <c r="G164" s="221">
        <v>93600000</v>
      </c>
      <c r="H164" s="221"/>
      <c r="I164" s="221"/>
      <c r="J164" s="221"/>
      <c r="K164" s="221"/>
      <c r="L164" s="221"/>
      <c r="M164" s="221">
        <v>9587800</v>
      </c>
      <c r="N164" s="221"/>
      <c r="O164" s="221"/>
      <c r="P164" s="221"/>
      <c r="Q164" s="300">
        <v>5040000</v>
      </c>
      <c r="R164" s="221">
        <v>17350000</v>
      </c>
      <c r="S164" s="221">
        <v>6330000</v>
      </c>
      <c r="T164" s="221"/>
      <c r="U164" s="221"/>
      <c r="V164" s="221">
        <v>3600000</v>
      </c>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c r="AR164" s="221"/>
      <c r="AS164" s="221"/>
      <c r="AT164" s="221">
        <f t="shared" si="262"/>
        <v>41907800</v>
      </c>
      <c r="AU164" s="224">
        <f t="shared" si="223"/>
        <v>99.999522764150043</v>
      </c>
      <c r="AV164" s="225">
        <f t="shared" si="261"/>
        <v>200</v>
      </c>
      <c r="AW164" s="224">
        <f t="shared" si="206"/>
        <v>4.7723584995704876E-4</v>
      </c>
      <c r="AX164" s="220" t="s">
        <v>542</v>
      </c>
      <c r="AY164" s="220" t="s">
        <v>543</v>
      </c>
      <c r="AZ164" s="220" t="s">
        <v>4729</v>
      </c>
      <c r="BA164" s="221"/>
      <c r="BB164" s="221">
        <v>17350000</v>
      </c>
      <c r="BC164" s="300">
        <v>5040000</v>
      </c>
      <c r="BD164" s="221"/>
      <c r="BE164" s="221"/>
      <c r="BF164" s="221"/>
      <c r="BG164" s="221"/>
      <c r="BH164" s="221"/>
    </row>
    <row r="165" spans="2:60" x14ac:dyDescent="0.3">
      <c r="B165" s="226" t="s">
        <v>4425</v>
      </c>
      <c r="C165" s="227" t="s">
        <v>2786</v>
      </c>
      <c r="D165" s="227">
        <v>2</v>
      </c>
      <c r="E165" s="227" t="s">
        <v>4315</v>
      </c>
      <c r="F165" s="228">
        <f>F166+F177</f>
        <v>169798000</v>
      </c>
      <c r="G165" s="228">
        <f>G166+G177</f>
        <v>633732000</v>
      </c>
      <c r="H165" s="228">
        <f>H166+H177</f>
        <v>0</v>
      </c>
      <c r="I165" s="228"/>
      <c r="J165" s="228">
        <f t="shared" ref="J165:AS165" si="269">J166+J177</f>
        <v>0</v>
      </c>
      <c r="K165" s="228">
        <f t="shared" si="269"/>
        <v>0</v>
      </c>
      <c r="L165" s="228">
        <f t="shared" si="269"/>
        <v>0</v>
      </c>
      <c r="M165" s="228">
        <f t="shared" si="269"/>
        <v>0</v>
      </c>
      <c r="N165" s="228">
        <f t="shared" si="269"/>
        <v>0</v>
      </c>
      <c r="O165" s="228">
        <f t="shared" si="269"/>
        <v>0</v>
      </c>
      <c r="P165" s="228">
        <f t="shared" si="269"/>
        <v>0</v>
      </c>
      <c r="Q165" s="228">
        <f t="shared" si="269"/>
        <v>4230000</v>
      </c>
      <c r="R165" s="228">
        <f t="shared" si="269"/>
        <v>5496528</v>
      </c>
      <c r="S165" s="228">
        <f t="shared" si="269"/>
        <v>16054500</v>
      </c>
      <c r="T165" s="228">
        <f t="shared" si="269"/>
        <v>0</v>
      </c>
      <c r="U165" s="228">
        <f t="shared" si="269"/>
        <v>0</v>
      </c>
      <c r="V165" s="228">
        <f t="shared" si="269"/>
        <v>0</v>
      </c>
      <c r="W165" s="228">
        <f t="shared" si="269"/>
        <v>300383</v>
      </c>
      <c r="X165" s="228">
        <f t="shared" si="269"/>
        <v>36489355</v>
      </c>
      <c r="Y165" s="228">
        <f t="shared" si="269"/>
        <v>40585531</v>
      </c>
      <c r="Z165" s="228">
        <f t="shared" si="269"/>
        <v>0</v>
      </c>
      <c r="AA165" s="228">
        <f t="shared" si="269"/>
        <v>2640000</v>
      </c>
      <c r="AB165" s="228">
        <f t="shared" si="269"/>
        <v>0</v>
      </c>
      <c r="AC165" s="228">
        <f t="shared" si="269"/>
        <v>0</v>
      </c>
      <c r="AD165" s="228">
        <f t="shared" si="269"/>
        <v>0</v>
      </c>
      <c r="AE165" s="228">
        <f t="shared" si="269"/>
        <v>0</v>
      </c>
      <c r="AF165" s="228">
        <f t="shared" si="269"/>
        <v>0</v>
      </c>
      <c r="AG165" s="228">
        <f t="shared" si="269"/>
        <v>0</v>
      </c>
      <c r="AH165" s="228">
        <f t="shared" si="269"/>
        <v>0</v>
      </c>
      <c r="AI165" s="228">
        <f t="shared" si="269"/>
        <v>0</v>
      </c>
      <c r="AJ165" s="228">
        <f t="shared" si="269"/>
        <v>0</v>
      </c>
      <c r="AK165" s="228">
        <f t="shared" si="269"/>
        <v>0</v>
      </c>
      <c r="AL165" s="228">
        <f t="shared" si="269"/>
        <v>0</v>
      </c>
      <c r="AM165" s="228">
        <f t="shared" si="269"/>
        <v>0</v>
      </c>
      <c r="AN165" s="228">
        <f t="shared" si="269"/>
        <v>0</v>
      </c>
      <c r="AO165" s="228">
        <f t="shared" si="269"/>
        <v>0</v>
      </c>
      <c r="AP165" s="228">
        <f t="shared" si="269"/>
        <v>0</v>
      </c>
      <c r="AQ165" s="228">
        <f t="shared" si="269"/>
        <v>0</v>
      </c>
      <c r="AR165" s="228">
        <f t="shared" si="269"/>
        <v>0</v>
      </c>
      <c r="AS165" s="228">
        <f t="shared" si="269"/>
        <v>0</v>
      </c>
      <c r="AT165" s="228">
        <f t="shared" si="262"/>
        <v>105796297</v>
      </c>
      <c r="AU165" s="229">
        <f t="shared" si="223"/>
        <v>62.307151438768415</v>
      </c>
      <c r="AV165" s="230">
        <f t="shared" si="261"/>
        <v>64001703</v>
      </c>
      <c r="AW165" s="229">
        <f t="shared" si="206"/>
        <v>37.692848561231578</v>
      </c>
      <c r="AX165" s="220"/>
      <c r="AY165" s="220"/>
      <c r="AZ165" s="220" t="s">
        <v>4729</v>
      </c>
      <c r="BA165" s="228">
        <f t="shared" ref="BA165:BC165" si="270">BA166+BA177</f>
        <v>0</v>
      </c>
      <c r="BB165" s="228">
        <f t="shared" si="270"/>
        <v>5496528</v>
      </c>
      <c r="BC165" s="228">
        <f t="shared" si="270"/>
        <v>4230000</v>
      </c>
      <c r="BD165" s="228">
        <f t="shared" ref="BD165" si="271">BD166+BD177</f>
        <v>0</v>
      </c>
      <c r="BE165" s="228">
        <f t="shared" ref="BE165" si="272">BE166+BE177</f>
        <v>0</v>
      </c>
      <c r="BF165" s="228">
        <f t="shared" ref="BF165:BG165" si="273">BF166+BF177</f>
        <v>300383</v>
      </c>
      <c r="BG165" s="228">
        <f t="shared" si="273"/>
        <v>36489355</v>
      </c>
      <c r="BH165" s="228">
        <f t="shared" ref="BH165" si="274">BH166+BH177</f>
        <v>2640000</v>
      </c>
    </row>
    <row r="166" spans="2:60" x14ac:dyDescent="0.3">
      <c r="B166" s="226">
        <v>301</v>
      </c>
      <c r="C166" s="227" t="s">
        <v>3053</v>
      </c>
      <c r="D166" s="227"/>
      <c r="E166" s="227"/>
      <c r="F166" s="228">
        <f>F167+F171</f>
        <v>119729000</v>
      </c>
      <c r="G166" s="228">
        <f>G167+G171</f>
        <v>507200000</v>
      </c>
      <c r="H166" s="228">
        <f>H167+H171</f>
        <v>0</v>
      </c>
      <c r="I166" s="228"/>
      <c r="J166" s="228">
        <f t="shared" ref="J166:AS166" si="275">J167+J171</f>
        <v>0</v>
      </c>
      <c r="K166" s="228">
        <f t="shared" si="275"/>
        <v>0</v>
      </c>
      <c r="L166" s="228">
        <f t="shared" si="275"/>
        <v>0</v>
      </c>
      <c r="M166" s="228">
        <f t="shared" si="275"/>
        <v>0</v>
      </c>
      <c r="N166" s="228">
        <f t="shared" si="275"/>
        <v>0</v>
      </c>
      <c r="O166" s="228">
        <f t="shared" si="275"/>
        <v>0</v>
      </c>
      <c r="P166" s="228">
        <f t="shared" si="275"/>
        <v>0</v>
      </c>
      <c r="Q166" s="228">
        <f t="shared" si="275"/>
        <v>880000</v>
      </c>
      <c r="R166" s="228">
        <f t="shared" si="275"/>
        <v>2998528</v>
      </c>
      <c r="S166" s="228">
        <f t="shared" si="275"/>
        <v>524500</v>
      </c>
      <c r="T166" s="228">
        <f t="shared" si="275"/>
        <v>0</v>
      </c>
      <c r="U166" s="228">
        <f t="shared" si="275"/>
        <v>0</v>
      </c>
      <c r="V166" s="228">
        <f t="shared" si="275"/>
        <v>0</v>
      </c>
      <c r="W166" s="228">
        <f t="shared" si="275"/>
        <v>300383</v>
      </c>
      <c r="X166" s="228">
        <f t="shared" si="275"/>
        <v>31503355</v>
      </c>
      <c r="Y166" s="228">
        <f t="shared" si="275"/>
        <v>38467531</v>
      </c>
      <c r="Z166" s="228">
        <f t="shared" si="275"/>
        <v>0</v>
      </c>
      <c r="AA166" s="228">
        <f t="shared" si="275"/>
        <v>2640000</v>
      </c>
      <c r="AB166" s="228">
        <f t="shared" si="275"/>
        <v>0</v>
      </c>
      <c r="AC166" s="228">
        <f t="shared" si="275"/>
        <v>0</v>
      </c>
      <c r="AD166" s="228">
        <f t="shared" si="275"/>
        <v>0</v>
      </c>
      <c r="AE166" s="228">
        <f t="shared" si="275"/>
        <v>0</v>
      </c>
      <c r="AF166" s="228">
        <f t="shared" si="275"/>
        <v>0</v>
      </c>
      <c r="AG166" s="228">
        <f t="shared" si="275"/>
        <v>0</v>
      </c>
      <c r="AH166" s="228">
        <f t="shared" si="275"/>
        <v>0</v>
      </c>
      <c r="AI166" s="228">
        <f t="shared" si="275"/>
        <v>0</v>
      </c>
      <c r="AJ166" s="228">
        <f t="shared" si="275"/>
        <v>0</v>
      </c>
      <c r="AK166" s="228">
        <f t="shared" si="275"/>
        <v>0</v>
      </c>
      <c r="AL166" s="228">
        <f t="shared" si="275"/>
        <v>0</v>
      </c>
      <c r="AM166" s="228">
        <f t="shared" si="275"/>
        <v>0</v>
      </c>
      <c r="AN166" s="228">
        <f t="shared" si="275"/>
        <v>0</v>
      </c>
      <c r="AO166" s="228">
        <f t="shared" si="275"/>
        <v>0</v>
      </c>
      <c r="AP166" s="228">
        <f t="shared" si="275"/>
        <v>0</v>
      </c>
      <c r="AQ166" s="228">
        <f t="shared" si="275"/>
        <v>0</v>
      </c>
      <c r="AR166" s="228">
        <f t="shared" si="275"/>
        <v>0</v>
      </c>
      <c r="AS166" s="228">
        <f t="shared" si="275"/>
        <v>0</v>
      </c>
      <c r="AT166" s="228">
        <f t="shared" si="262"/>
        <v>77314297</v>
      </c>
      <c r="AU166" s="229">
        <f t="shared" si="223"/>
        <v>64.574411379030977</v>
      </c>
      <c r="AV166" s="230">
        <f t="shared" si="261"/>
        <v>42414703</v>
      </c>
      <c r="AW166" s="229">
        <f t="shared" si="206"/>
        <v>35.425588620969023</v>
      </c>
      <c r="AX166" s="220" t="s">
        <v>542</v>
      </c>
      <c r="AY166" s="220" t="s">
        <v>591</v>
      </c>
      <c r="AZ166" s="220" t="s">
        <v>4729</v>
      </c>
      <c r="BA166" s="228">
        <f t="shared" ref="BA166:BC166" si="276">BA167+BA171</f>
        <v>0</v>
      </c>
      <c r="BB166" s="228">
        <f t="shared" si="276"/>
        <v>2998528</v>
      </c>
      <c r="BC166" s="228">
        <f t="shared" si="276"/>
        <v>880000</v>
      </c>
      <c r="BD166" s="228">
        <f t="shared" ref="BD166" si="277">BD167+BD171</f>
        <v>0</v>
      </c>
      <c r="BE166" s="228">
        <f t="shared" ref="BE166" si="278">BE167+BE171</f>
        <v>0</v>
      </c>
      <c r="BF166" s="228">
        <f t="shared" ref="BF166:BG166" si="279">BF167+BF171</f>
        <v>300383</v>
      </c>
      <c r="BG166" s="228">
        <f t="shared" si="279"/>
        <v>31503355</v>
      </c>
      <c r="BH166" s="228">
        <f t="shared" ref="BH166" si="280">BH167+BH171</f>
        <v>2640000</v>
      </c>
    </row>
    <row r="167" spans="2:60" x14ac:dyDescent="0.3">
      <c r="B167" s="290" t="s">
        <v>8</v>
      </c>
      <c r="C167" s="222" t="s">
        <v>174</v>
      </c>
      <c r="D167" s="222"/>
      <c r="E167" s="222"/>
      <c r="F167" s="223">
        <f>SUM(F168:F170)</f>
        <v>43789000</v>
      </c>
      <c r="G167" s="223">
        <f>SUM(G168:G170)</f>
        <v>295200000</v>
      </c>
      <c r="H167" s="223">
        <f>SUM(H168:H170)</f>
        <v>0</v>
      </c>
      <c r="I167" s="223"/>
      <c r="J167" s="223">
        <f t="shared" ref="J167:AS167" si="281">SUM(J168:J170)</f>
        <v>0</v>
      </c>
      <c r="K167" s="223">
        <f t="shared" si="281"/>
        <v>0</v>
      </c>
      <c r="L167" s="223">
        <f t="shared" si="281"/>
        <v>0</v>
      </c>
      <c r="M167" s="223">
        <f t="shared" si="281"/>
        <v>0</v>
      </c>
      <c r="N167" s="223">
        <f t="shared" si="281"/>
        <v>0</v>
      </c>
      <c r="O167" s="223">
        <f t="shared" si="281"/>
        <v>0</v>
      </c>
      <c r="P167" s="223">
        <f t="shared" si="281"/>
        <v>0</v>
      </c>
      <c r="Q167" s="223">
        <f t="shared" si="281"/>
        <v>0</v>
      </c>
      <c r="R167" s="223">
        <f t="shared" si="281"/>
        <v>499528</v>
      </c>
      <c r="S167" s="223">
        <f t="shared" si="281"/>
        <v>0</v>
      </c>
      <c r="T167" s="223">
        <f t="shared" si="281"/>
        <v>0</v>
      </c>
      <c r="U167" s="223">
        <f t="shared" si="281"/>
        <v>0</v>
      </c>
      <c r="V167" s="223">
        <f t="shared" si="281"/>
        <v>0</v>
      </c>
      <c r="W167" s="223">
        <f t="shared" si="281"/>
        <v>0</v>
      </c>
      <c r="X167" s="223">
        <f t="shared" si="281"/>
        <v>6278500</v>
      </c>
      <c r="Y167" s="223">
        <f t="shared" si="281"/>
        <v>0</v>
      </c>
      <c r="Z167" s="223">
        <f t="shared" si="281"/>
        <v>0</v>
      </c>
      <c r="AA167" s="223">
        <f t="shared" si="281"/>
        <v>0</v>
      </c>
      <c r="AB167" s="223">
        <f t="shared" si="281"/>
        <v>0</v>
      </c>
      <c r="AC167" s="223">
        <f t="shared" si="281"/>
        <v>0</v>
      </c>
      <c r="AD167" s="223">
        <f t="shared" si="281"/>
        <v>0</v>
      </c>
      <c r="AE167" s="223">
        <f t="shared" si="281"/>
        <v>0</v>
      </c>
      <c r="AF167" s="223">
        <f t="shared" si="281"/>
        <v>0</v>
      </c>
      <c r="AG167" s="223">
        <f t="shared" si="281"/>
        <v>0</v>
      </c>
      <c r="AH167" s="223">
        <f t="shared" si="281"/>
        <v>0</v>
      </c>
      <c r="AI167" s="223">
        <f t="shared" si="281"/>
        <v>0</v>
      </c>
      <c r="AJ167" s="223">
        <f t="shared" si="281"/>
        <v>0</v>
      </c>
      <c r="AK167" s="223">
        <f t="shared" si="281"/>
        <v>0</v>
      </c>
      <c r="AL167" s="223">
        <f t="shared" si="281"/>
        <v>0</v>
      </c>
      <c r="AM167" s="223">
        <f t="shared" si="281"/>
        <v>0</v>
      </c>
      <c r="AN167" s="223">
        <f t="shared" si="281"/>
        <v>0</v>
      </c>
      <c r="AO167" s="223">
        <f t="shared" si="281"/>
        <v>0</v>
      </c>
      <c r="AP167" s="223">
        <f t="shared" si="281"/>
        <v>0</v>
      </c>
      <c r="AQ167" s="223">
        <f t="shared" si="281"/>
        <v>0</v>
      </c>
      <c r="AR167" s="223">
        <f t="shared" si="281"/>
        <v>0</v>
      </c>
      <c r="AS167" s="223">
        <f t="shared" si="281"/>
        <v>0</v>
      </c>
      <c r="AT167" s="223">
        <f>SUM(J167:AS167)</f>
        <v>6778028</v>
      </c>
      <c r="AU167" s="231">
        <f t="shared" si="223"/>
        <v>15.47883715088264</v>
      </c>
      <c r="AV167" s="232">
        <f t="shared" si="261"/>
        <v>37010972</v>
      </c>
      <c r="AW167" s="231">
        <f t="shared" si="206"/>
        <v>84.52116284911736</v>
      </c>
      <c r="AX167" s="220" t="s">
        <v>542</v>
      </c>
      <c r="AY167" s="220" t="s">
        <v>591</v>
      </c>
      <c r="AZ167" s="220" t="s">
        <v>4729</v>
      </c>
      <c r="BA167" s="223">
        <f t="shared" ref="BA167" si="282">SUM(BA168:BA170)</f>
        <v>0</v>
      </c>
      <c r="BB167" s="223">
        <f>SUM(BB168:BB170)</f>
        <v>499528</v>
      </c>
      <c r="BC167" s="223">
        <f>SUM(BC168:BC170)</f>
        <v>0</v>
      </c>
      <c r="BD167" s="223">
        <f t="shared" ref="BD167" si="283">SUM(BD168:BD170)</f>
        <v>0</v>
      </c>
      <c r="BE167" s="223">
        <f t="shared" ref="BE167" si="284">SUM(BE168:BE170)</f>
        <v>0</v>
      </c>
      <c r="BF167" s="223">
        <f t="shared" ref="BF167:BG167" si="285">SUM(BF168:BF170)</f>
        <v>0</v>
      </c>
      <c r="BG167" s="223">
        <f t="shared" si="285"/>
        <v>6278500</v>
      </c>
      <c r="BH167" s="223">
        <f t="shared" ref="BH167" si="286">SUM(BH168:BH170)</f>
        <v>0</v>
      </c>
    </row>
    <row r="168" spans="2:60" x14ac:dyDescent="0.3">
      <c r="B168" s="288">
        <v>521211</v>
      </c>
      <c r="C168" s="220" t="s">
        <v>7</v>
      </c>
      <c r="D168" s="220"/>
      <c r="E168" s="220"/>
      <c r="F168" s="221">
        <v>23250000</v>
      </c>
      <c r="G168" s="221">
        <v>46000000</v>
      </c>
      <c r="H168" s="221"/>
      <c r="I168" s="221"/>
      <c r="J168" s="221"/>
      <c r="K168" s="221"/>
      <c r="L168" s="221"/>
      <c r="M168" s="221"/>
      <c r="N168" s="221"/>
      <c r="O168" s="221"/>
      <c r="P168" s="221"/>
      <c r="Q168" s="221"/>
      <c r="R168" s="221"/>
      <c r="S168" s="221"/>
      <c r="T168" s="221"/>
      <c r="U168" s="221"/>
      <c r="V168" s="221"/>
      <c r="W168" s="221"/>
      <c r="X168" s="221">
        <v>6278500</v>
      </c>
      <c r="Y168" s="221"/>
      <c r="Z168" s="221"/>
      <c r="AA168" s="221"/>
      <c r="AB168" s="221"/>
      <c r="AC168" s="221"/>
      <c r="AD168" s="221"/>
      <c r="AE168" s="221"/>
      <c r="AF168" s="221"/>
      <c r="AG168" s="221"/>
      <c r="AH168" s="221"/>
      <c r="AI168" s="221"/>
      <c r="AJ168" s="221"/>
      <c r="AK168" s="221"/>
      <c r="AL168" s="221"/>
      <c r="AM168" s="221"/>
      <c r="AN168" s="221"/>
      <c r="AO168" s="221"/>
      <c r="AP168" s="221"/>
      <c r="AQ168" s="221"/>
      <c r="AR168" s="221"/>
      <c r="AS168" s="221"/>
      <c r="AT168" s="221">
        <f t="shared" si="262"/>
        <v>6278500</v>
      </c>
      <c r="AU168" s="224">
        <f t="shared" si="223"/>
        <v>27.004301075268817</v>
      </c>
      <c r="AV168" s="225">
        <f t="shared" si="261"/>
        <v>16971500</v>
      </c>
      <c r="AW168" s="224">
        <f t="shared" si="206"/>
        <v>72.995698924731172</v>
      </c>
      <c r="AX168" s="220" t="s">
        <v>542</v>
      </c>
      <c r="AY168" s="220" t="s">
        <v>591</v>
      </c>
      <c r="AZ168" s="220" t="s">
        <v>4729</v>
      </c>
      <c r="BA168" s="221"/>
      <c r="BB168" s="221"/>
      <c r="BC168" s="300"/>
      <c r="BD168" s="221"/>
      <c r="BE168" s="221"/>
      <c r="BF168" s="221"/>
      <c r="BG168" s="221">
        <v>6278500</v>
      </c>
      <c r="BH168" s="221"/>
    </row>
    <row r="169" spans="2:60" x14ac:dyDescent="0.3">
      <c r="B169" s="288">
        <v>521219</v>
      </c>
      <c r="C169" s="220" t="s">
        <v>53</v>
      </c>
      <c r="D169" s="220"/>
      <c r="E169" s="220"/>
      <c r="F169" s="221">
        <v>2000000</v>
      </c>
      <c r="G169" s="221">
        <v>2000000</v>
      </c>
      <c r="H169" s="221"/>
      <c r="I169" s="221"/>
      <c r="J169" s="221"/>
      <c r="K169" s="221"/>
      <c r="L169" s="221"/>
      <c r="M169" s="221"/>
      <c r="N169" s="221"/>
      <c r="O169" s="221"/>
      <c r="P169" s="221"/>
      <c r="Q169" s="221"/>
      <c r="R169" s="221">
        <v>499528</v>
      </c>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c r="AR169" s="221"/>
      <c r="AS169" s="221"/>
      <c r="AT169" s="221">
        <f t="shared" si="262"/>
        <v>499528</v>
      </c>
      <c r="AU169" s="224">
        <f t="shared" si="223"/>
        <v>24.976400000000002</v>
      </c>
      <c r="AV169" s="225">
        <f t="shared" si="261"/>
        <v>1500472</v>
      </c>
      <c r="AW169" s="224">
        <f t="shared" si="206"/>
        <v>75.023600000000002</v>
      </c>
      <c r="AX169" s="220" t="s">
        <v>542</v>
      </c>
      <c r="AY169" s="220" t="s">
        <v>591</v>
      </c>
      <c r="AZ169" s="382" t="s">
        <v>4729</v>
      </c>
      <c r="BA169" s="221"/>
      <c r="BB169" s="221">
        <v>499528</v>
      </c>
      <c r="BC169" s="300"/>
      <c r="BD169" s="221"/>
      <c r="BE169" s="221"/>
      <c r="BF169" s="221"/>
      <c r="BG169" s="221"/>
      <c r="BH169" s="221"/>
    </row>
    <row r="170" spans="2:60" x14ac:dyDescent="0.3">
      <c r="B170" s="288">
        <v>524111</v>
      </c>
      <c r="C170" s="220" t="s">
        <v>19</v>
      </c>
      <c r="D170" s="220"/>
      <c r="E170" s="220"/>
      <c r="F170" s="221">
        <v>18539000</v>
      </c>
      <c r="G170" s="221">
        <v>247200000</v>
      </c>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c r="AR170" s="221"/>
      <c r="AS170" s="221"/>
      <c r="AT170" s="221">
        <f t="shared" si="262"/>
        <v>0</v>
      </c>
      <c r="AU170" s="224">
        <f t="shared" si="223"/>
        <v>0</v>
      </c>
      <c r="AV170" s="225">
        <f t="shared" si="261"/>
        <v>18539000</v>
      </c>
      <c r="AW170" s="224">
        <f t="shared" si="206"/>
        <v>100</v>
      </c>
      <c r="AX170" s="220" t="s">
        <v>542</v>
      </c>
      <c r="AY170" s="220" t="s">
        <v>591</v>
      </c>
      <c r="AZ170" s="220" t="s">
        <v>4729</v>
      </c>
      <c r="BA170" s="221"/>
      <c r="BB170" s="221"/>
      <c r="BC170" s="300"/>
      <c r="BD170" s="221"/>
      <c r="BE170" s="221"/>
      <c r="BF170" s="221"/>
      <c r="BG170" s="221"/>
      <c r="BH170" s="221"/>
    </row>
    <row r="171" spans="2:60" x14ac:dyDescent="0.3">
      <c r="B171" s="290" t="s">
        <v>511</v>
      </c>
      <c r="C171" s="222" t="s">
        <v>175</v>
      </c>
      <c r="D171" s="222"/>
      <c r="E171" s="222"/>
      <c r="F171" s="223">
        <f t="shared" ref="F171:AS171" si="287">SUM(F172:F176)</f>
        <v>75940000</v>
      </c>
      <c r="G171" s="223">
        <f t="shared" ref="G171:H171" si="288">SUM(G172:G176)</f>
        <v>212000000</v>
      </c>
      <c r="H171" s="223">
        <f t="shared" si="288"/>
        <v>0</v>
      </c>
      <c r="I171" s="223"/>
      <c r="J171" s="223">
        <f t="shared" si="287"/>
        <v>0</v>
      </c>
      <c r="K171" s="223">
        <f t="shared" si="287"/>
        <v>0</v>
      </c>
      <c r="L171" s="223">
        <f t="shared" si="287"/>
        <v>0</v>
      </c>
      <c r="M171" s="223">
        <f t="shared" si="287"/>
        <v>0</v>
      </c>
      <c r="N171" s="223">
        <f t="shared" si="287"/>
        <v>0</v>
      </c>
      <c r="O171" s="223">
        <f t="shared" si="287"/>
        <v>0</v>
      </c>
      <c r="P171" s="223">
        <f t="shared" si="287"/>
        <v>0</v>
      </c>
      <c r="Q171" s="223">
        <f t="shared" si="287"/>
        <v>880000</v>
      </c>
      <c r="R171" s="223">
        <f t="shared" si="287"/>
        <v>2499000</v>
      </c>
      <c r="S171" s="223">
        <f t="shared" si="287"/>
        <v>524500</v>
      </c>
      <c r="T171" s="223">
        <f t="shared" si="287"/>
        <v>0</v>
      </c>
      <c r="U171" s="223">
        <f t="shared" si="287"/>
        <v>0</v>
      </c>
      <c r="V171" s="223">
        <f t="shared" si="287"/>
        <v>0</v>
      </c>
      <c r="W171" s="223">
        <f t="shared" si="287"/>
        <v>300383</v>
      </c>
      <c r="X171" s="223">
        <f t="shared" si="287"/>
        <v>25224855</v>
      </c>
      <c r="Y171" s="223">
        <f t="shared" si="287"/>
        <v>38467531</v>
      </c>
      <c r="Z171" s="223">
        <f t="shared" si="287"/>
        <v>0</v>
      </c>
      <c r="AA171" s="223">
        <f t="shared" si="287"/>
        <v>2640000</v>
      </c>
      <c r="AB171" s="223">
        <f t="shared" si="287"/>
        <v>0</v>
      </c>
      <c r="AC171" s="223">
        <f t="shared" si="287"/>
        <v>0</v>
      </c>
      <c r="AD171" s="223">
        <f t="shared" si="287"/>
        <v>0</v>
      </c>
      <c r="AE171" s="223">
        <f t="shared" si="287"/>
        <v>0</v>
      </c>
      <c r="AF171" s="223">
        <f t="shared" si="287"/>
        <v>0</v>
      </c>
      <c r="AG171" s="223">
        <f t="shared" si="287"/>
        <v>0</v>
      </c>
      <c r="AH171" s="223">
        <f t="shared" si="287"/>
        <v>0</v>
      </c>
      <c r="AI171" s="223">
        <f t="shared" si="287"/>
        <v>0</v>
      </c>
      <c r="AJ171" s="223">
        <f t="shared" si="287"/>
        <v>0</v>
      </c>
      <c r="AK171" s="223">
        <f t="shared" si="287"/>
        <v>0</v>
      </c>
      <c r="AL171" s="223">
        <f t="shared" si="287"/>
        <v>0</v>
      </c>
      <c r="AM171" s="223">
        <f t="shared" si="287"/>
        <v>0</v>
      </c>
      <c r="AN171" s="223">
        <f t="shared" si="287"/>
        <v>0</v>
      </c>
      <c r="AO171" s="223">
        <f t="shared" si="287"/>
        <v>0</v>
      </c>
      <c r="AP171" s="223">
        <f t="shared" si="287"/>
        <v>0</v>
      </c>
      <c r="AQ171" s="223">
        <f t="shared" si="287"/>
        <v>0</v>
      </c>
      <c r="AR171" s="223">
        <f t="shared" si="287"/>
        <v>0</v>
      </c>
      <c r="AS171" s="223">
        <f t="shared" si="287"/>
        <v>0</v>
      </c>
      <c r="AT171" s="223">
        <f t="shared" si="262"/>
        <v>70536269</v>
      </c>
      <c r="AU171" s="231">
        <f t="shared" si="223"/>
        <v>92.884209902554645</v>
      </c>
      <c r="AV171" s="232">
        <f>F171-AT171</f>
        <v>5403731</v>
      </c>
      <c r="AW171" s="231">
        <f t="shared" si="206"/>
        <v>7.1157900974453518</v>
      </c>
      <c r="AX171" s="220" t="s">
        <v>542</v>
      </c>
      <c r="AY171" s="220" t="s">
        <v>591</v>
      </c>
      <c r="AZ171" s="220" t="s">
        <v>4729</v>
      </c>
      <c r="BA171" s="223">
        <f t="shared" ref="BA171:BD171" si="289">SUM(BA172:BA176)</f>
        <v>0</v>
      </c>
      <c r="BB171" s="223">
        <f t="shared" si="289"/>
        <v>2499000</v>
      </c>
      <c r="BC171" s="223">
        <f t="shared" si="289"/>
        <v>880000</v>
      </c>
      <c r="BD171" s="223">
        <f t="shared" si="289"/>
        <v>0</v>
      </c>
      <c r="BE171" s="223">
        <f t="shared" ref="BE171" si="290">SUM(BE172:BE176)</f>
        <v>0</v>
      </c>
      <c r="BF171" s="223">
        <f t="shared" ref="BF171:BG171" si="291">SUM(BF172:BF176)</f>
        <v>300383</v>
      </c>
      <c r="BG171" s="223">
        <f t="shared" si="291"/>
        <v>25224855</v>
      </c>
      <c r="BH171" s="223">
        <f t="shared" ref="BH171" si="292">SUM(BH172:BH176)</f>
        <v>2640000</v>
      </c>
    </row>
    <row r="172" spans="2:60" x14ac:dyDescent="0.3">
      <c r="B172" s="288">
        <v>521211</v>
      </c>
      <c r="C172" s="220" t="s">
        <v>7</v>
      </c>
      <c r="D172" s="220"/>
      <c r="E172" s="220"/>
      <c r="F172" s="221">
        <v>13525000</v>
      </c>
      <c r="G172" s="221">
        <v>41000000</v>
      </c>
      <c r="H172" s="221"/>
      <c r="I172" s="221"/>
      <c r="J172" s="221"/>
      <c r="K172" s="221"/>
      <c r="L172" s="221"/>
      <c r="M172" s="221"/>
      <c r="N172" s="221"/>
      <c r="O172" s="221"/>
      <c r="P172" s="221"/>
      <c r="Q172" s="300">
        <v>880000</v>
      </c>
      <c r="R172" s="221">
        <v>2499000</v>
      </c>
      <c r="S172" s="221"/>
      <c r="T172" s="221"/>
      <c r="U172" s="221"/>
      <c r="V172" s="221"/>
      <c r="W172" s="221"/>
      <c r="X172" s="221">
        <v>3500000</v>
      </c>
      <c r="Y172" s="221"/>
      <c r="Z172" s="221"/>
      <c r="AA172" s="221">
        <v>2640000</v>
      </c>
      <c r="AB172" s="221"/>
      <c r="AC172" s="221"/>
      <c r="AD172" s="221"/>
      <c r="AE172" s="221"/>
      <c r="AF172" s="221"/>
      <c r="AG172" s="221"/>
      <c r="AH172" s="221"/>
      <c r="AI172" s="221"/>
      <c r="AJ172" s="221"/>
      <c r="AK172" s="221"/>
      <c r="AL172" s="221"/>
      <c r="AM172" s="221"/>
      <c r="AN172" s="221"/>
      <c r="AO172" s="221"/>
      <c r="AP172" s="221"/>
      <c r="AQ172" s="221"/>
      <c r="AR172" s="221"/>
      <c r="AS172" s="221"/>
      <c r="AT172" s="221">
        <f t="shared" si="262"/>
        <v>9519000</v>
      </c>
      <c r="AU172" s="224">
        <f t="shared" si="223"/>
        <v>70.380776340110913</v>
      </c>
      <c r="AV172" s="225">
        <f t="shared" si="261"/>
        <v>4006000</v>
      </c>
      <c r="AW172" s="224">
        <f t="shared" si="206"/>
        <v>29.619223659889094</v>
      </c>
      <c r="AX172" s="220" t="s">
        <v>542</v>
      </c>
      <c r="AY172" s="220" t="s">
        <v>591</v>
      </c>
      <c r="AZ172" s="220" t="s">
        <v>4729</v>
      </c>
      <c r="BA172" s="221"/>
      <c r="BB172" s="221">
        <v>2499000</v>
      </c>
      <c r="BC172" s="300">
        <v>880000</v>
      </c>
      <c r="BD172" s="221"/>
      <c r="BE172" s="221"/>
      <c r="BF172" s="221"/>
      <c r="BG172" s="221">
        <v>3500000</v>
      </c>
      <c r="BH172" s="221">
        <v>2640000</v>
      </c>
    </row>
    <row r="173" spans="2:60" x14ac:dyDescent="0.3">
      <c r="B173" s="288">
        <v>521219</v>
      </c>
      <c r="C173" s="220" t="s">
        <v>53</v>
      </c>
      <c r="D173" s="220"/>
      <c r="E173" s="220"/>
      <c r="F173" s="221">
        <v>2000000</v>
      </c>
      <c r="G173" s="221">
        <v>32000000</v>
      </c>
      <c r="H173" s="221"/>
      <c r="I173" s="221"/>
      <c r="J173" s="221"/>
      <c r="K173" s="221"/>
      <c r="L173" s="221"/>
      <c r="M173" s="221"/>
      <c r="N173" s="221"/>
      <c r="O173" s="221"/>
      <c r="P173" s="221"/>
      <c r="Q173" s="221"/>
      <c r="R173" s="221"/>
      <c r="S173" s="221"/>
      <c r="T173" s="221"/>
      <c r="U173" s="221"/>
      <c r="V173" s="221"/>
      <c r="W173" s="221">
        <v>300383</v>
      </c>
      <c r="X173" s="221">
        <v>302631</v>
      </c>
      <c r="Y173" s="221"/>
      <c r="Z173" s="221"/>
      <c r="AA173" s="221"/>
      <c r="AB173" s="221"/>
      <c r="AC173" s="221"/>
      <c r="AD173" s="221"/>
      <c r="AE173" s="221"/>
      <c r="AF173" s="221"/>
      <c r="AG173" s="221"/>
      <c r="AH173" s="221"/>
      <c r="AI173" s="221"/>
      <c r="AJ173" s="221"/>
      <c r="AK173" s="221"/>
      <c r="AL173" s="221"/>
      <c r="AM173" s="221"/>
      <c r="AN173" s="221"/>
      <c r="AO173" s="221"/>
      <c r="AP173" s="221"/>
      <c r="AQ173" s="221"/>
      <c r="AR173" s="221"/>
      <c r="AS173" s="221"/>
      <c r="AT173" s="221">
        <f t="shared" si="262"/>
        <v>603014</v>
      </c>
      <c r="AU173" s="224">
        <f t="shared" si="223"/>
        <v>30.150700000000004</v>
      </c>
      <c r="AV173" s="225">
        <f t="shared" si="261"/>
        <v>1396986</v>
      </c>
      <c r="AW173" s="224">
        <f t="shared" si="206"/>
        <v>69.849299999999999</v>
      </c>
      <c r="AX173" s="220" t="s">
        <v>542</v>
      </c>
      <c r="AY173" s="220" t="s">
        <v>591</v>
      </c>
      <c r="AZ173" s="382" t="s">
        <v>4729</v>
      </c>
      <c r="BA173" s="221"/>
      <c r="BB173" s="221"/>
      <c r="BC173" s="300"/>
      <c r="BD173" s="221"/>
      <c r="BE173" s="221"/>
      <c r="BF173" s="221">
        <v>300383</v>
      </c>
      <c r="BG173" s="221">
        <v>302631</v>
      </c>
      <c r="BH173" s="221"/>
    </row>
    <row r="174" spans="2:60" x14ac:dyDescent="0.3">
      <c r="B174" s="288">
        <v>522151</v>
      </c>
      <c r="C174" s="220" t="s">
        <v>11</v>
      </c>
      <c r="D174" s="220"/>
      <c r="E174" s="220"/>
      <c r="F174" s="221">
        <v>0</v>
      </c>
      <c r="G174" s="221">
        <v>10000000</v>
      </c>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c r="AR174" s="221"/>
      <c r="AS174" s="221"/>
      <c r="AT174" s="221">
        <f t="shared" si="262"/>
        <v>0</v>
      </c>
      <c r="AU174" s="224">
        <f t="shared" si="223"/>
        <v>0</v>
      </c>
      <c r="AV174" s="225">
        <f t="shared" si="261"/>
        <v>0</v>
      </c>
      <c r="AW174" s="224" t="e">
        <f t="shared" si="206"/>
        <v>#DIV/0!</v>
      </c>
      <c r="AX174" s="220" t="s">
        <v>542</v>
      </c>
      <c r="AY174" s="220" t="s">
        <v>591</v>
      </c>
      <c r="AZ174" s="220" t="s">
        <v>4729</v>
      </c>
      <c r="BA174" s="221"/>
      <c r="BB174" s="221"/>
      <c r="BC174" s="300"/>
      <c r="BD174" s="221"/>
      <c r="BE174" s="221"/>
      <c r="BF174" s="221"/>
      <c r="BG174" s="221"/>
      <c r="BH174" s="221"/>
    </row>
    <row r="175" spans="2:60" x14ac:dyDescent="0.3">
      <c r="B175" s="288">
        <v>524111</v>
      </c>
      <c r="C175" s="220" t="s">
        <v>19</v>
      </c>
      <c r="D175" s="220"/>
      <c r="E175" s="220"/>
      <c r="F175" s="221">
        <v>60415000</v>
      </c>
      <c r="G175" s="221">
        <v>120000000</v>
      </c>
      <c r="H175" s="221"/>
      <c r="I175" s="221"/>
      <c r="J175" s="221"/>
      <c r="K175" s="221"/>
      <c r="L175" s="221"/>
      <c r="M175" s="221"/>
      <c r="N175" s="221"/>
      <c r="O175" s="221"/>
      <c r="P175" s="221"/>
      <c r="Q175" s="221"/>
      <c r="R175" s="221"/>
      <c r="S175" s="221">
        <v>524500</v>
      </c>
      <c r="T175" s="221"/>
      <c r="U175" s="221"/>
      <c r="V175" s="221"/>
      <c r="W175" s="221"/>
      <c r="X175" s="221">
        <v>21422224</v>
      </c>
      <c r="Y175" s="221">
        <f>4074431+9185000+25208100</f>
        <v>38467531</v>
      </c>
      <c r="Z175" s="221"/>
      <c r="AA175" s="221"/>
      <c r="AB175" s="221"/>
      <c r="AC175" s="221"/>
      <c r="AD175" s="221"/>
      <c r="AE175" s="221"/>
      <c r="AF175" s="221"/>
      <c r="AG175" s="221"/>
      <c r="AH175" s="221"/>
      <c r="AI175" s="221"/>
      <c r="AJ175" s="221"/>
      <c r="AK175" s="221"/>
      <c r="AL175" s="221"/>
      <c r="AM175" s="221"/>
      <c r="AN175" s="221"/>
      <c r="AO175" s="221"/>
      <c r="AP175" s="221"/>
      <c r="AQ175" s="221"/>
      <c r="AR175" s="221"/>
      <c r="AS175" s="221"/>
      <c r="AT175" s="221">
        <f t="shared" si="262"/>
        <v>60414255</v>
      </c>
      <c r="AU175" s="224">
        <f t="shared" si="223"/>
        <v>99.99876686253414</v>
      </c>
      <c r="AV175" s="225">
        <f t="shared" si="261"/>
        <v>745</v>
      </c>
      <c r="AW175" s="224">
        <f t="shared" si="206"/>
        <v>1.2331374658611273E-3</v>
      </c>
      <c r="AX175" s="220" t="s">
        <v>542</v>
      </c>
      <c r="AY175" s="220" t="s">
        <v>591</v>
      </c>
      <c r="AZ175" s="220" t="s">
        <v>4729</v>
      </c>
      <c r="BA175" s="221"/>
      <c r="BB175" s="221"/>
      <c r="BC175" s="300"/>
      <c r="BD175" s="221"/>
      <c r="BE175" s="221"/>
      <c r="BF175" s="221"/>
      <c r="BG175" s="221">
        <v>21422224</v>
      </c>
      <c r="BH175" s="221"/>
    </row>
    <row r="176" spans="2:60" x14ac:dyDescent="0.3">
      <c r="B176" s="288">
        <v>524113</v>
      </c>
      <c r="C176" s="220" t="s">
        <v>13</v>
      </c>
      <c r="D176" s="220"/>
      <c r="E176" s="220"/>
      <c r="F176" s="221">
        <v>0</v>
      </c>
      <c r="G176" s="221">
        <v>9000000</v>
      </c>
      <c r="H176" s="221"/>
      <c r="I176" s="221"/>
      <c r="J176" s="221"/>
      <c r="K176" s="221"/>
      <c r="L176" s="221"/>
      <c r="M176" s="221"/>
      <c r="N176" s="221"/>
      <c r="O176" s="221"/>
      <c r="P176" s="221"/>
      <c r="Q176" s="221"/>
      <c r="R176" s="221"/>
      <c r="S176" s="221"/>
      <c r="T176" s="221"/>
      <c r="U176" s="221"/>
      <c r="V176" s="221"/>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c r="AR176" s="221"/>
      <c r="AS176" s="221"/>
      <c r="AT176" s="221">
        <f t="shared" si="262"/>
        <v>0</v>
      </c>
      <c r="AU176" s="224">
        <f t="shared" si="223"/>
        <v>0</v>
      </c>
      <c r="AV176" s="225">
        <f t="shared" si="261"/>
        <v>0</v>
      </c>
      <c r="AW176" s="224" t="e">
        <f t="shared" si="206"/>
        <v>#DIV/0!</v>
      </c>
      <c r="AX176" s="220" t="s">
        <v>542</v>
      </c>
      <c r="AY176" s="220" t="s">
        <v>591</v>
      </c>
      <c r="AZ176" s="220" t="s">
        <v>4729</v>
      </c>
      <c r="BA176" s="221"/>
      <c r="BB176" s="221"/>
      <c r="BC176" s="300"/>
      <c r="BD176" s="221"/>
      <c r="BE176" s="221"/>
      <c r="BF176" s="221"/>
      <c r="BG176" s="221"/>
      <c r="BH176" s="221"/>
    </row>
    <row r="177" spans="2:60" x14ac:dyDescent="0.3">
      <c r="B177" s="226">
        <v>302</v>
      </c>
      <c r="C177" s="227" t="s">
        <v>3091</v>
      </c>
      <c r="D177" s="227"/>
      <c r="E177" s="227"/>
      <c r="F177" s="228">
        <f t="shared" ref="F177:AS177" si="293">F178</f>
        <v>50069000</v>
      </c>
      <c r="G177" s="228">
        <f t="shared" si="293"/>
        <v>126532000</v>
      </c>
      <c r="H177" s="228">
        <f t="shared" si="293"/>
        <v>0</v>
      </c>
      <c r="I177" s="228"/>
      <c r="J177" s="228">
        <f t="shared" si="293"/>
        <v>0</v>
      </c>
      <c r="K177" s="228">
        <f t="shared" si="293"/>
        <v>0</v>
      </c>
      <c r="L177" s="228">
        <f t="shared" si="293"/>
        <v>0</v>
      </c>
      <c r="M177" s="228">
        <f t="shared" si="293"/>
        <v>0</v>
      </c>
      <c r="N177" s="228">
        <f t="shared" si="293"/>
        <v>0</v>
      </c>
      <c r="O177" s="228">
        <f t="shared" si="293"/>
        <v>0</v>
      </c>
      <c r="P177" s="228">
        <f t="shared" si="293"/>
        <v>0</v>
      </c>
      <c r="Q177" s="228">
        <f t="shared" si="293"/>
        <v>3350000</v>
      </c>
      <c r="R177" s="228">
        <f t="shared" si="293"/>
        <v>2498000</v>
      </c>
      <c r="S177" s="228">
        <f t="shared" si="293"/>
        <v>15530000</v>
      </c>
      <c r="T177" s="228">
        <f t="shared" si="293"/>
        <v>0</v>
      </c>
      <c r="U177" s="228">
        <f t="shared" si="293"/>
        <v>0</v>
      </c>
      <c r="V177" s="228">
        <f t="shared" si="293"/>
        <v>0</v>
      </c>
      <c r="W177" s="228">
        <f t="shared" si="293"/>
        <v>0</v>
      </c>
      <c r="X177" s="228">
        <f t="shared" si="293"/>
        <v>4986000</v>
      </c>
      <c r="Y177" s="228">
        <f t="shared" si="293"/>
        <v>2118000</v>
      </c>
      <c r="Z177" s="228">
        <f t="shared" si="293"/>
        <v>0</v>
      </c>
      <c r="AA177" s="228">
        <f t="shared" si="293"/>
        <v>0</v>
      </c>
      <c r="AB177" s="228">
        <f t="shared" si="293"/>
        <v>0</v>
      </c>
      <c r="AC177" s="228">
        <f t="shared" si="293"/>
        <v>0</v>
      </c>
      <c r="AD177" s="228">
        <f t="shared" si="293"/>
        <v>0</v>
      </c>
      <c r="AE177" s="228">
        <f t="shared" si="293"/>
        <v>0</v>
      </c>
      <c r="AF177" s="228">
        <f t="shared" si="293"/>
        <v>0</v>
      </c>
      <c r="AG177" s="228">
        <f t="shared" si="293"/>
        <v>0</v>
      </c>
      <c r="AH177" s="228">
        <f t="shared" si="293"/>
        <v>0</v>
      </c>
      <c r="AI177" s="228">
        <f t="shared" si="293"/>
        <v>0</v>
      </c>
      <c r="AJ177" s="228">
        <f t="shared" si="293"/>
        <v>0</v>
      </c>
      <c r="AK177" s="228">
        <f t="shared" si="293"/>
        <v>0</v>
      </c>
      <c r="AL177" s="228">
        <f t="shared" si="293"/>
        <v>0</v>
      </c>
      <c r="AM177" s="228">
        <f t="shared" si="293"/>
        <v>0</v>
      </c>
      <c r="AN177" s="228">
        <f t="shared" si="293"/>
        <v>0</v>
      </c>
      <c r="AO177" s="228">
        <f t="shared" si="293"/>
        <v>0</v>
      </c>
      <c r="AP177" s="228">
        <f t="shared" si="293"/>
        <v>0</v>
      </c>
      <c r="AQ177" s="228">
        <f t="shared" si="293"/>
        <v>0</v>
      </c>
      <c r="AR177" s="228">
        <f t="shared" si="293"/>
        <v>0</v>
      </c>
      <c r="AS177" s="228">
        <f t="shared" si="293"/>
        <v>0</v>
      </c>
      <c r="AT177" s="228">
        <f t="shared" ref="AT177" si="294">SUM(J177:AS177)</f>
        <v>28482000</v>
      </c>
      <c r="AU177" s="229">
        <f t="shared" si="223"/>
        <v>56.885498012742417</v>
      </c>
      <c r="AV177" s="230">
        <f t="shared" ref="AV177:AV178" si="295">F177-AT177</f>
        <v>21587000</v>
      </c>
      <c r="AW177" s="229">
        <f t="shared" ref="AW177:AW178" si="296">AV177/F177*100</f>
        <v>43.114501987257583</v>
      </c>
      <c r="AX177" s="220" t="s">
        <v>542</v>
      </c>
      <c r="AY177" s="220" t="s">
        <v>591</v>
      </c>
      <c r="AZ177" s="220" t="s">
        <v>4729</v>
      </c>
      <c r="BA177" s="228">
        <f t="shared" ref="BA177:BB177" si="297">BA178</f>
        <v>0</v>
      </c>
      <c r="BB177" s="228">
        <f t="shared" si="297"/>
        <v>2498000</v>
      </c>
      <c r="BC177" s="228">
        <f>BC178</f>
        <v>3350000</v>
      </c>
      <c r="BD177" s="228">
        <f t="shared" ref="BD177:BH177" si="298">BD178</f>
        <v>0</v>
      </c>
      <c r="BE177" s="228">
        <f t="shared" si="298"/>
        <v>0</v>
      </c>
      <c r="BF177" s="228">
        <f t="shared" si="298"/>
        <v>0</v>
      </c>
      <c r="BG177" s="228">
        <f t="shared" si="298"/>
        <v>4986000</v>
      </c>
      <c r="BH177" s="228">
        <f t="shared" si="298"/>
        <v>0</v>
      </c>
    </row>
    <row r="178" spans="2:60" x14ac:dyDescent="0.3">
      <c r="B178" s="290" t="s">
        <v>8</v>
      </c>
      <c r="C178" s="222" t="s">
        <v>178</v>
      </c>
      <c r="D178" s="222"/>
      <c r="E178" s="222"/>
      <c r="F178" s="223">
        <f>SUM(F179:F181)</f>
        <v>50069000</v>
      </c>
      <c r="G178" s="223">
        <f>SUM(G179:G181)</f>
        <v>126532000</v>
      </c>
      <c r="H178" s="223">
        <f>SUM(H179:H181)</f>
        <v>0</v>
      </c>
      <c r="I178" s="223"/>
      <c r="J178" s="223">
        <f t="shared" ref="J178:AS178" si="299">SUM(J179:J181)</f>
        <v>0</v>
      </c>
      <c r="K178" s="223">
        <f t="shared" si="299"/>
        <v>0</v>
      </c>
      <c r="L178" s="223">
        <f t="shared" si="299"/>
        <v>0</v>
      </c>
      <c r="M178" s="223">
        <f t="shared" si="299"/>
        <v>0</v>
      </c>
      <c r="N178" s="223">
        <f t="shared" si="299"/>
        <v>0</v>
      </c>
      <c r="O178" s="223">
        <f t="shared" si="299"/>
        <v>0</v>
      </c>
      <c r="P178" s="223">
        <f t="shared" si="299"/>
        <v>0</v>
      </c>
      <c r="Q178" s="223">
        <f t="shared" si="299"/>
        <v>3350000</v>
      </c>
      <c r="R178" s="223">
        <f t="shared" si="299"/>
        <v>2498000</v>
      </c>
      <c r="S178" s="223">
        <f t="shared" si="299"/>
        <v>15530000</v>
      </c>
      <c r="T178" s="223">
        <f t="shared" si="299"/>
        <v>0</v>
      </c>
      <c r="U178" s="223">
        <f t="shared" si="299"/>
        <v>0</v>
      </c>
      <c r="V178" s="223">
        <f t="shared" si="299"/>
        <v>0</v>
      </c>
      <c r="W178" s="223">
        <f t="shared" si="299"/>
        <v>0</v>
      </c>
      <c r="X178" s="223">
        <f t="shared" si="299"/>
        <v>4986000</v>
      </c>
      <c r="Y178" s="223">
        <f t="shared" si="299"/>
        <v>2118000</v>
      </c>
      <c r="Z178" s="223">
        <f t="shared" si="299"/>
        <v>0</v>
      </c>
      <c r="AA178" s="223">
        <f t="shared" si="299"/>
        <v>0</v>
      </c>
      <c r="AB178" s="223">
        <f t="shared" si="299"/>
        <v>0</v>
      </c>
      <c r="AC178" s="223">
        <f t="shared" si="299"/>
        <v>0</v>
      </c>
      <c r="AD178" s="223">
        <f t="shared" si="299"/>
        <v>0</v>
      </c>
      <c r="AE178" s="223">
        <f t="shared" si="299"/>
        <v>0</v>
      </c>
      <c r="AF178" s="223">
        <f t="shared" si="299"/>
        <v>0</v>
      </c>
      <c r="AG178" s="223">
        <f t="shared" si="299"/>
        <v>0</v>
      </c>
      <c r="AH178" s="223">
        <f t="shared" si="299"/>
        <v>0</v>
      </c>
      <c r="AI178" s="223">
        <f t="shared" si="299"/>
        <v>0</v>
      </c>
      <c r="AJ178" s="223">
        <f t="shared" si="299"/>
        <v>0</v>
      </c>
      <c r="AK178" s="223">
        <f t="shared" si="299"/>
        <v>0</v>
      </c>
      <c r="AL178" s="223">
        <f t="shared" si="299"/>
        <v>0</v>
      </c>
      <c r="AM178" s="223">
        <f t="shared" si="299"/>
        <v>0</v>
      </c>
      <c r="AN178" s="223">
        <f t="shared" si="299"/>
        <v>0</v>
      </c>
      <c r="AO178" s="223">
        <f t="shared" si="299"/>
        <v>0</v>
      </c>
      <c r="AP178" s="223">
        <f t="shared" si="299"/>
        <v>0</v>
      </c>
      <c r="AQ178" s="223">
        <f t="shared" si="299"/>
        <v>0</v>
      </c>
      <c r="AR178" s="223">
        <f t="shared" si="299"/>
        <v>0</v>
      </c>
      <c r="AS178" s="223">
        <f t="shared" si="299"/>
        <v>0</v>
      </c>
      <c r="AT178" s="223">
        <f>SUM(J178:AS178)</f>
        <v>28482000</v>
      </c>
      <c r="AU178" s="231">
        <f t="shared" si="223"/>
        <v>56.885498012742417</v>
      </c>
      <c r="AV178" s="232">
        <f t="shared" si="295"/>
        <v>21587000</v>
      </c>
      <c r="AW178" s="231">
        <f t="shared" si="296"/>
        <v>43.114501987257583</v>
      </c>
      <c r="AX178" s="220" t="s">
        <v>542</v>
      </c>
      <c r="AY178" s="220" t="s">
        <v>591</v>
      </c>
      <c r="AZ178" s="220" t="s">
        <v>4729</v>
      </c>
      <c r="BA178" s="223">
        <f t="shared" ref="BA178:BB178" si="300">SUM(BA179:BA181)</f>
        <v>0</v>
      </c>
      <c r="BB178" s="223">
        <f t="shared" si="300"/>
        <v>2498000</v>
      </c>
      <c r="BC178" s="223">
        <f>SUM(BC179:BC181)</f>
        <v>3350000</v>
      </c>
      <c r="BD178" s="223">
        <f t="shared" ref="BD178" si="301">SUM(BD179:BD181)</f>
        <v>0</v>
      </c>
      <c r="BE178" s="223">
        <f t="shared" ref="BE178" si="302">SUM(BE179:BE181)</f>
        <v>0</v>
      </c>
      <c r="BF178" s="223">
        <f t="shared" ref="BF178:BG178" si="303">SUM(BF179:BF181)</f>
        <v>0</v>
      </c>
      <c r="BG178" s="223">
        <f t="shared" si="303"/>
        <v>4986000</v>
      </c>
      <c r="BH178" s="223">
        <f t="shared" ref="BH178" si="304">SUM(BH179:BH181)</f>
        <v>0</v>
      </c>
    </row>
    <row r="179" spans="2:60" x14ac:dyDescent="0.3">
      <c r="B179" s="288">
        <v>521211</v>
      </c>
      <c r="C179" s="220" t="s">
        <v>7</v>
      </c>
      <c r="D179" s="220"/>
      <c r="E179" s="220"/>
      <c r="F179" s="221">
        <v>17900000</v>
      </c>
      <c r="G179" s="221">
        <v>35500000</v>
      </c>
      <c r="H179" s="221"/>
      <c r="I179" s="221"/>
      <c r="J179" s="221"/>
      <c r="K179" s="221"/>
      <c r="L179" s="221"/>
      <c r="M179" s="221"/>
      <c r="N179" s="221"/>
      <c r="O179" s="221"/>
      <c r="P179" s="221"/>
      <c r="Q179" s="300">
        <v>860000</v>
      </c>
      <c r="R179" s="221">
        <v>2498000</v>
      </c>
      <c r="S179" s="221"/>
      <c r="T179" s="221"/>
      <c r="U179" s="221"/>
      <c r="V179" s="221"/>
      <c r="W179" s="221"/>
      <c r="X179" s="221">
        <v>4986000</v>
      </c>
      <c r="Y179" s="221"/>
      <c r="Z179" s="221"/>
      <c r="AA179" s="221"/>
      <c r="AB179" s="221"/>
      <c r="AC179" s="221"/>
      <c r="AD179" s="221"/>
      <c r="AE179" s="221"/>
      <c r="AF179" s="221"/>
      <c r="AG179" s="221"/>
      <c r="AH179" s="221"/>
      <c r="AI179" s="221"/>
      <c r="AJ179" s="221"/>
      <c r="AK179" s="221"/>
      <c r="AL179" s="221"/>
      <c r="AM179" s="221"/>
      <c r="AN179" s="221"/>
      <c r="AO179" s="221"/>
      <c r="AP179" s="221"/>
      <c r="AQ179" s="221"/>
      <c r="AR179" s="221"/>
      <c r="AS179" s="221"/>
      <c r="AT179" s="221">
        <f t="shared" si="262"/>
        <v>8344000</v>
      </c>
      <c r="AU179" s="224">
        <f t="shared" si="223"/>
        <v>46.614525139664806</v>
      </c>
      <c r="AV179" s="225">
        <f t="shared" si="261"/>
        <v>9556000</v>
      </c>
      <c r="AW179" s="224">
        <f t="shared" si="206"/>
        <v>53.385474860335194</v>
      </c>
      <c r="AX179" s="220" t="s">
        <v>542</v>
      </c>
      <c r="AY179" s="220" t="s">
        <v>591</v>
      </c>
      <c r="AZ179" s="220" t="s">
        <v>4729</v>
      </c>
      <c r="BA179" s="221"/>
      <c r="BB179" s="221">
        <v>2498000</v>
      </c>
      <c r="BC179" s="300">
        <v>860000</v>
      </c>
      <c r="BD179" s="221"/>
      <c r="BE179" s="221"/>
      <c r="BF179" s="221"/>
      <c r="BG179" s="221">
        <v>4986000</v>
      </c>
      <c r="BH179" s="221"/>
    </row>
    <row r="180" spans="2:60" x14ac:dyDescent="0.3">
      <c r="B180" s="288">
        <v>521219</v>
      </c>
      <c r="C180" s="220" t="s">
        <v>53</v>
      </c>
      <c r="D180" s="220"/>
      <c r="E180" s="220"/>
      <c r="F180" s="221">
        <v>2000000</v>
      </c>
      <c r="G180" s="221">
        <v>2000000</v>
      </c>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c r="AS180" s="221"/>
      <c r="AT180" s="221">
        <f t="shared" si="262"/>
        <v>0</v>
      </c>
      <c r="AU180" s="224">
        <f t="shared" si="223"/>
        <v>0</v>
      </c>
      <c r="AV180" s="225">
        <f t="shared" si="261"/>
        <v>2000000</v>
      </c>
      <c r="AW180" s="224">
        <f t="shared" si="206"/>
        <v>100</v>
      </c>
      <c r="AX180" s="220" t="s">
        <v>542</v>
      </c>
      <c r="AY180" s="220" t="s">
        <v>591</v>
      </c>
      <c r="AZ180" s="220" t="s">
        <v>4729</v>
      </c>
      <c r="BA180" s="221"/>
      <c r="BB180" s="221"/>
      <c r="BC180" s="300"/>
      <c r="BD180" s="221"/>
      <c r="BE180" s="221"/>
      <c r="BF180" s="221"/>
      <c r="BG180" s="221"/>
      <c r="BH180" s="221"/>
    </row>
    <row r="181" spans="2:60" x14ac:dyDescent="0.3">
      <c r="B181" s="288">
        <v>524111</v>
      </c>
      <c r="C181" s="220" t="s">
        <v>19</v>
      </c>
      <c r="D181" s="220"/>
      <c r="E181" s="220"/>
      <c r="F181" s="221">
        <v>30169000</v>
      </c>
      <c r="G181" s="221">
        <v>89032000</v>
      </c>
      <c r="H181" s="221"/>
      <c r="I181" s="221"/>
      <c r="J181" s="221"/>
      <c r="K181" s="221"/>
      <c r="L181" s="221"/>
      <c r="M181" s="221"/>
      <c r="N181" s="221"/>
      <c r="O181" s="221"/>
      <c r="P181" s="221"/>
      <c r="Q181" s="300">
        <v>2490000</v>
      </c>
      <c r="R181" s="221"/>
      <c r="S181" s="221">
        <f>8760000+4980000+1790000</f>
        <v>15530000</v>
      </c>
      <c r="T181" s="221"/>
      <c r="U181" s="221"/>
      <c r="V181" s="221"/>
      <c r="W181" s="221"/>
      <c r="X181" s="221"/>
      <c r="Y181" s="221">
        <v>2118000</v>
      </c>
      <c r="Z181" s="221"/>
      <c r="AA181" s="221"/>
      <c r="AB181" s="221"/>
      <c r="AC181" s="221"/>
      <c r="AD181" s="221"/>
      <c r="AE181" s="221"/>
      <c r="AF181" s="221"/>
      <c r="AG181" s="221"/>
      <c r="AH181" s="221"/>
      <c r="AI181" s="221"/>
      <c r="AJ181" s="221"/>
      <c r="AK181" s="221"/>
      <c r="AL181" s="221"/>
      <c r="AM181" s="221"/>
      <c r="AN181" s="221"/>
      <c r="AO181" s="221"/>
      <c r="AP181" s="221"/>
      <c r="AQ181" s="221"/>
      <c r="AR181" s="221"/>
      <c r="AS181" s="221"/>
      <c r="AT181" s="221">
        <f t="shared" si="262"/>
        <v>20138000</v>
      </c>
      <c r="AU181" s="224">
        <f t="shared" si="223"/>
        <v>66.750638072193311</v>
      </c>
      <c r="AV181" s="225">
        <f t="shared" si="261"/>
        <v>10031000</v>
      </c>
      <c r="AW181" s="224">
        <f t="shared" si="206"/>
        <v>33.249361927806689</v>
      </c>
      <c r="AX181" s="220" t="s">
        <v>542</v>
      </c>
      <c r="AY181" s="220" t="s">
        <v>591</v>
      </c>
      <c r="AZ181" s="220" t="s">
        <v>4729</v>
      </c>
      <c r="BA181" s="221"/>
      <c r="BB181" s="221"/>
      <c r="BC181" s="300">
        <v>2490000</v>
      </c>
      <c r="BD181" s="221"/>
      <c r="BE181" s="221"/>
      <c r="BF181" s="221"/>
      <c r="BG181" s="221"/>
      <c r="BH181" s="221"/>
    </row>
    <row r="182" spans="2:60" x14ac:dyDescent="0.3">
      <c r="B182" s="226" t="s">
        <v>4516</v>
      </c>
      <c r="C182" s="227" t="s">
        <v>3106</v>
      </c>
      <c r="D182" s="227">
        <v>1</v>
      </c>
      <c r="E182" s="227" t="s">
        <v>4315</v>
      </c>
      <c r="F182" s="228">
        <f>F183</f>
        <v>197920000</v>
      </c>
      <c r="G182" s="228">
        <f>G183</f>
        <v>289920000</v>
      </c>
      <c r="H182" s="228">
        <f>H183</f>
        <v>0</v>
      </c>
      <c r="I182" s="228"/>
      <c r="J182" s="228">
        <f t="shared" ref="J182:AS182" si="305">J183</f>
        <v>0</v>
      </c>
      <c r="K182" s="228">
        <f t="shared" si="305"/>
        <v>0</v>
      </c>
      <c r="L182" s="228">
        <f t="shared" si="305"/>
        <v>0</v>
      </c>
      <c r="M182" s="228">
        <f t="shared" si="305"/>
        <v>0</v>
      </c>
      <c r="N182" s="228">
        <f t="shared" si="305"/>
        <v>0</v>
      </c>
      <c r="O182" s="228">
        <f t="shared" si="305"/>
        <v>0</v>
      </c>
      <c r="P182" s="228">
        <f t="shared" si="305"/>
        <v>0</v>
      </c>
      <c r="Q182" s="228">
        <f t="shared" si="305"/>
        <v>18269500</v>
      </c>
      <c r="R182" s="228">
        <f t="shared" si="305"/>
        <v>50674500</v>
      </c>
      <c r="S182" s="228">
        <f t="shared" si="305"/>
        <v>0</v>
      </c>
      <c r="T182" s="228">
        <f t="shared" si="305"/>
        <v>19929200</v>
      </c>
      <c r="U182" s="228">
        <f t="shared" si="305"/>
        <v>0</v>
      </c>
      <c r="V182" s="228">
        <f t="shared" si="305"/>
        <v>0</v>
      </c>
      <c r="W182" s="228">
        <f t="shared" si="305"/>
        <v>19882500</v>
      </c>
      <c r="X182" s="228">
        <f t="shared" si="305"/>
        <v>25762820</v>
      </c>
      <c r="Y182" s="228">
        <f t="shared" si="305"/>
        <v>0</v>
      </c>
      <c r="Z182" s="228">
        <f t="shared" si="305"/>
        <v>0</v>
      </c>
      <c r="AA182" s="228">
        <f t="shared" si="305"/>
        <v>2030000</v>
      </c>
      <c r="AB182" s="228">
        <f t="shared" si="305"/>
        <v>0</v>
      </c>
      <c r="AC182" s="228">
        <f t="shared" si="305"/>
        <v>0</v>
      </c>
      <c r="AD182" s="228">
        <f t="shared" si="305"/>
        <v>0</v>
      </c>
      <c r="AE182" s="228">
        <f t="shared" si="305"/>
        <v>0</v>
      </c>
      <c r="AF182" s="228">
        <f t="shared" si="305"/>
        <v>0</v>
      </c>
      <c r="AG182" s="228">
        <f t="shared" si="305"/>
        <v>0</v>
      </c>
      <c r="AH182" s="228">
        <f t="shared" si="305"/>
        <v>0</v>
      </c>
      <c r="AI182" s="228">
        <f t="shared" si="305"/>
        <v>0</v>
      </c>
      <c r="AJ182" s="228">
        <f t="shared" si="305"/>
        <v>0</v>
      </c>
      <c r="AK182" s="228">
        <f t="shared" si="305"/>
        <v>0</v>
      </c>
      <c r="AL182" s="228">
        <f t="shared" si="305"/>
        <v>0</v>
      </c>
      <c r="AM182" s="228">
        <f t="shared" si="305"/>
        <v>0</v>
      </c>
      <c r="AN182" s="228">
        <f t="shared" si="305"/>
        <v>0</v>
      </c>
      <c r="AO182" s="228">
        <f t="shared" si="305"/>
        <v>0</v>
      </c>
      <c r="AP182" s="228">
        <f t="shared" si="305"/>
        <v>0</v>
      </c>
      <c r="AQ182" s="228">
        <f t="shared" si="305"/>
        <v>0</v>
      </c>
      <c r="AR182" s="228">
        <f t="shared" si="305"/>
        <v>0</v>
      </c>
      <c r="AS182" s="228">
        <f t="shared" si="305"/>
        <v>0</v>
      </c>
      <c r="AT182" s="228">
        <f t="shared" si="262"/>
        <v>136548520</v>
      </c>
      <c r="AU182" s="229">
        <f t="shared" si="223"/>
        <v>68.991774454324982</v>
      </c>
      <c r="AV182" s="230">
        <f t="shared" si="261"/>
        <v>61371480</v>
      </c>
      <c r="AW182" s="229">
        <f t="shared" si="206"/>
        <v>31.008225545675021</v>
      </c>
      <c r="AX182" s="220" t="s">
        <v>576</v>
      </c>
      <c r="AY182" s="220" t="s">
        <v>546</v>
      </c>
      <c r="AZ182" s="220" t="s">
        <v>4729</v>
      </c>
      <c r="BA182" s="228">
        <f t="shared" ref="BA182:BH182" si="306">BA183</f>
        <v>0</v>
      </c>
      <c r="BB182" s="228">
        <f t="shared" si="306"/>
        <v>50674500</v>
      </c>
      <c r="BC182" s="228">
        <f t="shared" si="306"/>
        <v>18269500</v>
      </c>
      <c r="BD182" s="228">
        <f t="shared" si="306"/>
        <v>19929200</v>
      </c>
      <c r="BE182" s="228">
        <f t="shared" si="306"/>
        <v>10000000</v>
      </c>
      <c r="BF182" s="228">
        <f t="shared" si="306"/>
        <v>9882500</v>
      </c>
      <c r="BG182" s="228">
        <f t="shared" si="306"/>
        <v>25762820</v>
      </c>
      <c r="BH182" s="228">
        <f t="shared" si="306"/>
        <v>2030000</v>
      </c>
    </row>
    <row r="183" spans="2:60" x14ac:dyDescent="0.3">
      <c r="B183" s="226">
        <v>301</v>
      </c>
      <c r="C183" s="227" t="s">
        <v>3319</v>
      </c>
      <c r="D183" s="227"/>
      <c r="E183" s="227"/>
      <c r="F183" s="228">
        <f t="shared" ref="F183:AS183" si="307">F184+F187+F190+F193+F197+F200</f>
        <v>197920000</v>
      </c>
      <c r="G183" s="228">
        <f t="shared" ref="G183:H183" si="308">G184+G187+G190+G193+G197+G200</f>
        <v>289920000</v>
      </c>
      <c r="H183" s="228">
        <f t="shared" si="308"/>
        <v>0</v>
      </c>
      <c r="I183" s="228"/>
      <c r="J183" s="228">
        <f t="shared" si="307"/>
        <v>0</v>
      </c>
      <c r="K183" s="228">
        <f t="shared" si="307"/>
        <v>0</v>
      </c>
      <c r="L183" s="228">
        <f t="shared" si="307"/>
        <v>0</v>
      </c>
      <c r="M183" s="228">
        <f t="shared" si="307"/>
        <v>0</v>
      </c>
      <c r="N183" s="228">
        <f t="shared" si="307"/>
        <v>0</v>
      </c>
      <c r="O183" s="228">
        <f t="shared" si="307"/>
        <v>0</v>
      </c>
      <c r="P183" s="228">
        <f t="shared" si="307"/>
        <v>0</v>
      </c>
      <c r="Q183" s="228">
        <f t="shared" si="307"/>
        <v>18269500</v>
      </c>
      <c r="R183" s="228">
        <f t="shared" si="307"/>
        <v>50674500</v>
      </c>
      <c r="S183" s="228">
        <f t="shared" si="307"/>
        <v>0</v>
      </c>
      <c r="T183" s="228">
        <f t="shared" si="307"/>
        <v>19929200</v>
      </c>
      <c r="U183" s="228">
        <f t="shared" si="307"/>
        <v>0</v>
      </c>
      <c r="V183" s="228">
        <f t="shared" si="307"/>
        <v>0</v>
      </c>
      <c r="W183" s="228">
        <f t="shared" si="307"/>
        <v>19882500</v>
      </c>
      <c r="X183" s="228">
        <f t="shared" si="307"/>
        <v>25762820</v>
      </c>
      <c r="Y183" s="228">
        <f t="shared" si="307"/>
        <v>0</v>
      </c>
      <c r="Z183" s="228">
        <f t="shared" si="307"/>
        <v>0</v>
      </c>
      <c r="AA183" s="228">
        <f t="shared" si="307"/>
        <v>2030000</v>
      </c>
      <c r="AB183" s="228">
        <f t="shared" si="307"/>
        <v>0</v>
      </c>
      <c r="AC183" s="228">
        <f t="shared" si="307"/>
        <v>0</v>
      </c>
      <c r="AD183" s="228">
        <f t="shared" si="307"/>
        <v>0</v>
      </c>
      <c r="AE183" s="228">
        <f t="shared" si="307"/>
        <v>0</v>
      </c>
      <c r="AF183" s="228">
        <f t="shared" si="307"/>
        <v>0</v>
      </c>
      <c r="AG183" s="228">
        <f t="shared" si="307"/>
        <v>0</v>
      </c>
      <c r="AH183" s="228">
        <f t="shared" si="307"/>
        <v>0</v>
      </c>
      <c r="AI183" s="228">
        <f t="shared" si="307"/>
        <v>0</v>
      </c>
      <c r="AJ183" s="228">
        <f t="shared" si="307"/>
        <v>0</v>
      </c>
      <c r="AK183" s="228">
        <f t="shared" si="307"/>
        <v>0</v>
      </c>
      <c r="AL183" s="228">
        <f t="shared" si="307"/>
        <v>0</v>
      </c>
      <c r="AM183" s="228">
        <f t="shared" si="307"/>
        <v>0</v>
      </c>
      <c r="AN183" s="228">
        <f t="shared" si="307"/>
        <v>0</v>
      </c>
      <c r="AO183" s="228">
        <f t="shared" si="307"/>
        <v>0</v>
      </c>
      <c r="AP183" s="228">
        <f t="shared" si="307"/>
        <v>0</v>
      </c>
      <c r="AQ183" s="228">
        <f t="shared" si="307"/>
        <v>0</v>
      </c>
      <c r="AR183" s="228">
        <f t="shared" si="307"/>
        <v>0</v>
      </c>
      <c r="AS183" s="228">
        <f t="shared" si="307"/>
        <v>0</v>
      </c>
      <c r="AT183" s="228">
        <f t="shared" si="262"/>
        <v>136548520</v>
      </c>
      <c r="AU183" s="229">
        <f t="shared" si="223"/>
        <v>68.991774454324982</v>
      </c>
      <c r="AV183" s="230">
        <f t="shared" si="261"/>
        <v>61371480</v>
      </c>
      <c r="AW183" s="229">
        <f t="shared" si="206"/>
        <v>31.008225545675021</v>
      </c>
      <c r="AX183" s="220" t="s">
        <v>576</v>
      </c>
      <c r="AY183" s="220" t="s">
        <v>546</v>
      </c>
      <c r="AZ183" s="220" t="s">
        <v>4729</v>
      </c>
      <c r="BA183" s="228">
        <f>BA184+BA187+BA190+BA193+BA197+BA200</f>
        <v>0</v>
      </c>
      <c r="BB183" s="228">
        <f>BB184+BB187+BB190+BB193+BB197+BB200</f>
        <v>50674500</v>
      </c>
      <c r="BC183" s="228">
        <f>BC184+BC187+BC190+BC193+BC197+BC200</f>
        <v>18269500</v>
      </c>
      <c r="BD183" s="228">
        <f t="shared" ref="BD183" si="309">BD184+BD187+BD190+BD193+BD197+BD200</f>
        <v>19929200</v>
      </c>
      <c r="BE183" s="228">
        <f t="shared" ref="BE183" si="310">BE184+BE187+BE190+BE193+BE197+BE200</f>
        <v>10000000</v>
      </c>
      <c r="BF183" s="228">
        <f t="shared" ref="BF183:BG183" si="311">BF184+BF187+BF190+BF193+BF197+BF200</f>
        <v>9882500</v>
      </c>
      <c r="BG183" s="228">
        <f t="shared" si="311"/>
        <v>25762820</v>
      </c>
      <c r="BH183" s="228">
        <f t="shared" ref="BH183" si="312">BH184+BH187+BH190+BH193+BH197+BH200</f>
        <v>2030000</v>
      </c>
    </row>
    <row r="184" spans="2:60" x14ac:dyDescent="0.3">
      <c r="B184" s="290" t="s">
        <v>8</v>
      </c>
      <c r="C184" s="222" t="s">
        <v>143</v>
      </c>
      <c r="D184" s="222"/>
      <c r="E184" s="222"/>
      <c r="F184" s="223">
        <f t="shared" ref="F184:AS184" si="313">SUM(F185:F186)</f>
        <v>27102000</v>
      </c>
      <c r="G184" s="223">
        <f t="shared" ref="G184:H184" si="314">SUM(G185:G186)</f>
        <v>38900000</v>
      </c>
      <c r="H184" s="223">
        <f t="shared" si="314"/>
        <v>0</v>
      </c>
      <c r="I184" s="223"/>
      <c r="J184" s="223">
        <f t="shared" si="313"/>
        <v>0</v>
      </c>
      <c r="K184" s="223">
        <f t="shared" si="313"/>
        <v>0</v>
      </c>
      <c r="L184" s="223">
        <f t="shared" si="313"/>
        <v>0</v>
      </c>
      <c r="M184" s="223">
        <f t="shared" si="313"/>
        <v>0</v>
      </c>
      <c r="N184" s="223">
        <f t="shared" si="313"/>
        <v>0</v>
      </c>
      <c r="O184" s="223">
        <f t="shared" si="313"/>
        <v>0</v>
      </c>
      <c r="P184" s="223">
        <f t="shared" si="313"/>
        <v>0</v>
      </c>
      <c r="Q184" s="223">
        <f t="shared" si="313"/>
        <v>2450000</v>
      </c>
      <c r="R184" s="223">
        <f t="shared" si="313"/>
        <v>3275000</v>
      </c>
      <c r="S184" s="223">
        <f t="shared" si="313"/>
        <v>0</v>
      </c>
      <c r="T184" s="223">
        <f t="shared" si="313"/>
        <v>2446000</v>
      </c>
      <c r="U184" s="223">
        <f t="shared" si="313"/>
        <v>0</v>
      </c>
      <c r="V184" s="223">
        <f t="shared" si="313"/>
        <v>0</v>
      </c>
      <c r="W184" s="223">
        <f t="shared" si="313"/>
        <v>1810000</v>
      </c>
      <c r="X184" s="223">
        <f t="shared" si="313"/>
        <v>12551552</v>
      </c>
      <c r="Y184" s="223">
        <f t="shared" si="313"/>
        <v>0</v>
      </c>
      <c r="Z184" s="223">
        <f t="shared" si="313"/>
        <v>0</v>
      </c>
      <c r="AA184" s="223">
        <f t="shared" si="313"/>
        <v>0</v>
      </c>
      <c r="AB184" s="223">
        <f t="shared" si="313"/>
        <v>0</v>
      </c>
      <c r="AC184" s="223">
        <f t="shared" si="313"/>
        <v>0</v>
      </c>
      <c r="AD184" s="223">
        <f t="shared" si="313"/>
        <v>0</v>
      </c>
      <c r="AE184" s="223">
        <f t="shared" si="313"/>
        <v>0</v>
      </c>
      <c r="AF184" s="223">
        <f t="shared" si="313"/>
        <v>0</v>
      </c>
      <c r="AG184" s="223">
        <f t="shared" si="313"/>
        <v>0</v>
      </c>
      <c r="AH184" s="223">
        <f t="shared" si="313"/>
        <v>0</v>
      </c>
      <c r="AI184" s="223">
        <f t="shared" si="313"/>
        <v>0</v>
      </c>
      <c r="AJ184" s="223">
        <f t="shared" si="313"/>
        <v>0</v>
      </c>
      <c r="AK184" s="223">
        <f t="shared" si="313"/>
        <v>0</v>
      </c>
      <c r="AL184" s="223">
        <f t="shared" si="313"/>
        <v>0</v>
      </c>
      <c r="AM184" s="223">
        <f t="shared" si="313"/>
        <v>0</v>
      </c>
      <c r="AN184" s="223">
        <f t="shared" si="313"/>
        <v>0</v>
      </c>
      <c r="AO184" s="223">
        <f t="shared" si="313"/>
        <v>0</v>
      </c>
      <c r="AP184" s="223">
        <f t="shared" si="313"/>
        <v>0</v>
      </c>
      <c r="AQ184" s="223">
        <f t="shared" si="313"/>
        <v>0</v>
      </c>
      <c r="AR184" s="223">
        <f t="shared" si="313"/>
        <v>0</v>
      </c>
      <c r="AS184" s="223">
        <f t="shared" si="313"/>
        <v>0</v>
      </c>
      <c r="AT184" s="223">
        <f t="shared" si="262"/>
        <v>22532552</v>
      </c>
      <c r="AU184" s="231">
        <f t="shared" si="223"/>
        <v>83.139812559958671</v>
      </c>
      <c r="AV184" s="232">
        <f t="shared" si="261"/>
        <v>4569448</v>
      </c>
      <c r="AW184" s="231">
        <f t="shared" si="206"/>
        <v>16.860187440041326</v>
      </c>
      <c r="AX184" s="220" t="s">
        <v>576</v>
      </c>
      <c r="AY184" s="220" t="s">
        <v>546</v>
      </c>
      <c r="AZ184" s="220" t="s">
        <v>4729</v>
      </c>
      <c r="BA184" s="223">
        <f>SUM(BA185:BA186)</f>
        <v>0</v>
      </c>
      <c r="BB184" s="223">
        <f>SUM(BB185:BB186)</f>
        <v>3275000</v>
      </c>
      <c r="BC184" s="223">
        <f>SUM(BC185:BC186)</f>
        <v>2450000</v>
      </c>
      <c r="BD184" s="223">
        <f t="shared" ref="BD184" si="315">SUM(BD185:BD186)</f>
        <v>2446000</v>
      </c>
      <c r="BE184" s="223">
        <f t="shared" ref="BE184" si="316">SUM(BE185:BE186)</f>
        <v>1810000</v>
      </c>
      <c r="BF184" s="223">
        <f t="shared" ref="BF184:BG184" si="317">SUM(BF185:BF186)</f>
        <v>0</v>
      </c>
      <c r="BG184" s="223">
        <f t="shared" si="317"/>
        <v>12551552</v>
      </c>
      <c r="BH184" s="223">
        <f t="shared" ref="BH184" si="318">SUM(BH185:BH186)</f>
        <v>0</v>
      </c>
    </row>
    <row r="185" spans="2:60" x14ac:dyDescent="0.3">
      <c r="B185" s="288">
        <v>521211</v>
      </c>
      <c r="C185" s="220" t="s">
        <v>7</v>
      </c>
      <c r="D185" s="220"/>
      <c r="E185" s="220"/>
      <c r="F185" s="221">
        <v>18400000</v>
      </c>
      <c r="G185" s="221">
        <v>23900000</v>
      </c>
      <c r="H185" s="221"/>
      <c r="I185" s="221"/>
      <c r="J185" s="221"/>
      <c r="K185" s="221"/>
      <c r="L185" s="221"/>
      <c r="M185" s="221"/>
      <c r="N185" s="221"/>
      <c r="O185" s="221"/>
      <c r="P185" s="221"/>
      <c r="Q185" s="300">
        <v>2450000</v>
      </c>
      <c r="R185" s="221">
        <v>3275000</v>
      </c>
      <c r="S185" s="221"/>
      <c r="T185" s="221">
        <v>2446000</v>
      </c>
      <c r="U185" s="221"/>
      <c r="V185" s="221"/>
      <c r="W185" s="221">
        <f>1810000</f>
        <v>1810000</v>
      </c>
      <c r="X185" s="221">
        <v>3850000</v>
      </c>
      <c r="Y185" s="221"/>
      <c r="Z185" s="221"/>
      <c r="AA185" s="221"/>
      <c r="AB185" s="221"/>
      <c r="AC185" s="221"/>
      <c r="AD185" s="221"/>
      <c r="AE185" s="221"/>
      <c r="AF185" s="221"/>
      <c r="AG185" s="221"/>
      <c r="AH185" s="221"/>
      <c r="AI185" s="221"/>
      <c r="AJ185" s="221"/>
      <c r="AK185" s="221"/>
      <c r="AL185" s="221"/>
      <c r="AM185" s="221"/>
      <c r="AN185" s="221"/>
      <c r="AO185" s="221"/>
      <c r="AP185" s="221"/>
      <c r="AQ185" s="221"/>
      <c r="AR185" s="221"/>
      <c r="AS185" s="221"/>
      <c r="AT185" s="221">
        <f t="shared" si="262"/>
        <v>13831000</v>
      </c>
      <c r="AU185" s="224">
        <f t="shared" si="223"/>
        <v>75.168478260869563</v>
      </c>
      <c r="AV185" s="225">
        <f t="shared" si="261"/>
        <v>4569000</v>
      </c>
      <c r="AW185" s="224">
        <f t="shared" si="206"/>
        <v>24.831521739130437</v>
      </c>
      <c r="AX185" s="220" t="s">
        <v>576</v>
      </c>
      <c r="AY185" s="220" t="s">
        <v>546</v>
      </c>
      <c r="AZ185" s="220" t="s">
        <v>4729</v>
      </c>
      <c r="BA185" s="221"/>
      <c r="BB185" s="221">
        <v>3275000</v>
      </c>
      <c r="BC185" s="300">
        <v>2450000</v>
      </c>
      <c r="BD185" s="221">
        <v>2446000</v>
      </c>
      <c r="BE185" s="221">
        <v>1810000</v>
      </c>
      <c r="BF185" s="221"/>
      <c r="BG185" s="221">
        <v>3850000</v>
      </c>
      <c r="BH185" s="221"/>
    </row>
    <row r="186" spans="2:60" x14ac:dyDescent="0.3">
      <c r="B186" s="288">
        <v>524111</v>
      </c>
      <c r="C186" s="220" t="s">
        <v>19</v>
      </c>
      <c r="D186" s="220"/>
      <c r="E186" s="220"/>
      <c r="F186" s="221">
        <v>8702000</v>
      </c>
      <c r="G186" s="221">
        <v>15000000</v>
      </c>
      <c r="H186" s="221"/>
      <c r="I186" s="221"/>
      <c r="J186" s="221"/>
      <c r="K186" s="221"/>
      <c r="L186" s="221"/>
      <c r="M186" s="221"/>
      <c r="N186" s="221"/>
      <c r="O186" s="221"/>
      <c r="P186" s="221"/>
      <c r="Q186" s="221"/>
      <c r="R186" s="221"/>
      <c r="S186" s="221"/>
      <c r="T186" s="221"/>
      <c r="U186" s="221"/>
      <c r="V186" s="221"/>
      <c r="W186" s="221"/>
      <c r="X186" s="221">
        <v>8701552</v>
      </c>
      <c r="Y186" s="221"/>
      <c r="Z186" s="221"/>
      <c r="AA186" s="221"/>
      <c r="AB186" s="221"/>
      <c r="AC186" s="221"/>
      <c r="AD186" s="221"/>
      <c r="AE186" s="221"/>
      <c r="AF186" s="221"/>
      <c r="AG186" s="221"/>
      <c r="AH186" s="221"/>
      <c r="AI186" s="221"/>
      <c r="AJ186" s="221"/>
      <c r="AK186" s="221"/>
      <c r="AL186" s="221"/>
      <c r="AM186" s="221"/>
      <c r="AN186" s="221"/>
      <c r="AO186" s="221"/>
      <c r="AP186" s="221"/>
      <c r="AQ186" s="221"/>
      <c r="AR186" s="221"/>
      <c r="AS186" s="221"/>
      <c r="AT186" s="221">
        <f t="shared" si="262"/>
        <v>8701552</v>
      </c>
      <c r="AU186" s="224">
        <f t="shared" si="223"/>
        <v>99.994851758216498</v>
      </c>
      <c r="AV186" s="225">
        <f t="shared" si="261"/>
        <v>448</v>
      </c>
      <c r="AW186" s="224">
        <f t="shared" si="206"/>
        <v>5.1482417834980464E-3</v>
      </c>
      <c r="AX186" s="220" t="s">
        <v>576</v>
      </c>
      <c r="AY186" s="220" t="s">
        <v>546</v>
      </c>
      <c r="AZ186" s="220" t="s">
        <v>4729</v>
      </c>
      <c r="BA186" s="221"/>
      <c r="BB186" s="221"/>
      <c r="BC186" s="300"/>
      <c r="BD186" s="221"/>
      <c r="BE186" s="221"/>
      <c r="BF186" s="221"/>
      <c r="BG186" s="221">
        <v>8701552</v>
      </c>
      <c r="BH186" s="221"/>
    </row>
    <row r="187" spans="2:60" x14ac:dyDescent="0.3">
      <c r="B187" s="290" t="s">
        <v>511</v>
      </c>
      <c r="C187" s="222" t="s">
        <v>144</v>
      </c>
      <c r="D187" s="222"/>
      <c r="E187" s="222"/>
      <c r="F187" s="223">
        <f t="shared" ref="F187:AS187" si="319">SUM(F188:F189)</f>
        <v>12850000</v>
      </c>
      <c r="G187" s="223">
        <f t="shared" ref="G187:H187" si="320">SUM(G188:G189)</f>
        <v>29400000</v>
      </c>
      <c r="H187" s="223">
        <f t="shared" si="320"/>
        <v>0</v>
      </c>
      <c r="I187" s="223"/>
      <c r="J187" s="223">
        <f t="shared" si="319"/>
        <v>0</v>
      </c>
      <c r="K187" s="223">
        <f t="shared" si="319"/>
        <v>0</v>
      </c>
      <c r="L187" s="223">
        <f t="shared" si="319"/>
        <v>0</v>
      </c>
      <c r="M187" s="223">
        <f t="shared" si="319"/>
        <v>0</v>
      </c>
      <c r="N187" s="223">
        <f t="shared" si="319"/>
        <v>0</v>
      </c>
      <c r="O187" s="223">
        <f t="shared" si="319"/>
        <v>0</v>
      </c>
      <c r="P187" s="223">
        <f t="shared" si="319"/>
        <v>0</v>
      </c>
      <c r="Q187" s="223">
        <f t="shared" si="319"/>
        <v>0</v>
      </c>
      <c r="R187" s="223">
        <f t="shared" si="319"/>
        <v>5350000</v>
      </c>
      <c r="S187" s="223">
        <f t="shared" si="319"/>
        <v>0</v>
      </c>
      <c r="T187" s="223">
        <f t="shared" si="319"/>
        <v>0</v>
      </c>
      <c r="U187" s="223">
        <f t="shared" si="319"/>
        <v>0</v>
      </c>
      <c r="V187" s="223">
        <f t="shared" si="319"/>
        <v>0</v>
      </c>
      <c r="W187" s="223">
        <f t="shared" si="319"/>
        <v>2444000</v>
      </c>
      <c r="X187" s="223">
        <f t="shared" si="319"/>
        <v>0</v>
      </c>
      <c r="Y187" s="223">
        <f t="shared" si="319"/>
        <v>0</v>
      </c>
      <c r="Z187" s="223">
        <f t="shared" si="319"/>
        <v>0</v>
      </c>
      <c r="AA187" s="223">
        <f t="shared" si="319"/>
        <v>0</v>
      </c>
      <c r="AB187" s="223">
        <f t="shared" si="319"/>
        <v>0</v>
      </c>
      <c r="AC187" s="223">
        <f t="shared" si="319"/>
        <v>0</v>
      </c>
      <c r="AD187" s="223">
        <f t="shared" si="319"/>
        <v>0</v>
      </c>
      <c r="AE187" s="223">
        <f t="shared" si="319"/>
        <v>0</v>
      </c>
      <c r="AF187" s="223">
        <f t="shared" si="319"/>
        <v>0</v>
      </c>
      <c r="AG187" s="223">
        <f t="shared" si="319"/>
        <v>0</v>
      </c>
      <c r="AH187" s="223">
        <f t="shared" si="319"/>
        <v>0</v>
      </c>
      <c r="AI187" s="223">
        <f t="shared" si="319"/>
        <v>0</v>
      </c>
      <c r="AJ187" s="223">
        <f t="shared" si="319"/>
        <v>0</v>
      </c>
      <c r="AK187" s="223">
        <f t="shared" si="319"/>
        <v>0</v>
      </c>
      <c r="AL187" s="223">
        <f t="shared" si="319"/>
        <v>0</v>
      </c>
      <c r="AM187" s="223">
        <f t="shared" si="319"/>
        <v>0</v>
      </c>
      <c r="AN187" s="223">
        <f t="shared" si="319"/>
        <v>0</v>
      </c>
      <c r="AO187" s="223">
        <f t="shared" si="319"/>
        <v>0</v>
      </c>
      <c r="AP187" s="223">
        <f t="shared" si="319"/>
        <v>0</v>
      </c>
      <c r="AQ187" s="223">
        <f t="shared" si="319"/>
        <v>0</v>
      </c>
      <c r="AR187" s="223">
        <f t="shared" si="319"/>
        <v>0</v>
      </c>
      <c r="AS187" s="223">
        <f t="shared" si="319"/>
        <v>0</v>
      </c>
      <c r="AT187" s="223">
        <f t="shared" si="262"/>
        <v>7794000</v>
      </c>
      <c r="AU187" s="231">
        <f t="shared" si="223"/>
        <v>60.653696498054479</v>
      </c>
      <c r="AV187" s="232">
        <f t="shared" si="261"/>
        <v>5056000</v>
      </c>
      <c r="AW187" s="231">
        <f t="shared" si="206"/>
        <v>39.346303501945521</v>
      </c>
      <c r="AX187" s="220" t="s">
        <v>576</v>
      </c>
      <c r="AY187" s="220" t="s">
        <v>546</v>
      </c>
      <c r="AZ187" s="220" t="s">
        <v>4729</v>
      </c>
      <c r="BA187" s="223">
        <f>SUM(BA188:BA189)</f>
        <v>0</v>
      </c>
      <c r="BB187" s="223">
        <f>SUM(BB188:BB189)</f>
        <v>5350000</v>
      </c>
      <c r="BC187" s="223">
        <f>SUM(BC188:BC189)</f>
        <v>0</v>
      </c>
      <c r="BD187" s="223">
        <f t="shared" ref="BD187" si="321">SUM(BD188:BD189)</f>
        <v>0</v>
      </c>
      <c r="BE187" s="223">
        <f t="shared" ref="BE187" si="322">SUM(BE188:BE189)</f>
        <v>0</v>
      </c>
      <c r="BF187" s="223">
        <f t="shared" ref="BF187:BG187" si="323">SUM(BF188:BF189)</f>
        <v>2444000</v>
      </c>
      <c r="BG187" s="223">
        <f t="shared" si="323"/>
        <v>0</v>
      </c>
      <c r="BH187" s="223">
        <f t="shared" ref="BH187" si="324">SUM(BH188:BH189)</f>
        <v>0</v>
      </c>
    </row>
    <row r="188" spans="2:60" x14ac:dyDescent="0.3">
      <c r="B188" s="288">
        <v>521211</v>
      </c>
      <c r="C188" s="220" t="s">
        <v>7</v>
      </c>
      <c r="D188" s="220"/>
      <c r="E188" s="220"/>
      <c r="F188" s="221">
        <v>7500000</v>
      </c>
      <c r="G188" s="221">
        <v>11400000</v>
      </c>
      <c r="H188" s="221"/>
      <c r="I188" s="221"/>
      <c r="J188" s="221"/>
      <c r="K188" s="221"/>
      <c r="L188" s="221"/>
      <c r="M188" s="221"/>
      <c r="N188" s="221"/>
      <c r="O188" s="221"/>
      <c r="P188" s="221"/>
      <c r="Q188" s="221"/>
      <c r="R188" s="221">
        <v>2500000</v>
      </c>
      <c r="S188" s="221"/>
      <c r="T188" s="221"/>
      <c r="U188" s="221"/>
      <c r="V188" s="221"/>
      <c r="W188" s="221">
        <v>2444000</v>
      </c>
      <c r="X188" s="221"/>
      <c r="Y188" s="221"/>
      <c r="Z188" s="221"/>
      <c r="AA188" s="221"/>
      <c r="AB188" s="221"/>
      <c r="AC188" s="221"/>
      <c r="AD188" s="221"/>
      <c r="AE188" s="221"/>
      <c r="AF188" s="221"/>
      <c r="AG188" s="221"/>
      <c r="AH188" s="221"/>
      <c r="AI188" s="221"/>
      <c r="AJ188" s="221"/>
      <c r="AK188" s="221"/>
      <c r="AL188" s="221"/>
      <c r="AM188" s="221"/>
      <c r="AN188" s="221"/>
      <c r="AO188" s="221"/>
      <c r="AP188" s="221"/>
      <c r="AQ188" s="221"/>
      <c r="AR188" s="221"/>
      <c r="AS188" s="221"/>
      <c r="AT188" s="221">
        <f t="shared" si="262"/>
        <v>4944000</v>
      </c>
      <c r="AU188" s="224">
        <f t="shared" si="223"/>
        <v>65.92</v>
      </c>
      <c r="AV188" s="225">
        <f t="shared" si="261"/>
        <v>2556000</v>
      </c>
      <c r="AW188" s="224">
        <f t="shared" si="206"/>
        <v>34.08</v>
      </c>
      <c r="AX188" s="220" t="s">
        <v>576</v>
      </c>
      <c r="AY188" s="220" t="s">
        <v>546</v>
      </c>
      <c r="AZ188" s="220" t="s">
        <v>4729</v>
      </c>
      <c r="BA188" s="221"/>
      <c r="BB188" s="221">
        <v>2500000</v>
      </c>
      <c r="BC188" s="300"/>
      <c r="BD188" s="221"/>
      <c r="BE188" s="221"/>
      <c r="BF188" s="221">
        <v>2444000</v>
      </c>
      <c r="BG188" s="221"/>
      <c r="BH188" s="221"/>
    </row>
    <row r="189" spans="2:60" x14ac:dyDescent="0.3">
      <c r="B189" s="288">
        <v>524111</v>
      </c>
      <c r="C189" s="220" t="s">
        <v>19</v>
      </c>
      <c r="D189" s="220"/>
      <c r="E189" s="220"/>
      <c r="F189" s="221">
        <v>5350000</v>
      </c>
      <c r="G189" s="221">
        <v>18000000</v>
      </c>
      <c r="H189" s="221"/>
      <c r="I189" s="221"/>
      <c r="J189" s="221"/>
      <c r="K189" s="221"/>
      <c r="L189" s="221"/>
      <c r="M189" s="221"/>
      <c r="N189" s="221"/>
      <c r="O189" s="221"/>
      <c r="P189" s="221"/>
      <c r="Q189" s="221"/>
      <c r="R189" s="221">
        <v>2850000</v>
      </c>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c r="AR189" s="221"/>
      <c r="AS189" s="221"/>
      <c r="AT189" s="221">
        <f t="shared" si="262"/>
        <v>2850000</v>
      </c>
      <c r="AU189" s="224">
        <f t="shared" si="223"/>
        <v>53.271028037383175</v>
      </c>
      <c r="AV189" s="225">
        <f t="shared" si="261"/>
        <v>2500000</v>
      </c>
      <c r="AW189" s="224">
        <f t="shared" si="206"/>
        <v>46.728971962616825</v>
      </c>
      <c r="AX189" s="220" t="s">
        <v>576</v>
      </c>
      <c r="AY189" s="220" t="s">
        <v>546</v>
      </c>
      <c r="AZ189" s="220" t="s">
        <v>4729</v>
      </c>
      <c r="BA189" s="221"/>
      <c r="BB189" s="221">
        <v>2850000</v>
      </c>
      <c r="BC189" s="300"/>
      <c r="BD189" s="221"/>
      <c r="BE189" s="221"/>
      <c r="BF189" s="221"/>
      <c r="BG189" s="221"/>
      <c r="BH189" s="221"/>
    </row>
    <row r="190" spans="2:60" x14ac:dyDescent="0.3">
      <c r="B190" s="290" t="s">
        <v>512</v>
      </c>
      <c r="C190" s="222" t="s">
        <v>145</v>
      </c>
      <c r="D190" s="222"/>
      <c r="E190" s="222"/>
      <c r="F190" s="223">
        <f t="shared" ref="F190:AS190" si="325">SUM(F191:F192)</f>
        <v>7500000</v>
      </c>
      <c r="G190" s="223">
        <f t="shared" ref="G190:H190" si="326">SUM(G191:G192)</f>
        <v>25000000</v>
      </c>
      <c r="H190" s="223">
        <f t="shared" si="326"/>
        <v>0</v>
      </c>
      <c r="I190" s="223"/>
      <c r="J190" s="223">
        <f t="shared" si="325"/>
        <v>0</v>
      </c>
      <c r="K190" s="223">
        <f t="shared" si="325"/>
        <v>0</v>
      </c>
      <c r="L190" s="223">
        <f t="shared" si="325"/>
        <v>0</v>
      </c>
      <c r="M190" s="223">
        <f t="shared" si="325"/>
        <v>0</v>
      </c>
      <c r="N190" s="223">
        <f t="shared" si="325"/>
        <v>0</v>
      </c>
      <c r="O190" s="223">
        <f t="shared" si="325"/>
        <v>0</v>
      </c>
      <c r="P190" s="223">
        <f t="shared" si="325"/>
        <v>0</v>
      </c>
      <c r="Q190" s="223">
        <f t="shared" si="325"/>
        <v>2469500</v>
      </c>
      <c r="R190" s="223">
        <f t="shared" si="325"/>
        <v>0</v>
      </c>
      <c r="S190" s="223">
        <f t="shared" si="325"/>
        <v>0</v>
      </c>
      <c r="T190" s="223">
        <f t="shared" si="325"/>
        <v>0</v>
      </c>
      <c r="U190" s="223">
        <f t="shared" si="325"/>
        <v>0</v>
      </c>
      <c r="V190" s="223">
        <f t="shared" si="325"/>
        <v>0</v>
      </c>
      <c r="W190" s="223">
        <f t="shared" si="325"/>
        <v>2499000</v>
      </c>
      <c r="X190" s="223">
        <f t="shared" si="325"/>
        <v>0</v>
      </c>
      <c r="Y190" s="223">
        <f t="shared" si="325"/>
        <v>0</v>
      </c>
      <c r="Z190" s="223">
        <f t="shared" si="325"/>
        <v>0</v>
      </c>
      <c r="AA190" s="223">
        <f t="shared" si="325"/>
        <v>0</v>
      </c>
      <c r="AB190" s="223">
        <f t="shared" si="325"/>
        <v>0</v>
      </c>
      <c r="AC190" s="223">
        <f t="shared" si="325"/>
        <v>0</v>
      </c>
      <c r="AD190" s="223">
        <f t="shared" si="325"/>
        <v>0</v>
      </c>
      <c r="AE190" s="223">
        <f t="shared" si="325"/>
        <v>0</v>
      </c>
      <c r="AF190" s="223">
        <f t="shared" si="325"/>
        <v>0</v>
      </c>
      <c r="AG190" s="223">
        <f t="shared" si="325"/>
        <v>0</v>
      </c>
      <c r="AH190" s="223">
        <f t="shared" si="325"/>
        <v>0</v>
      </c>
      <c r="AI190" s="223">
        <f t="shared" si="325"/>
        <v>0</v>
      </c>
      <c r="AJ190" s="223">
        <f t="shared" si="325"/>
        <v>0</v>
      </c>
      <c r="AK190" s="223">
        <f t="shared" si="325"/>
        <v>0</v>
      </c>
      <c r="AL190" s="223">
        <f t="shared" si="325"/>
        <v>0</v>
      </c>
      <c r="AM190" s="223">
        <f t="shared" si="325"/>
        <v>0</v>
      </c>
      <c r="AN190" s="223">
        <f t="shared" si="325"/>
        <v>0</v>
      </c>
      <c r="AO190" s="223">
        <f t="shared" si="325"/>
        <v>0</v>
      </c>
      <c r="AP190" s="223">
        <f t="shared" si="325"/>
        <v>0</v>
      </c>
      <c r="AQ190" s="223">
        <f t="shared" si="325"/>
        <v>0</v>
      </c>
      <c r="AR190" s="223">
        <f t="shared" si="325"/>
        <v>0</v>
      </c>
      <c r="AS190" s="223">
        <f t="shared" si="325"/>
        <v>0</v>
      </c>
      <c r="AT190" s="223">
        <f t="shared" ref="AT190:AT230" si="327">SUM(J190:AS190)</f>
        <v>4968500</v>
      </c>
      <c r="AU190" s="231">
        <f t="shared" si="223"/>
        <v>66.24666666666667</v>
      </c>
      <c r="AV190" s="232">
        <f t="shared" ref="AV190:AV231" si="328">F190-AT190</f>
        <v>2531500</v>
      </c>
      <c r="AW190" s="231">
        <f t="shared" ref="AW190:AW231" si="329">AV190/F190*100</f>
        <v>33.753333333333337</v>
      </c>
      <c r="AX190" s="220" t="s">
        <v>576</v>
      </c>
      <c r="AY190" s="220" t="s">
        <v>546</v>
      </c>
      <c r="AZ190" s="220" t="s">
        <v>4729</v>
      </c>
      <c r="BA190" s="223">
        <f>SUM(BA191:BA192)</f>
        <v>0</v>
      </c>
      <c r="BB190" s="223">
        <f>SUM(BB191:BB192)</f>
        <v>0</v>
      </c>
      <c r="BC190" s="223">
        <f>SUM(BC191:BC192)</f>
        <v>2469500</v>
      </c>
      <c r="BD190" s="223">
        <f t="shared" ref="BD190" si="330">SUM(BD191:BD192)</f>
        <v>0</v>
      </c>
      <c r="BE190" s="223">
        <f t="shared" ref="BE190" si="331">SUM(BE191:BE192)</f>
        <v>0</v>
      </c>
      <c r="BF190" s="223">
        <f t="shared" ref="BF190:BG190" si="332">SUM(BF191:BF192)</f>
        <v>2499000</v>
      </c>
      <c r="BG190" s="223">
        <f t="shared" si="332"/>
        <v>0</v>
      </c>
      <c r="BH190" s="223">
        <f t="shared" ref="BH190" si="333">SUM(BH191:BH192)</f>
        <v>0</v>
      </c>
    </row>
    <row r="191" spans="2:60" x14ac:dyDescent="0.3">
      <c r="B191" s="288">
        <v>521211</v>
      </c>
      <c r="C191" s="220" t="s">
        <v>7</v>
      </c>
      <c r="D191" s="220"/>
      <c r="E191" s="220"/>
      <c r="F191" s="221">
        <v>7500000</v>
      </c>
      <c r="G191" s="221">
        <v>10000000</v>
      </c>
      <c r="H191" s="221"/>
      <c r="I191" s="221"/>
      <c r="J191" s="221"/>
      <c r="K191" s="221"/>
      <c r="L191" s="221"/>
      <c r="M191" s="221"/>
      <c r="N191" s="221"/>
      <c r="O191" s="221"/>
      <c r="P191" s="221"/>
      <c r="Q191" s="300">
        <v>2469500</v>
      </c>
      <c r="R191" s="221"/>
      <c r="S191" s="221"/>
      <c r="T191" s="221"/>
      <c r="U191" s="221"/>
      <c r="V191" s="221"/>
      <c r="W191" s="221">
        <v>2499000</v>
      </c>
      <c r="X191" s="221"/>
      <c r="Y191" s="221"/>
      <c r="Z191" s="221"/>
      <c r="AA191" s="221"/>
      <c r="AB191" s="221"/>
      <c r="AC191" s="221"/>
      <c r="AD191" s="221"/>
      <c r="AE191" s="221"/>
      <c r="AF191" s="221"/>
      <c r="AG191" s="221"/>
      <c r="AH191" s="221"/>
      <c r="AI191" s="221"/>
      <c r="AJ191" s="221"/>
      <c r="AK191" s="221"/>
      <c r="AL191" s="221"/>
      <c r="AM191" s="221"/>
      <c r="AN191" s="221"/>
      <c r="AO191" s="221"/>
      <c r="AP191" s="221"/>
      <c r="AQ191" s="221"/>
      <c r="AR191" s="221"/>
      <c r="AS191" s="221"/>
      <c r="AT191" s="221">
        <f t="shared" si="327"/>
        <v>4968500</v>
      </c>
      <c r="AU191" s="224">
        <f t="shared" si="223"/>
        <v>66.24666666666667</v>
      </c>
      <c r="AV191" s="225">
        <f t="shared" si="328"/>
        <v>2531500</v>
      </c>
      <c r="AW191" s="224">
        <f t="shared" si="329"/>
        <v>33.753333333333337</v>
      </c>
      <c r="AX191" s="220" t="s">
        <v>576</v>
      </c>
      <c r="AY191" s="220" t="s">
        <v>546</v>
      </c>
      <c r="AZ191" s="220" t="s">
        <v>4729</v>
      </c>
      <c r="BA191" s="221"/>
      <c r="BB191" s="221"/>
      <c r="BC191" s="300">
        <v>2469500</v>
      </c>
      <c r="BD191" s="221"/>
      <c r="BE191" s="221"/>
      <c r="BF191" s="221">
        <v>2499000</v>
      </c>
      <c r="BG191" s="221"/>
      <c r="BH191" s="221"/>
    </row>
    <row r="192" spans="2:60" x14ac:dyDescent="0.3">
      <c r="B192" s="288">
        <v>524111</v>
      </c>
      <c r="C192" s="220" t="s">
        <v>19</v>
      </c>
      <c r="D192" s="220"/>
      <c r="E192" s="220"/>
      <c r="F192" s="221">
        <v>0</v>
      </c>
      <c r="G192" s="221">
        <v>15000000</v>
      </c>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c r="AR192" s="221"/>
      <c r="AS192" s="221"/>
      <c r="AT192" s="221">
        <f t="shared" si="327"/>
        <v>0</v>
      </c>
      <c r="AU192" s="224">
        <f t="shared" si="223"/>
        <v>0</v>
      </c>
      <c r="AV192" s="225">
        <f t="shared" si="328"/>
        <v>0</v>
      </c>
      <c r="AW192" s="224" t="e">
        <f t="shared" si="329"/>
        <v>#DIV/0!</v>
      </c>
      <c r="AX192" s="220" t="s">
        <v>576</v>
      </c>
      <c r="AY192" s="220" t="s">
        <v>546</v>
      </c>
      <c r="AZ192" s="220" t="s">
        <v>4729</v>
      </c>
      <c r="BA192" s="221"/>
      <c r="BB192" s="221"/>
      <c r="BC192" s="300"/>
      <c r="BD192" s="221"/>
      <c r="BE192" s="221"/>
      <c r="BF192" s="221"/>
      <c r="BG192" s="221"/>
      <c r="BH192" s="221"/>
    </row>
    <row r="193" spans="2:64" x14ac:dyDescent="0.3">
      <c r="B193" s="290" t="s">
        <v>514</v>
      </c>
      <c r="C193" s="222" t="s">
        <v>3350</v>
      </c>
      <c r="D193" s="222"/>
      <c r="E193" s="222"/>
      <c r="F193" s="223">
        <f t="shared" ref="F193:AS193" si="334">SUM(F194:F196)</f>
        <v>34635000</v>
      </c>
      <c r="G193" s="223">
        <f t="shared" ref="G193:H193" si="335">SUM(G194:G196)</f>
        <v>80940000</v>
      </c>
      <c r="H193" s="223">
        <f t="shared" si="335"/>
        <v>0</v>
      </c>
      <c r="I193" s="223"/>
      <c r="J193" s="223">
        <f t="shared" si="334"/>
        <v>0</v>
      </c>
      <c r="K193" s="223">
        <f t="shared" si="334"/>
        <v>0</v>
      </c>
      <c r="L193" s="223">
        <f t="shared" si="334"/>
        <v>0</v>
      </c>
      <c r="M193" s="223">
        <f t="shared" si="334"/>
        <v>0</v>
      </c>
      <c r="N193" s="223">
        <f t="shared" si="334"/>
        <v>0</v>
      </c>
      <c r="O193" s="223">
        <f t="shared" si="334"/>
        <v>0</v>
      </c>
      <c r="P193" s="223">
        <f t="shared" si="334"/>
        <v>0</v>
      </c>
      <c r="Q193" s="223">
        <f t="shared" si="334"/>
        <v>0</v>
      </c>
      <c r="R193" s="223">
        <f t="shared" si="334"/>
        <v>2500000</v>
      </c>
      <c r="S193" s="223">
        <f t="shared" si="334"/>
        <v>0</v>
      </c>
      <c r="T193" s="223">
        <f t="shared" si="334"/>
        <v>14993200</v>
      </c>
      <c r="U193" s="223">
        <f t="shared" si="334"/>
        <v>0</v>
      </c>
      <c r="V193" s="223">
        <f t="shared" si="334"/>
        <v>0</v>
      </c>
      <c r="W193" s="223">
        <f t="shared" si="334"/>
        <v>5085000</v>
      </c>
      <c r="X193" s="223">
        <f t="shared" si="334"/>
        <v>9041268</v>
      </c>
      <c r="Y193" s="223">
        <f t="shared" si="334"/>
        <v>0</v>
      </c>
      <c r="Z193" s="223">
        <f t="shared" si="334"/>
        <v>0</v>
      </c>
      <c r="AA193" s="223">
        <f t="shared" si="334"/>
        <v>0</v>
      </c>
      <c r="AB193" s="223">
        <f t="shared" si="334"/>
        <v>0</v>
      </c>
      <c r="AC193" s="223">
        <f t="shared" si="334"/>
        <v>0</v>
      </c>
      <c r="AD193" s="223">
        <f t="shared" si="334"/>
        <v>0</v>
      </c>
      <c r="AE193" s="223">
        <f t="shared" si="334"/>
        <v>0</v>
      </c>
      <c r="AF193" s="223">
        <f t="shared" si="334"/>
        <v>0</v>
      </c>
      <c r="AG193" s="223">
        <f t="shared" si="334"/>
        <v>0</v>
      </c>
      <c r="AH193" s="223">
        <f t="shared" si="334"/>
        <v>0</v>
      </c>
      <c r="AI193" s="223">
        <f t="shared" si="334"/>
        <v>0</v>
      </c>
      <c r="AJ193" s="223">
        <f t="shared" si="334"/>
        <v>0</v>
      </c>
      <c r="AK193" s="223">
        <f t="shared" si="334"/>
        <v>0</v>
      </c>
      <c r="AL193" s="223">
        <f t="shared" si="334"/>
        <v>0</v>
      </c>
      <c r="AM193" s="223">
        <f t="shared" si="334"/>
        <v>0</v>
      </c>
      <c r="AN193" s="223">
        <f t="shared" si="334"/>
        <v>0</v>
      </c>
      <c r="AO193" s="223">
        <f t="shared" si="334"/>
        <v>0</v>
      </c>
      <c r="AP193" s="223">
        <f t="shared" si="334"/>
        <v>0</v>
      </c>
      <c r="AQ193" s="223">
        <f t="shared" si="334"/>
        <v>0</v>
      </c>
      <c r="AR193" s="223">
        <f t="shared" si="334"/>
        <v>0</v>
      </c>
      <c r="AS193" s="223">
        <f t="shared" si="334"/>
        <v>0</v>
      </c>
      <c r="AT193" s="223">
        <f t="shared" si="327"/>
        <v>31619468</v>
      </c>
      <c r="AU193" s="231">
        <f t="shared" si="223"/>
        <v>91.293396852894475</v>
      </c>
      <c r="AV193" s="232">
        <f t="shared" si="328"/>
        <v>3015532</v>
      </c>
      <c r="AW193" s="231">
        <f t="shared" si="329"/>
        <v>8.706603147105529</v>
      </c>
      <c r="AX193" s="220" t="s">
        <v>576</v>
      </c>
      <c r="AY193" s="220" t="s">
        <v>546</v>
      </c>
      <c r="AZ193" s="220" t="s">
        <v>4729</v>
      </c>
      <c r="BA193" s="223">
        <f>SUM(BA194:BA196)</f>
        <v>0</v>
      </c>
      <c r="BB193" s="223">
        <f>SUM(BB194:BB196)</f>
        <v>2500000</v>
      </c>
      <c r="BC193" s="223">
        <f>SUM(BC194:BC196)</f>
        <v>0</v>
      </c>
      <c r="BD193" s="223">
        <f t="shared" ref="BD193" si="336">SUM(BD194:BD196)</f>
        <v>14993200</v>
      </c>
      <c r="BE193" s="223">
        <f t="shared" ref="BE193" si="337">SUM(BE194:BE196)</f>
        <v>2590000</v>
      </c>
      <c r="BF193" s="223">
        <f t="shared" ref="BF193:BG193" si="338">SUM(BF194:BF196)</f>
        <v>2495000</v>
      </c>
      <c r="BG193" s="223">
        <f t="shared" si="338"/>
        <v>9041268</v>
      </c>
      <c r="BH193" s="223">
        <f t="shared" ref="BH193" si="339">SUM(BH194:BH196)</f>
        <v>0</v>
      </c>
    </row>
    <row r="194" spans="2:64" x14ac:dyDescent="0.3">
      <c r="B194" s="288">
        <v>521211</v>
      </c>
      <c r="C194" s="220" t="s">
        <v>7</v>
      </c>
      <c r="D194" s="220"/>
      <c r="E194" s="220"/>
      <c r="F194" s="221">
        <v>14000000</v>
      </c>
      <c r="G194" s="221">
        <v>35340000</v>
      </c>
      <c r="H194" s="221"/>
      <c r="I194" s="221"/>
      <c r="J194" s="221"/>
      <c r="K194" s="221"/>
      <c r="L194" s="221"/>
      <c r="M194" s="221"/>
      <c r="N194" s="221"/>
      <c r="O194" s="221"/>
      <c r="P194" s="221"/>
      <c r="Q194" s="221"/>
      <c r="R194" s="221">
        <v>2500000</v>
      </c>
      <c r="S194" s="221"/>
      <c r="T194" s="221">
        <v>3400000</v>
      </c>
      <c r="U194" s="221"/>
      <c r="V194" s="221"/>
      <c r="W194" s="221">
        <f>2590000+2495000</f>
        <v>5085000</v>
      </c>
      <c r="X194" s="221"/>
      <c r="Y194" s="221"/>
      <c r="Z194" s="221"/>
      <c r="AA194" s="221"/>
      <c r="AB194" s="221"/>
      <c r="AC194" s="221"/>
      <c r="AD194" s="221"/>
      <c r="AE194" s="221"/>
      <c r="AF194" s="221"/>
      <c r="AG194" s="221"/>
      <c r="AH194" s="221"/>
      <c r="AI194" s="221"/>
      <c r="AJ194" s="221"/>
      <c r="AK194" s="221"/>
      <c r="AL194" s="221"/>
      <c r="AM194" s="221"/>
      <c r="AN194" s="221"/>
      <c r="AO194" s="221"/>
      <c r="AP194" s="221"/>
      <c r="AQ194" s="221"/>
      <c r="AR194" s="221"/>
      <c r="AS194" s="221"/>
      <c r="AT194" s="221">
        <f t="shared" si="327"/>
        <v>10985000</v>
      </c>
      <c r="AU194" s="224">
        <f t="shared" si="223"/>
        <v>78.464285714285722</v>
      </c>
      <c r="AV194" s="225">
        <f t="shared" si="328"/>
        <v>3015000</v>
      </c>
      <c r="AW194" s="224">
        <f t="shared" si="329"/>
        <v>21.535714285714285</v>
      </c>
      <c r="AX194" s="220" t="s">
        <v>576</v>
      </c>
      <c r="AY194" s="220" t="s">
        <v>546</v>
      </c>
      <c r="AZ194" s="220" t="s">
        <v>4729</v>
      </c>
      <c r="BA194" s="221"/>
      <c r="BB194" s="221">
        <v>2500000</v>
      </c>
      <c r="BC194" s="300"/>
      <c r="BD194" s="221">
        <v>3400000</v>
      </c>
      <c r="BE194" s="221">
        <v>2590000</v>
      </c>
      <c r="BF194" s="221">
        <v>2495000</v>
      </c>
      <c r="BG194" s="221"/>
      <c r="BH194" s="221"/>
    </row>
    <row r="195" spans="2:64" x14ac:dyDescent="0.3">
      <c r="B195" s="288">
        <v>522151</v>
      </c>
      <c r="C195" s="220" t="s">
        <v>11</v>
      </c>
      <c r="D195" s="220"/>
      <c r="E195" s="220"/>
      <c r="F195" s="221">
        <v>0</v>
      </c>
      <c r="G195" s="221">
        <v>3600000</v>
      </c>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c r="AR195" s="221"/>
      <c r="AS195" s="221"/>
      <c r="AT195" s="221">
        <f t="shared" si="327"/>
        <v>0</v>
      </c>
      <c r="AU195" s="224">
        <f t="shared" si="223"/>
        <v>0</v>
      </c>
      <c r="AV195" s="225">
        <f t="shared" si="328"/>
        <v>0</v>
      </c>
      <c r="AW195" s="224" t="e">
        <f t="shared" si="329"/>
        <v>#DIV/0!</v>
      </c>
      <c r="AX195" s="220" t="s">
        <v>576</v>
      </c>
      <c r="AY195" s="220" t="s">
        <v>546</v>
      </c>
      <c r="AZ195" s="220" t="s">
        <v>4729</v>
      </c>
      <c r="BA195" s="221"/>
      <c r="BB195" s="221"/>
      <c r="BC195" s="300"/>
      <c r="BD195" s="221"/>
      <c r="BE195" s="221"/>
      <c r="BF195" s="221"/>
      <c r="BG195" s="221"/>
      <c r="BH195" s="221"/>
    </row>
    <row r="196" spans="2:64" x14ac:dyDescent="0.3">
      <c r="B196" s="288">
        <v>524111</v>
      </c>
      <c r="C196" s="220" t="s">
        <v>19</v>
      </c>
      <c r="D196" s="220"/>
      <c r="E196" s="220"/>
      <c r="F196" s="221">
        <v>20635000</v>
      </c>
      <c r="G196" s="221">
        <v>42000000</v>
      </c>
      <c r="H196" s="221"/>
      <c r="I196" s="221"/>
      <c r="J196" s="221"/>
      <c r="K196" s="221"/>
      <c r="L196" s="221"/>
      <c r="M196" s="221"/>
      <c r="N196" s="221"/>
      <c r="O196" s="221"/>
      <c r="P196" s="221"/>
      <c r="Q196" s="221"/>
      <c r="R196" s="221"/>
      <c r="S196" s="221"/>
      <c r="T196" s="221">
        <v>11593200</v>
      </c>
      <c r="U196" s="221"/>
      <c r="V196" s="221"/>
      <c r="W196" s="221"/>
      <c r="X196" s="221">
        <v>9041268</v>
      </c>
      <c r="Y196" s="221"/>
      <c r="Z196" s="221"/>
      <c r="AA196" s="221"/>
      <c r="AB196" s="221"/>
      <c r="AC196" s="221"/>
      <c r="AD196" s="221"/>
      <c r="AE196" s="221"/>
      <c r="AF196" s="221"/>
      <c r="AG196" s="221"/>
      <c r="AH196" s="221"/>
      <c r="AI196" s="221"/>
      <c r="AJ196" s="221"/>
      <c r="AK196" s="221"/>
      <c r="AL196" s="221"/>
      <c r="AM196" s="221"/>
      <c r="AN196" s="221"/>
      <c r="AO196" s="221"/>
      <c r="AP196" s="221"/>
      <c r="AQ196" s="221"/>
      <c r="AR196" s="221"/>
      <c r="AS196" s="221"/>
      <c r="AT196" s="221">
        <f t="shared" si="327"/>
        <v>20634468</v>
      </c>
      <c r="AU196" s="224">
        <f t="shared" si="223"/>
        <v>99.997421856069778</v>
      </c>
      <c r="AV196" s="225">
        <f t="shared" si="328"/>
        <v>532</v>
      </c>
      <c r="AW196" s="224">
        <f t="shared" si="329"/>
        <v>2.578143930215653E-3</v>
      </c>
      <c r="AX196" s="220" t="s">
        <v>576</v>
      </c>
      <c r="AY196" s="220" t="s">
        <v>546</v>
      </c>
      <c r="AZ196" s="220" t="s">
        <v>4729</v>
      </c>
      <c r="BA196" s="221"/>
      <c r="BB196" s="221"/>
      <c r="BC196" s="300"/>
      <c r="BD196" s="221">
        <v>11593200</v>
      </c>
      <c r="BE196" s="221"/>
      <c r="BF196" s="221"/>
      <c r="BG196" s="221">
        <v>9041268</v>
      </c>
      <c r="BH196" s="221"/>
    </row>
    <row r="197" spans="2:64" x14ac:dyDescent="0.3">
      <c r="B197" s="290" t="s">
        <v>519</v>
      </c>
      <c r="C197" s="222" t="s">
        <v>146</v>
      </c>
      <c r="D197" s="222"/>
      <c r="E197" s="222"/>
      <c r="F197" s="223">
        <f t="shared" ref="F197:AS197" si="340">SUM(F198:F199)</f>
        <v>7500000</v>
      </c>
      <c r="G197" s="223">
        <f t="shared" ref="G197:H197" si="341">SUM(G198:G199)</f>
        <v>27000000</v>
      </c>
      <c r="H197" s="223">
        <f t="shared" si="341"/>
        <v>0</v>
      </c>
      <c r="I197" s="223"/>
      <c r="J197" s="223">
        <f t="shared" si="340"/>
        <v>0</v>
      </c>
      <c r="K197" s="223">
        <f t="shared" si="340"/>
        <v>0</v>
      </c>
      <c r="L197" s="223">
        <f t="shared" si="340"/>
        <v>0</v>
      </c>
      <c r="M197" s="223">
        <f t="shared" si="340"/>
        <v>0</v>
      </c>
      <c r="N197" s="223">
        <f t="shared" si="340"/>
        <v>0</v>
      </c>
      <c r="O197" s="223">
        <f t="shared" si="340"/>
        <v>0</v>
      </c>
      <c r="P197" s="223">
        <f t="shared" si="340"/>
        <v>0</v>
      </c>
      <c r="Q197" s="223">
        <f t="shared" si="340"/>
        <v>0</v>
      </c>
      <c r="R197" s="223">
        <f t="shared" si="340"/>
        <v>2499500</v>
      </c>
      <c r="S197" s="223">
        <f t="shared" si="340"/>
        <v>0</v>
      </c>
      <c r="T197" s="223">
        <f t="shared" si="340"/>
        <v>0</v>
      </c>
      <c r="U197" s="223">
        <f t="shared" si="340"/>
        <v>0</v>
      </c>
      <c r="V197" s="223">
        <f t="shared" si="340"/>
        <v>0</v>
      </c>
      <c r="W197" s="223">
        <f t="shared" si="340"/>
        <v>2444500</v>
      </c>
      <c r="X197" s="223">
        <f t="shared" si="340"/>
        <v>0</v>
      </c>
      <c r="Y197" s="223">
        <f t="shared" si="340"/>
        <v>0</v>
      </c>
      <c r="Z197" s="223">
        <f t="shared" si="340"/>
        <v>0</v>
      </c>
      <c r="AA197" s="223">
        <f t="shared" si="340"/>
        <v>0</v>
      </c>
      <c r="AB197" s="223">
        <f t="shared" si="340"/>
        <v>0</v>
      </c>
      <c r="AC197" s="223">
        <f t="shared" si="340"/>
        <v>0</v>
      </c>
      <c r="AD197" s="223">
        <f t="shared" si="340"/>
        <v>0</v>
      </c>
      <c r="AE197" s="223">
        <f t="shared" si="340"/>
        <v>0</v>
      </c>
      <c r="AF197" s="223">
        <f t="shared" si="340"/>
        <v>0</v>
      </c>
      <c r="AG197" s="223">
        <f t="shared" si="340"/>
        <v>0</v>
      </c>
      <c r="AH197" s="223">
        <f t="shared" si="340"/>
        <v>0</v>
      </c>
      <c r="AI197" s="223">
        <f t="shared" si="340"/>
        <v>0</v>
      </c>
      <c r="AJ197" s="223">
        <f t="shared" si="340"/>
        <v>0</v>
      </c>
      <c r="AK197" s="223">
        <f t="shared" si="340"/>
        <v>0</v>
      </c>
      <c r="AL197" s="223">
        <f t="shared" si="340"/>
        <v>0</v>
      </c>
      <c r="AM197" s="223">
        <f t="shared" si="340"/>
        <v>0</v>
      </c>
      <c r="AN197" s="223">
        <f t="shared" si="340"/>
        <v>0</v>
      </c>
      <c r="AO197" s="223">
        <f t="shared" si="340"/>
        <v>0</v>
      </c>
      <c r="AP197" s="223">
        <f t="shared" si="340"/>
        <v>0</v>
      </c>
      <c r="AQ197" s="223">
        <f t="shared" si="340"/>
        <v>0</v>
      </c>
      <c r="AR197" s="223">
        <f t="shared" si="340"/>
        <v>0</v>
      </c>
      <c r="AS197" s="223">
        <f t="shared" si="340"/>
        <v>0</v>
      </c>
      <c r="AT197" s="223">
        <f t="shared" si="327"/>
        <v>4944000</v>
      </c>
      <c r="AU197" s="231">
        <f t="shared" si="223"/>
        <v>65.92</v>
      </c>
      <c r="AV197" s="232">
        <f t="shared" si="328"/>
        <v>2556000</v>
      </c>
      <c r="AW197" s="231">
        <f t="shared" si="329"/>
        <v>34.08</v>
      </c>
      <c r="AX197" s="220" t="s">
        <v>576</v>
      </c>
      <c r="AY197" s="220" t="s">
        <v>546</v>
      </c>
      <c r="AZ197" s="220" t="s">
        <v>4729</v>
      </c>
      <c r="BA197" s="223">
        <f>SUM(BA198:BA199)</f>
        <v>0</v>
      </c>
      <c r="BB197" s="223">
        <f>SUM(BB198:BB199)</f>
        <v>2499500</v>
      </c>
      <c r="BC197" s="223">
        <f>SUM(BC198:BC199)</f>
        <v>0</v>
      </c>
      <c r="BD197" s="223">
        <f t="shared" ref="BD197" si="342">SUM(BD198:BD199)</f>
        <v>0</v>
      </c>
      <c r="BE197" s="223">
        <f t="shared" ref="BE197" si="343">SUM(BE198:BE199)</f>
        <v>0</v>
      </c>
      <c r="BF197" s="223">
        <f t="shared" ref="BF197:BG197" si="344">SUM(BF198:BF199)</f>
        <v>2444500</v>
      </c>
      <c r="BG197" s="223">
        <f t="shared" si="344"/>
        <v>0</v>
      </c>
      <c r="BH197" s="223">
        <f t="shared" ref="BH197" si="345">SUM(BH198:BH199)</f>
        <v>0</v>
      </c>
    </row>
    <row r="198" spans="2:64" x14ac:dyDescent="0.3">
      <c r="B198" s="288">
        <v>521211</v>
      </c>
      <c r="C198" s="220" t="s">
        <v>7</v>
      </c>
      <c r="D198" s="220"/>
      <c r="E198" s="220"/>
      <c r="F198" s="221">
        <v>7500000</v>
      </c>
      <c r="G198" s="221">
        <v>15000000</v>
      </c>
      <c r="H198" s="221"/>
      <c r="I198" s="221"/>
      <c r="J198" s="221"/>
      <c r="K198" s="221"/>
      <c r="L198" s="221"/>
      <c r="M198" s="221"/>
      <c r="N198" s="221"/>
      <c r="O198" s="221"/>
      <c r="P198" s="221"/>
      <c r="Q198" s="221"/>
      <c r="R198" s="221">
        <v>2499500</v>
      </c>
      <c r="S198" s="221"/>
      <c r="T198" s="221"/>
      <c r="U198" s="221"/>
      <c r="V198" s="221"/>
      <c r="W198" s="221">
        <v>2444500</v>
      </c>
      <c r="X198" s="221"/>
      <c r="Y198" s="221"/>
      <c r="Z198" s="221"/>
      <c r="AA198" s="221"/>
      <c r="AB198" s="221"/>
      <c r="AC198" s="221"/>
      <c r="AD198" s="221"/>
      <c r="AE198" s="221"/>
      <c r="AF198" s="221"/>
      <c r="AG198" s="221"/>
      <c r="AH198" s="221"/>
      <c r="AI198" s="221"/>
      <c r="AJ198" s="221"/>
      <c r="AK198" s="221"/>
      <c r="AL198" s="221"/>
      <c r="AM198" s="221"/>
      <c r="AN198" s="221"/>
      <c r="AO198" s="221"/>
      <c r="AP198" s="221"/>
      <c r="AQ198" s="221"/>
      <c r="AR198" s="221"/>
      <c r="AS198" s="221"/>
      <c r="AT198" s="221">
        <f t="shared" si="327"/>
        <v>4944000</v>
      </c>
      <c r="AU198" s="224">
        <f t="shared" si="223"/>
        <v>65.92</v>
      </c>
      <c r="AV198" s="225">
        <f t="shared" si="328"/>
        <v>2556000</v>
      </c>
      <c r="AW198" s="224">
        <f t="shared" si="329"/>
        <v>34.08</v>
      </c>
      <c r="AX198" s="220" t="s">
        <v>576</v>
      </c>
      <c r="AY198" s="220" t="s">
        <v>546</v>
      </c>
      <c r="AZ198" s="220" t="s">
        <v>4729</v>
      </c>
      <c r="BA198" s="221"/>
      <c r="BB198" s="221">
        <v>2499500</v>
      </c>
      <c r="BC198" s="300"/>
      <c r="BD198" s="221"/>
      <c r="BE198" s="221"/>
      <c r="BF198" s="221">
        <v>2444500</v>
      </c>
      <c r="BG198" s="221"/>
      <c r="BH198" s="221"/>
    </row>
    <row r="199" spans="2:64" x14ac:dyDescent="0.3">
      <c r="B199" s="288">
        <v>524111</v>
      </c>
      <c r="C199" s="220" t="s">
        <v>19</v>
      </c>
      <c r="D199" s="220"/>
      <c r="E199" s="220"/>
      <c r="F199" s="221">
        <v>0</v>
      </c>
      <c r="G199" s="221">
        <v>12000000</v>
      </c>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c r="AR199" s="221"/>
      <c r="AS199" s="221"/>
      <c r="AT199" s="221">
        <f t="shared" si="327"/>
        <v>0</v>
      </c>
      <c r="AU199" s="224">
        <f t="shared" si="223"/>
        <v>0</v>
      </c>
      <c r="AV199" s="225">
        <f t="shared" si="328"/>
        <v>0</v>
      </c>
      <c r="AW199" s="224" t="e">
        <f t="shared" si="329"/>
        <v>#DIV/0!</v>
      </c>
      <c r="AX199" s="220" t="s">
        <v>576</v>
      </c>
      <c r="AY199" s="220" t="s">
        <v>546</v>
      </c>
      <c r="AZ199" s="220" t="s">
        <v>4729</v>
      </c>
      <c r="BA199" s="221"/>
      <c r="BB199" s="221"/>
      <c r="BC199" s="300"/>
      <c r="BD199" s="221"/>
      <c r="BE199" s="221"/>
      <c r="BF199" s="221"/>
      <c r="BG199" s="221"/>
      <c r="BH199" s="221"/>
    </row>
    <row r="200" spans="2:64" x14ac:dyDescent="0.3">
      <c r="B200" s="290" t="s">
        <v>578</v>
      </c>
      <c r="C200" s="222" t="s">
        <v>147</v>
      </c>
      <c r="D200" s="222"/>
      <c r="E200" s="222"/>
      <c r="F200" s="223">
        <f t="shared" ref="F200:AS200" si="346">SUM(F201:F203)</f>
        <v>108333000</v>
      </c>
      <c r="G200" s="223">
        <f t="shared" ref="G200:H200" si="347">SUM(G201:G203)</f>
        <v>88680000</v>
      </c>
      <c r="H200" s="223">
        <f t="shared" si="347"/>
        <v>0</v>
      </c>
      <c r="I200" s="223"/>
      <c r="J200" s="223">
        <f t="shared" si="346"/>
        <v>0</v>
      </c>
      <c r="K200" s="223">
        <f t="shared" si="346"/>
        <v>0</v>
      </c>
      <c r="L200" s="223">
        <f t="shared" si="346"/>
        <v>0</v>
      </c>
      <c r="M200" s="223">
        <f t="shared" si="346"/>
        <v>0</v>
      </c>
      <c r="N200" s="223">
        <f t="shared" si="346"/>
        <v>0</v>
      </c>
      <c r="O200" s="223">
        <f t="shared" si="346"/>
        <v>0</v>
      </c>
      <c r="P200" s="223">
        <f t="shared" si="346"/>
        <v>0</v>
      </c>
      <c r="Q200" s="223">
        <f t="shared" si="346"/>
        <v>13350000</v>
      </c>
      <c r="R200" s="223">
        <f t="shared" si="346"/>
        <v>37050000</v>
      </c>
      <c r="S200" s="223">
        <f t="shared" si="346"/>
        <v>0</v>
      </c>
      <c r="T200" s="223">
        <f t="shared" si="346"/>
        <v>2490000</v>
      </c>
      <c r="U200" s="223">
        <f t="shared" si="346"/>
        <v>0</v>
      </c>
      <c r="V200" s="223">
        <f t="shared" si="346"/>
        <v>0</v>
      </c>
      <c r="W200" s="223">
        <f t="shared" si="346"/>
        <v>5600000</v>
      </c>
      <c r="X200" s="223">
        <f t="shared" si="346"/>
        <v>4170000</v>
      </c>
      <c r="Y200" s="223">
        <f t="shared" si="346"/>
        <v>0</v>
      </c>
      <c r="Z200" s="223">
        <f t="shared" si="346"/>
        <v>0</v>
      </c>
      <c r="AA200" s="223">
        <f t="shared" si="346"/>
        <v>2030000</v>
      </c>
      <c r="AB200" s="223">
        <f t="shared" si="346"/>
        <v>0</v>
      </c>
      <c r="AC200" s="223">
        <f t="shared" si="346"/>
        <v>0</v>
      </c>
      <c r="AD200" s="223">
        <f t="shared" si="346"/>
        <v>0</v>
      </c>
      <c r="AE200" s="223">
        <f t="shared" si="346"/>
        <v>0</v>
      </c>
      <c r="AF200" s="223">
        <f t="shared" si="346"/>
        <v>0</v>
      </c>
      <c r="AG200" s="223">
        <f t="shared" si="346"/>
        <v>0</v>
      </c>
      <c r="AH200" s="223">
        <f t="shared" si="346"/>
        <v>0</v>
      </c>
      <c r="AI200" s="223">
        <f t="shared" si="346"/>
        <v>0</v>
      </c>
      <c r="AJ200" s="223">
        <f t="shared" si="346"/>
        <v>0</v>
      </c>
      <c r="AK200" s="223">
        <f t="shared" si="346"/>
        <v>0</v>
      </c>
      <c r="AL200" s="223">
        <f t="shared" si="346"/>
        <v>0</v>
      </c>
      <c r="AM200" s="223">
        <f t="shared" si="346"/>
        <v>0</v>
      </c>
      <c r="AN200" s="223">
        <f t="shared" si="346"/>
        <v>0</v>
      </c>
      <c r="AO200" s="223">
        <f t="shared" si="346"/>
        <v>0</v>
      </c>
      <c r="AP200" s="223">
        <f t="shared" si="346"/>
        <v>0</v>
      </c>
      <c r="AQ200" s="223">
        <f t="shared" si="346"/>
        <v>0</v>
      </c>
      <c r="AR200" s="223">
        <f t="shared" si="346"/>
        <v>0</v>
      </c>
      <c r="AS200" s="223">
        <f t="shared" si="346"/>
        <v>0</v>
      </c>
      <c r="AT200" s="223">
        <f t="shared" si="327"/>
        <v>64690000</v>
      </c>
      <c r="AU200" s="231">
        <f t="shared" si="223"/>
        <v>59.714029889322738</v>
      </c>
      <c r="AV200" s="232">
        <f t="shared" si="328"/>
        <v>43643000</v>
      </c>
      <c r="AW200" s="231">
        <f t="shared" si="329"/>
        <v>40.285970110677269</v>
      </c>
      <c r="AX200" s="220" t="s">
        <v>576</v>
      </c>
      <c r="AY200" s="220" t="s">
        <v>546</v>
      </c>
      <c r="AZ200" s="220" t="s">
        <v>4729</v>
      </c>
      <c r="BA200" s="223">
        <f>SUM(BA201:BA203)</f>
        <v>0</v>
      </c>
      <c r="BB200" s="223">
        <f>SUM(BB201:BB203)</f>
        <v>37050000</v>
      </c>
      <c r="BC200" s="223">
        <f>SUM(BC201:BC203)</f>
        <v>13350000</v>
      </c>
      <c r="BD200" s="223">
        <f t="shared" ref="BD200" si="348">SUM(BD201:BD203)</f>
        <v>2490000</v>
      </c>
      <c r="BE200" s="223">
        <f t="shared" ref="BE200" si="349">SUM(BE201:BE203)</f>
        <v>5600000</v>
      </c>
      <c r="BF200" s="223">
        <f t="shared" ref="BF200:BG200" si="350">SUM(BF201:BF203)</f>
        <v>0</v>
      </c>
      <c r="BG200" s="223">
        <f t="shared" si="350"/>
        <v>4170000</v>
      </c>
      <c r="BH200" s="223">
        <f t="shared" ref="BH200" si="351">SUM(BH201:BH203)</f>
        <v>2030000</v>
      </c>
    </row>
    <row r="201" spans="2:64" x14ac:dyDescent="0.3">
      <c r="B201" s="288">
        <v>521211</v>
      </c>
      <c r="C201" s="220" t="s">
        <v>7</v>
      </c>
      <c r="D201" s="220"/>
      <c r="E201" s="220"/>
      <c r="F201" s="221">
        <v>4800000</v>
      </c>
      <c r="G201" s="221">
        <v>4800000</v>
      </c>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c r="AR201" s="221"/>
      <c r="AS201" s="221"/>
      <c r="AT201" s="221">
        <f t="shared" si="327"/>
        <v>0</v>
      </c>
      <c r="AU201" s="224">
        <f t="shared" si="223"/>
        <v>0</v>
      </c>
      <c r="AV201" s="225">
        <f t="shared" si="328"/>
        <v>4800000</v>
      </c>
      <c r="AW201" s="224">
        <f t="shared" si="329"/>
        <v>100</v>
      </c>
      <c r="AX201" s="220" t="s">
        <v>576</v>
      </c>
      <c r="AY201" s="220" t="s">
        <v>546</v>
      </c>
      <c r="AZ201" s="220" t="s">
        <v>4729</v>
      </c>
      <c r="BA201" s="221"/>
      <c r="BB201" s="221"/>
      <c r="BC201" s="300"/>
      <c r="BD201" s="221"/>
      <c r="BE201" s="221"/>
      <c r="BF201" s="221"/>
      <c r="BG201" s="221"/>
      <c r="BH201" s="221"/>
    </row>
    <row r="202" spans="2:64" x14ac:dyDescent="0.3">
      <c r="B202" s="288">
        <v>521811</v>
      </c>
      <c r="C202" s="220" t="s">
        <v>64</v>
      </c>
      <c r="D202" s="220"/>
      <c r="E202" s="220"/>
      <c r="F202" s="221">
        <v>27500000</v>
      </c>
      <c r="G202" s="221">
        <v>27500000</v>
      </c>
      <c r="H202" s="221"/>
      <c r="I202" s="221"/>
      <c r="J202" s="221"/>
      <c r="K202" s="221"/>
      <c r="L202" s="221"/>
      <c r="M202" s="221"/>
      <c r="N202" s="221"/>
      <c r="O202" s="221"/>
      <c r="P202" s="221"/>
      <c r="Q202" s="300">
        <v>2490000</v>
      </c>
      <c r="R202" s="221">
        <v>2490000</v>
      </c>
      <c r="S202" s="221"/>
      <c r="T202" s="221">
        <v>2490000</v>
      </c>
      <c r="U202" s="221"/>
      <c r="V202" s="221"/>
      <c r="W202" s="221"/>
      <c r="X202" s="221">
        <v>2490000</v>
      </c>
      <c r="Y202" s="221"/>
      <c r="Z202" s="221"/>
      <c r="AA202" s="221"/>
      <c r="AB202" s="221"/>
      <c r="AC202" s="221"/>
      <c r="AD202" s="221"/>
      <c r="AE202" s="221"/>
      <c r="AF202" s="221"/>
      <c r="AG202" s="221"/>
      <c r="AH202" s="221"/>
      <c r="AI202" s="221"/>
      <c r="AJ202" s="221"/>
      <c r="AK202" s="221"/>
      <c r="AL202" s="221"/>
      <c r="AM202" s="221"/>
      <c r="AN202" s="221"/>
      <c r="AO202" s="221"/>
      <c r="AP202" s="221"/>
      <c r="AQ202" s="221"/>
      <c r="AR202" s="221"/>
      <c r="AS202" s="221"/>
      <c r="AT202" s="221">
        <f t="shared" si="327"/>
        <v>9960000</v>
      </c>
      <c r="AU202" s="224">
        <f t="shared" si="223"/>
        <v>36.218181818181819</v>
      </c>
      <c r="AV202" s="225">
        <f t="shared" si="328"/>
        <v>17540000</v>
      </c>
      <c r="AW202" s="224">
        <f t="shared" si="329"/>
        <v>63.781818181818181</v>
      </c>
      <c r="AX202" s="220" t="s">
        <v>576</v>
      </c>
      <c r="AY202" s="220" t="s">
        <v>546</v>
      </c>
      <c r="AZ202" s="220" t="s">
        <v>4729</v>
      </c>
      <c r="BA202" s="221"/>
      <c r="BB202" s="221">
        <v>2490000</v>
      </c>
      <c r="BC202" s="300">
        <v>2490000</v>
      </c>
      <c r="BD202" s="221">
        <v>2490000</v>
      </c>
      <c r="BE202" s="221"/>
      <c r="BF202" s="221"/>
      <c r="BG202" s="221">
        <v>2490000</v>
      </c>
      <c r="BH202" s="221"/>
    </row>
    <row r="203" spans="2:64" x14ac:dyDescent="0.3">
      <c r="B203" s="288">
        <v>524111</v>
      </c>
      <c r="C203" s="220" t="s">
        <v>19</v>
      </c>
      <c r="D203" s="220"/>
      <c r="E203" s="220"/>
      <c r="F203" s="221">
        <v>76033000</v>
      </c>
      <c r="G203" s="221">
        <v>56380000</v>
      </c>
      <c r="H203" s="221"/>
      <c r="I203" s="221"/>
      <c r="J203" s="221"/>
      <c r="K203" s="221"/>
      <c r="L203" s="221"/>
      <c r="M203" s="221"/>
      <c r="N203" s="221"/>
      <c r="O203" s="221"/>
      <c r="P203" s="221"/>
      <c r="Q203" s="300">
        <v>10860000</v>
      </c>
      <c r="R203" s="221">
        <v>34560000</v>
      </c>
      <c r="S203" s="221"/>
      <c r="T203" s="221"/>
      <c r="U203" s="221"/>
      <c r="V203" s="221"/>
      <c r="W203" s="221">
        <v>5600000</v>
      </c>
      <c r="X203" s="221">
        <v>1680000</v>
      </c>
      <c r="Y203" s="221"/>
      <c r="Z203" s="221"/>
      <c r="AA203" s="221">
        <v>2030000</v>
      </c>
      <c r="AB203" s="221"/>
      <c r="AC203" s="221"/>
      <c r="AD203" s="221"/>
      <c r="AE203" s="221"/>
      <c r="AF203" s="221"/>
      <c r="AG203" s="221"/>
      <c r="AH203" s="221"/>
      <c r="AI203" s="221"/>
      <c r="AJ203" s="221"/>
      <c r="AK203" s="221"/>
      <c r="AL203" s="221"/>
      <c r="AM203" s="221"/>
      <c r="AN203" s="221"/>
      <c r="AO203" s="221"/>
      <c r="AP203" s="221"/>
      <c r="AQ203" s="221"/>
      <c r="AR203" s="221"/>
      <c r="AS203" s="221"/>
      <c r="AT203" s="221">
        <f t="shared" si="327"/>
        <v>54730000</v>
      </c>
      <c r="AU203" s="224">
        <f t="shared" si="223"/>
        <v>71.981902594925884</v>
      </c>
      <c r="AV203" s="225">
        <f t="shared" si="328"/>
        <v>21303000</v>
      </c>
      <c r="AW203" s="224">
        <f t="shared" si="329"/>
        <v>28.018097405074112</v>
      </c>
      <c r="AX203" s="220" t="s">
        <v>576</v>
      </c>
      <c r="AY203" s="220" t="s">
        <v>546</v>
      </c>
      <c r="AZ203" s="220" t="s">
        <v>4729</v>
      </c>
      <c r="BA203" s="221"/>
      <c r="BB203" s="221">
        <v>34560000</v>
      </c>
      <c r="BC203" s="300">
        <v>10860000</v>
      </c>
      <c r="BD203" s="221"/>
      <c r="BE203" s="221">
        <v>5600000</v>
      </c>
      <c r="BF203" s="221"/>
      <c r="BG203" s="221">
        <v>1680000</v>
      </c>
      <c r="BH203" s="221">
        <v>2030000</v>
      </c>
    </row>
    <row r="204" spans="2:64" x14ac:dyDescent="0.3">
      <c r="B204" s="226">
        <v>4345</v>
      </c>
      <c r="C204" s="227" t="s">
        <v>188</v>
      </c>
      <c r="D204" s="227"/>
      <c r="E204" s="227"/>
      <c r="F204" s="228">
        <f t="shared" ref="F204:X205" si="352">F205</f>
        <v>6082500000</v>
      </c>
      <c r="G204" s="228">
        <f t="shared" si="352"/>
        <v>8582500000</v>
      </c>
      <c r="H204" s="228">
        <f t="shared" si="352"/>
        <v>0</v>
      </c>
      <c r="I204" s="228"/>
      <c r="J204" s="228">
        <f t="shared" si="352"/>
        <v>0</v>
      </c>
      <c r="K204" s="228">
        <f t="shared" si="352"/>
        <v>0</v>
      </c>
      <c r="L204" s="228">
        <f t="shared" si="352"/>
        <v>0</v>
      </c>
      <c r="M204" s="228">
        <f t="shared" si="352"/>
        <v>0</v>
      </c>
      <c r="N204" s="228">
        <f t="shared" si="352"/>
        <v>0</v>
      </c>
      <c r="O204" s="228">
        <f t="shared" si="352"/>
        <v>0</v>
      </c>
      <c r="P204" s="228">
        <f t="shared" si="352"/>
        <v>0</v>
      </c>
      <c r="Q204" s="228">
        <f t="shared" si="352"/>
        <v>0</v>
      </c>
      <c r="R204" s="228">
        <f t="shared" si="352"/>
        <v>0</v>
      </c>
      <c r="S204" s="228">
        <f t="shared" si="352"/>
        <v>1555695356</v>
      </c>
      <c r="T204" s="228">
        <f t="shared" si="352"/>
        <v>0</v>
      </c>
      <c r="U204" s="228">
        <f t="shared" si="352"/>
        <v>0</v>
      </c>
      <c r="V204" s="228">
        <f t="shared" si="352"/>
        <v>0</v>
      </c>
      <c r="W204" s="228">
        <f t="shared" si="352"/>
        <v>0</v>
      </c>
      <c r="X204" s="228">
        <f t="shared" si="352"/>
        <v>37892633</v>
      </c>
      <c r="Y204" s="228">
        <f t="shared" ref="J204:AS205" si="353">Y205</f>
        <v>1880236423</v>
      </c>
      <c r="Z204" s="228">
        <f t="shared" si="353"/>
        <v>0</v>
      </c>
      <c r="AA204" s="228">
        <f t="shared" si="353"/>
        <v>2889500</v>
      </c>
      <c r="AB204" s="228">
        <f t="shared" si="353"/>
        <v>0</v>
      </c>
      <c r="AC204" s="228">
        <f t="shared" si="353"/>
        <v>0</v>
      </c>
      <c r="AD204" s="228">
        <f t="shared" si="353"/>
        <v>0</v>
      </c>
      <c r="AE204" s="228">
        <f t="shared" si="353"/>
        <v>0</v>
      </c>
      <c r="AF204" s="228">
        <f t="shared" si="353"/>
        <v>0</v>
      </c>
      <c r="AG204" s="228">
        <f t="shared" si="353"/>
        <v>0</v>
      </c>
      <c r="AH204" s="228">
        <f t="shared" si="353"/>
        <v>0</v>
      </c>
      <c r="AI204" s="228">
        <f t="shared" si="353"/>
        <v>0</v>
      </c>
      <c r="AJ204" s="228">
        <f t="shared" si="353"/>
        <v>0</v>
      </c>
      <c r="AK204" s="228">
        <f t="shared" si="353"/>
        <v>0</v>
      </c>
      <c r="AL204" s="228">
        <f t="shared" si="353"/>
        <v>0</v>
      </c>
      <c r="AM204" s="228">
        <f t="shared" si="353"/>
        <v>0</v>
      </c>
      <c r="AN204" s="228">
        <f t="shared" si="353"/>
        <v>0</v>
      </c>
      <c r="AO204" s="228">
        <f t="shared" si="353"/>
        <v>0</v>
      </c>
      <c r="AP204" s="228">
        <f t="shared" si="353"/>
        <v>0</v>
      </c>
      <c r="AQ204" s="228">
        <f t="shared" si="353"/>
        <v>0</v>
      </c>
      <c r="AR204" s="228">
        <f t="shared" si="353"/>
        <v>0</v>
      </c>
      <c r="AS204" s="228">
        <f t="shared" si="353"/>
        <v>0</v>
      </c>
      <c r="AT204" s="228">
        <f t="shared" si="327"/>
        <v>3476713912</v>
      </c>
      <c r="AU204" s="229">
        <f t="shared" si="223"/>
        <v>57.159291607069463</v>
      </c>
      <c r="AV204" s="230">
        <f t="shared" si="328"/>
        <v>2605786088</v>
      </c>
      <c r="AW204" s="229">
        <f t="shared" si="329"/>
        <v>42.840708392930537</v>
      </c>
      <c r="AX204" s="220" t="s">
        <v>542</v>
      </c>
      <c r="AY204" s="220" t="s">
        <v>543</v>
      </c>
      <c r="AZ204" s="220" t="s">
        <v>4729</v>
      </c>
      <c r="BA204" s="228">
        <f t="shared" ref="BA204:BH205" si="354">BA205</f>
        <v>0</v>
      </c>
      <c r="BB204" s="228">
        <f t="shared" si="354"/>
        <v>0</v>
      </c>
      <c r="BC204" s="228">
        <f t="shared" si="354"/>
        <v>0</v>
      </c>
      <c r="BD204" s="228">
        <f t="shared" si="354"/>
        <v>0</v>
      </c>
      <c r="BE204" s="228">
        <f t="shared" si="354"/>
        <v>0</v>
      </c>
      <c r="BF204" s="228">
        <f>BF205</f>
        <v>0</v>
      </c>
      <c r="BG204" s="228">
        <f t="shared" si="354"/>
        <v>37892633</v>
      </c>
      <c r="BH204" s="228">
        <f t="shared" si="354"/>
        <v>2889500</v>
      </c>
      <c r="BL204" t="s">
        <v>4644</v>
      </c>
    </row>
    <row r="205" spans="2:64" x14ac:dyDescent="0.3">
      <c r="B205" s="226" t="s">
        <v>3474</v>
      </c>
      <c r="C205" s="227" t="s">
        <v>2312</v>
      </c>
      <c r="D205" s="227">
        <v>4725</v>
      </c>
      <c r="E205" s="227" t="s">
        <v>155</v>
      </c>
      <c r="F205" s="228">
        <f t="shared" si="352"/>
        <v>6082500000</v>
      </c>
      <c r="G205" s="228">
        <f t="shared" si="352"/>
        <v>8582500000</v>
      </c>
      <c r="H205" s="228">
        <f t="shared" si="352"/>
        <v>0</v>
      </c>
      <c r="I205" s="228"/>
      <c r="J205" s="228">
        <f t="shared" si="353"/>
        <v>0</v>
      </c>
      <c r="K205" s="228">
        <f t="shared" si="353"/>
        <v>0</v>
      </c>
      <c r="L205" s="228">
        <f t="shared" si="353"/>
        <v>0</v>
      </c>
      <c r="M205" s="228">
        <f t="shared" si="353"/>
        <v>0</v>
      </c>
      <c r="N205" s="228">
        <f t="shared" si="353"/>
        <v>0</v>
      </c>
      <c r="O205" s="228">
        <f t="shared" si="353"/>
        <v>0</v>
      </c>
      <c r="P205" s="228">
        <f t="shared" si="353"/>
        <v>0</v>
      </c>
      <c r="Q205" s="228">
        <f t="shared" si="353"/>
        <v>0</v>
      </c>
      <c r="R205" s="228">
        <f t="shared" si="353"/>
        <v>0</v>
      </c>
      <c r="S205" s="228">
        <f t="shared" si="353"/>
        <v>1555695356</v>
      </c>
      <c r="T205" s="228">
        <f t="shared" si="353"/>
        <v>0</v>
      </c>
      <c r="U205" s="228">
        <f t="shared" si="353"/>
        <v>0</v>
      </c>
      <c r="V205" s="228">
        <f t="shared" si="353"/>
        <v>0</v>
      </c>
      <c r="W205" s="228">
        <f t="shared" si="353"/>
        <v>0</v>
      </c>
      <c r="X205" s="228">
        <f t="shared" si="353"/>
        <v>37892633</v>
      </c>
      <c r="Y205" s="228">
        <f t="shared" si="353"/>
        <v>1880236423</v>
      </c>
      <c r="Z205" s="228">
        <f t="shared" si="353"/>
        <v>0</v>
      </c>
      <c r="AA205" s="228">
        <f t="shared" si="353"/>
        <v>2889500</v>
      </c>
      <c r="AB205" s="228">
        <f t="shared" si="353"/>
        <v>0</v>
      </c>
      <c r="AC205" s="228">
        <f t="shared" si="353"/>
        <v>0</v>
      </c>
      <c r="AD205" s="228">
        <f t="shared" si="353"/>
        <v>0</v>
      </c>
      <c r="AE205" s="228">
        <f t="shared" si="353"/>
        <v>0</v>
      </c>
      <c r="AF205" s="228">
        <f t="shared" si="353"/>
        <v>0</v>
      </c>
      <c r="AG205" s="228">
        <f t="shared" si="353"/>
        <v>0</v>
      </c>
      <c r="AH205" s="228">
        <f t="shared" si="353"/>
        <v>0</v>
      </c>
      <c r="AI205" s="228">
        <f t="shared" si="353"/>
        <v>0</v>
      </c>
      <c r="AJ205" s="228">
        <f t="shared" si="353"/>
        <v>0</v>
      </c>
      <c r="AK205" s="228">
        <f t="shared" si="353"/>
        <v>0</v>
      </c>
      <c r="AL205" s="228">
        <f t="shared" si="353"/>
        <v>0</v>
      </c>
      <c r="AM205" s="228">
        <f t="shared" si="353"/>
        <v>0</v>
      </c>
      <c r="AN205" s="228">
        <f t="shared" si="353"/>
        <v>0</v>
      </c>
      <c r="AO205" s="228">
        <f t="shared" si="353"/>
        <v>0</v>
      </c>
      <c r="AP205" s="228">
        <f t="shared" si="353"/>
        <v>0</v>
      </c>
      <c r="AQ205" s="228">
        <f t="shared" si="353"/>
        <v>0</v>
      </c>
      <c r="AR205" s="228">
        <f t="shared" si="353"/>
        <v>0</v>
      </c>
      <c r="AS205" s="228">
        <f t="shared" si="353"/>
        <v>0</v>
      </c>
      <c r="AT205" s="228">
        <f t="shared" si="327"/>
        <v>3476713912</v>
      </c>
      <c r="AU205" s="229">
        <f t="shared" si="223"/>
        <v>57.159291607069463</v>
      </c>
      <c r="AV205" s="230">
        <f t="shared" si="328"/>
        <v>2605786088</v>
      </c>
      <c r="AW205" s="229">
        <f t="shared" si="329"/>
        <v>42.840708392930537</v>
      </c>
      <c r="AX205" s="220" t="s">
        <v>542</v>
      </c>
      <c r="AY205" s="220" t="s">
        <v>543</v>
      </c>
      <c r="AZ205" s="220" t="s">
        <v>4729</v>
      </c>
      <c r="BA205" s="228">
        <f t="shared" si="354"/>
        <v>0</v>
      </c>
      <c r="BB205" s="228">
        <f t="shared" si="354"/>
        <v>0</v>
      </c>
      <c r="BC205" s="228">
        <f t="shared" si="354"/>
        <v>0</v>
      </c>
      <c r="BD205" s="228">
        <f t="shared" si="354"/>
        <v>0</v>
      </c>
      <c r="BE205" s="228">
        <f t="shared" si="354"/>
        <v>0</v>
      </c>
      <c r="BF205" s="228">
        <f t="shared" si="354"/>
        <v>0</v>
      </c>
      <c r="BG205" s="228">
        <f t="shared" si="354"/>
        <v>37892633</v>
      </c>
      <c r="BH205" s="228">
        <f t="shared" si="354"/>
        <v>2889500</v>
      </c>
    </row>
    <row r="206" spans="2:64" x14ac:dyDescent="0.3">
      <c r="B206" s="226" t="s">
        <v>4611</v>
      </c>
      <c r="C206" s="227" t="s">
        <v>3477</v>
      </c>
      <c r="D206" s="227">
        <v>4725</v>
      </c>
      <c r="E206" s="227" t="s">
        <v>155</v>
      </c>
      <c r="F206" s="228">
        <f>F207+F227</f>
        <v>6082500000</v>
      </c>
      <c r="G206" s="228">
        <f>G207+G227</f>
        <v>8582500000</v>
      </c>
      <c r="H206" s="228">
        <f>H207+H227</f>
        <v>0</v>
      </c>
      <c r="I206" s="228"/>
      <c r="J206" s="228">
        <f t="shared" ref="J206:AS206" si="355">J207+J227</f>
        <v>0</v>
      </c>
      <c r="K206" s="228">
        <f t="shared" si="355"/>
        <v>0</v>
      </c>
      <c r="L206" s="228">
        <f t="shared" si="355"/>
        <v>0</v>
      </c>
      <c r="M206" s="228">
        <f t="shared" si="355"/>
        <v>0</v>
      </c>
      <c r="N206" s="228">
        <f t="shared" si="355"/>
        <v>0</v>
      </c>
      <c r="O206" s="228">
        <f t="shared" si="355"/>
        <v>0</v>
      </c>
      <c r="P206" s="228">
        <f t="shared" si="355"/>
        <v>0</v>
      </c>
      <c r="Q206" s="228">
        <f t="shared" si="355"/>
        <v>0</v>
      </c>
      <c r="R206" s="228">
        <f t="shared" si="355"/>
        <v>0</v>
      </c>
      <c r="S206" s="228">
        <f t="shared" si="355"/>
        <v>1555695356</v>
      </c>
      <c r="T206" s="228">
        <f t="shared" si="355"/>
        <v>0</v>
      </c>
      <c r="U206" s="228">
        <f t="shared" si="355"/>
        <v>0</v>
      </c>
      <c r="V206" s="228">
        <f t="shared" si="355"/>
        <v>0</v>
      </c>
      <c r="W206" s="228">
        <f t="shared" si="355"/>
        <v>0</v>
      </c>
      <c r="X206" s="228">
        <f t="shared" si="355"/>
        <v>37892633</v>
      </c>
      <c r="Y206" s="228">
        <f t="shared" si="355"/>
        <v>1880236423</v>
      </c>
      <c r="Z206" s="228">
        <f t="shared" si="355"/>
        <v>0</v>
      </c>
      <c r="AA206" s="228">
        <f t="shared" si="355"/>
        <v>2889500</v>
      </c>
      <c r="AB206" s="228">
        <f t="shared" si="355"/>
        <v>0</v>
      </c>
      <c r="AC206" s="228">
        <f t="shared" si="355"/>
        <v>0</v>
      </c>
      <c r="AD206" s="228">
        <f t="shared" si="355"/>
        <v>0</v>
      </c>
      <c r="AE206" s="228">
        <f t="shared" si="355"/>
        <v>0</v>
      </c>
      <c r="AF206" s="228">
        <f t="shared" si="355"/>
        <v>0</v>
      </c>
      <c r="AG206" s="228">
        <f t="shared" si="355"/>
        <v>0</v>
      </c>
      <c r="AH206" s="228">
        <f t="shared" si="355"/>
        <v>0</v>
      </c>
      <c r="AI206" s="228">
        <f t="shared" si="355"/>
        <v>0</v>
      </c>
      <c r="AJ206" s="228">
        <f t="shared" si="355"/>
        <v>0</v>
      </c>
      <c r="AK206" s="228">
        <f t="shared" si="355"/>
        <v>0</v>
      </c>
      <c r="AL206" s="228">
        <f t="shared" si="355"/>
        <v>0</v>
      </c>
      <c r="AM206" s="228">
        <f t="shared" si="355"/>
        <v>0</v>
      </c>
      <c r="AN206" s="228">
        <f t="shared" si="355"/>
        <v>0</v>
      </c>
      <c r="AO206" s="228">
        <f t="shared" si="355"/>
        <v>0</v>
      </c>
      <c r="AP206" s="228">
        <f t="shared" si="355"/>
        <v>0</v>
      </c>
      <c r="AQ206" s="228">
        <f t="shared" si="355"/>
        <v>0</v>
      </c>
      <c r="AR206" s="228">
        <f t="shared" si="355"/>
        <v>0</v>
      </c>
      <c r="AS206" s="228">
        <f t="shared" si="355"/>
        <v>0</v>
      </c>
      <c r="AT206" s="228">
        <f t="shared" si="327"/>
        <v>3476713912</v>
      </c>
      <c r="AU206" s="229">
        <f t="shared" si="223"/>
        <v>57.159291607069463</v>
      </c>
      <c r="AV206" s="230">
        <f t="shared" si="328"/>
        <v>2605786088</v>
      </c>
      <c r="AW206" s="229">
        <f t="shared" si="329"/>
        <v>42.840708392930537</v>
      </c>
      <c r="AX206" s="220" t="s">
        <v>542</v>
      </c>
      <c r="AY206" s="220" t="s">
        <v>543</v>
      </c>
      <c r="AZ206" s="220" t="s">
        <v>4729</v>
      </c>
      <c r="BA206" s="228">
        <f t="shared" ref="BA206:BC206" si="356">BA207+BA227</f>
        <v>0</v>
      </c>
      <c r="BB206" s="228">
        <f t="shared" si="356"/>
        <v>0</v>
      </c>
      <c r="BC206" s="228">
        <f t="shared" si="356"/>
        <v>0</v>
      </c>
      <c r="BD206" s="228">
        <f t="shared" ref="BD206" si="357">BD207+BD227</f>
        <v>0</v>
      </c>
      <c r="BE206" s="228">
        <f t="shared" ref="BE206" si="358">BE207+BE227</f>
        <v>0</v>
      </c>
      <c r="BF206" s="228">
        <f t="shared" ref="BF206:BG206" si="359">BF207+BF227</f>
        <v>0</v>
      </c>
      <c r="BG206" s="228">
        <f t="shared" si="359"/>
        <v>37892633</v>
      </c>
      <c r="BH206" s="228">
        <f t="shared" ref="BH206" si="360">BH207+BH227</f>
        <v>2889500</v>
      </c>
    </row>
    <row r="207" spans="2:64" x14ac:dyDescent="0.3">
      <c r="B207" s="226">
        <v>301</v>
      </c>
      <c r="C207" s="227" t="s">
        <v>189</v>
      </c>
      <c r="D207" s="227"/>
      <c r="E207" s="227"/>
      <c r="F207" s="228">
        <f>F208+F215+F221+F225</f>
        <v>5973300000</v>
      </c>
      <c r="G207" s="228">
        <f>G208+G215+G221+G225</f>
        <v>8473300000</v>
      </c>
      <c r="H207" s="228">
        <f>H208+H215+H221+H225</f>
        <v>0</v>
      </c>
      <c r="I207" s="228"/>
      <c r="J207" s="228">
        <f t="shared" ref="J207:AS207" si="361">J208+J215+J221+J225</f>
        <v>0</v>
      </c>
      <c r="K207" s="228">
        <f t="shared" si="361"/>
        <v>0</v>
      </c>
      <c r="L207" s="228">
        <f t="shared" si="361"/>
        <v>0</v>
      </c>
      <c r="M207" s="228">
        <f t="shared" si="361"/>
        <v>0</v>
      </c>
      <c r="N207" s="228">
        <f t="shared" si="361"/>
        <v>0</v>
      </c>
      <c r="O207" s="228">
        <f t="shared" si="361"/>
        <v>0</v>
      </c>
      <c r="P207" s="228">
        <f t="shared" si="361"/>
        <v>0</v>
      </c>
      <c r="Q207" s="228">
        <f t="shared" si="361"/>
        <v>0</v>
      </c>
      <c r="R207" s="228">
        <f t="shared" si="361"/>
        <v>0</v>
      </c>
      <c r="S207" s="228">
        <f t="shared" si="361"/>
        <v>1555695356</v>
      </c>
      <c r="T207" s="228">
        <f t="shared" si="361"/>
        <v>0</v>
      </c>
      <c r="U207" s="228">
        <f t="shared" si="361"/>
        <v>0</v>
      </c>
      <c r="V207" s="228">
        <f t="shared" si="361"/>
        <v>0</v>
      </c>
      <c r="W207" s="228">
        <f t="shared" si="361"/>
        <v>0</v>
      </c>
      <c r="X207" s="228">
        <f t="shared" si="361"/>
        <v>30086633</v>
      </c>
      <c r="Y207" s="228">
        <f t="shared" si="361"/>
        <v>1880236423</v>
      </c>
      <c r="Z207" s="228">
        <f t="shared" si="361"/>
        <v>0</v>
      </c>
      <c r="AA207" s="228">
        <f t="shared" si="361"/>
        <v>2889500</v>
      </c>
      <c r="AB207" s="228">
        <f t="shared" si="361"/>
        <v>0</v>
      </c>
      <c r="AC207" s="228">
        <f t="shared" si="361"/>
        <v>0</v>
      </c>
      <c r="AD207" s="228">
        <f t="shared" si="361"/>
        <v>0</v>
      </c>
      <c r="AE207" s="228">
        <f t="shared" si="361"/>
        <v>0</v>
      </c>
      <c r="AF207" s="228">
        <f t="shared" si="361"/>
        <v>0</v>
      </c>
      <c r="AG207" s="228">
        <f t="shared" si="361"/>
        <v>0</v>
      </c>
      <c r="AH207" s="228">
        <f t="shared" si="361"/>
        <v>0</v>
      </c>
      <c r="AI207" s="228">
        <f t="shared" si="361"/>
        <v>0</v>
      </c>
      <c r="AJ207" s="228">
        <f t="shared" si="361"/>
        <v>0</v>
      </c>
      <c r="AK207" s="228">
        <f t="shared" si="361"/>
        <v>0</v>
      </c>
      <c r="AL207" s="228">
        <f t="shared" si="361"/>
        <v>0</v>
      </c>
      <c r="AM207" s="228">
        <f t="shared" si="361"/>
        <v>0</v>
      </c>
      <c r="AN207" s="228">
        <f t="shared" si="361"/>
        <v>0</v>
      </c>
      <c r="AO207" s="228">
        <f t="shared" si="361"/>
        <v>0</v>
      </c>
      <c r="AP207" s="228">
        <f t="shared" si="361"/>
        <v>0</v>
      </c>
      <c r="AQ207" s="228">
        <f t="shared" si="361"/>
        <v>0</v>
      </c>
      <c r="AR207" s="228">
        <f t="shared" si="361"/>
        <v>0</v>
      </c>
      <c r="AS207" s="228">
        <f t="shared" si="361"/>
        <v>0</v>
      </c>
      <c r="AT207" s="228">
        <f t="shared" si="327"/>
        <v>3468907912</v>
      </c>
      <c r="AU207" s="229">
        <f t="shared" ref="AU207:AU231" si="362">IFERROR(AT207/F207*100,0)</f>
        <v>58.073559205129484</v>
      </c>
      <c r="AV207" s="230">
        <f t="shared" si="328"/>
        <v>2504392088</v>
      </c>
      <c r="AW207" s="229">
        <f t="shared" si="329"/>
        <v>41.926440794870508</v>
      </c>
      <c r="AX207" s="220" t="s">
        <v>542</v>
      </c>
      <c r="AY207" s="220" t="s">
        <v>543</v>
      </c>
      <c r="AZ207" s="220" t="s">
        <v>4729</v>
      </c>
      <c r="BA207" s="228">
        <f t="shared" ref="BA207:BC207" si="363">BA208+BA215+BA221+BA225</f>
        <v>0</v>
      </c>
      <c r="BB207" s="228">
        <f t="shared" si="363"/>
        <v>0</v>
      </c>
      <c r="BC207" s="228">
        <f t="shared" si="363"/>
        <v>0</v>
      </c>
      <c r="BD207" s="228">
        <f t="shared" ref="BD207" si="364">BD208+BD215+BD221+BD225</f>
        <v>0</v>
      </c>
      <c r="BE207" s="228">
        <f t="shared" ref="BE207" si="365">BE208+BE215+BE221+BE225</f>
        <v>0</v>
      </c>
      <c r="BF207" s="228">
        <f t="shared" ref="BF207:BG207" si="366">BF208+BF215+BF221+BF225</f>
        <v>0</v>
      </c>
      <c r="BG207" s="228">
        <f t="shared" si="366"/>
        <v>30086633</v>
      </c>
      <c r="BH207" s="228">
        <f t="shared" ref="BH207" si="367">BH208+BH215+BH221+BH225</f>
        <v>2889500</v>
      </c>
    </row>
    <row r="208" spans="2:64" x14ac:dyDescent="0.3">
      <c r="B208" s="290" t="s">
        <v>8</v>
      </c>
      <c r="C208" s="222" t="s">
        <v>190</v>
      </c>
      <c r="D208" s="222"/>
      <c r="E208" s="222"/>
      <c r="F208" s="223">
        <f>SUM(F209:F214)</f>
        <v>1713564000</v>
      </c>
      <c r="G208" s="223">
        <f>SUM(G209:G214)</f>
        <v>1713564000</v>
      </c>
      <c r="H208" s="223">
        <f>SUM(H209:H214)</f>
        <v>0</v>
      </c>
      <c r="I208" s="223"/>
      <c r="J208" s="223">
        <f t="shared" ref="J208:AS208" si="368">SUM(J209:J214)</f>
        <v>0</v>
      </c>
      <c r="K208" s="223">
        <f t="shared" si="368"/>
        <v>0</v>
      </c>
      <c r="L208" s="223">
        <f t="shared" si="368"/>
        <v>0</v>
      </c>
      <c r="M208" s="223">
        <f t="shared" si="368"/>
        <v>0</v>
      </c>
      <c r="N208" s="223">
        <f t="shared" si="368"/>
        <v>0</v>
      </c>
      <c r="O208" s="223">
        <f t="shared" si="368"/>
        <v>0</v>
      </c>
      <c r="P208" s="223">
        <f t="shared" si="368"/>
        <v>0</v>
      </c>
      <c r="Q208" s="223">
        <f t="shared" si="368"/>
        <v>0</v>
      </c>
      <c r="R208" s="223">
        <f t="shared" si="368"/>
        <v>0</v>
      </c>
      <c r="S208" s="223">
        <f t="shared" si="368"/>
        <v>5900000</v>
      </c>
      <c r="T208" s="223">
        <f t="shared" si="368"/>
        <v>0</v>
      </c>
      <c r="U208" s="223">
        <f t="shared" si="368"/>
        <v>0</v>
      </c>
      <c r="V208" s="223">
        <f t="shared" si="368"/>
        <v>0</v>
      </c>
      <c r="W208" s="223">
        <f t="shared" si="368"/>
        <v>0</v>
      </c>
      <c r="X208" s="223">
        <f t="shared" si="368"/>
        <v>4855000</v>
      </c>
      <c r="Y208" s="223">
        <f t="shared" si="368"/>
        <v>14635000</v>
      </c>
      <c r="Z208" s="223">
        <f t="shared" si="368"/>
        <v>0</v>
      </c>
      <c r="AA208" s="223">
        <f t="shared" si="368"/>
        <v>0</v>
      </c>
      <c r="AB208" s="223">
        <f t="shared" si="368"/>
        <v>0</v>
      </c>
      <c r="AC208" s="223">
        <f t="shared" si="368"/>
        <v>0</v>
      </c>
      <c r="AD208" s="223">
        <f t="shared" si="368"/>
        <v>0</v>
      </c>
      <c r="AE208" s="223">
        <f t="shared" si="368"/>
        <v>0</v>
      </c>
      <c r="AF208" s="223">
        <f t="shared" si="368"/>
        <v>0</v>
      </c>
      <c r="AG208" s="223">
        <f t="shared" si="368"/>
        <v>0</v>
      </c>
      <c r="AH208" s="223">
        <f t="shared" si="368"/>
        <v>0</v>
      </c>
      <c r="AI208" s="223">
        <f t="shared" si="368"/>
        <v>0</v>
      </c>
      <c r="AJ208" s="223">
        <f t="shared" si="368"/>
        <v>0</v>
      </c>
      <c r="AK208" s="223">
        <f t="shared" si="368"/>
        <v>0</v>
      </c>
      <c r="AL208" s="223">
        <f t="shared" si="368"/>
        <v>0</v>
      </c>
      <c r="AM208" s="223">
        <f t="shared" si="368"/>
        <v>0</v>
      </c>
      <c r="AN208" s="223">
        <f t="shared" si="368"/>
        <v>0</v>
      </c>
      <c r="AO208" s="223">
        <f t="shared" si="368"/>
        <v>0</v>
      </c>
      <c r="AP208" s="223">
        <f t="shared" si="368"/>
        <v>0</v>
      </c>
      <c r="AQ208" s="223">
        <f t="shared" si="368"/>
        <v>0</v>
      </c>
      <c r="AR208" s="223">
        <f t="shared" si="368"/>
        <v>0</v>
      </c>
      <c r="AS208" s="223">
        <f t="shared" si="368"/>
        <v>0</v>
      </c>
      <c r="AT208" s="223">
        <f t="shared" si="327"/>
        <v>25390000</v>
      </c>
      <c r="AU208" s="231">
        <f t="shared" si="362"/>
        <v>1.4817071320359203</v>
      </c>
      <c r="AV208" s="232">
        <f t="shared" si="328"/>
        <v>1688174000</v>
      </c>
      <c r="AW208" s="231">
        <f t="shared" si="329"/>
        <v>98.518292867964078</v>
      </c>
      <c r="AX208" s="220" t="s">
        <v>542</v>
      </c>
      <c r="AY208" s="220" t="s">
        <v>543</v>
      </c>
      <c r="AZ208" s="220" t="s">
        <v>4729</v>
      </c>
      <c r="BA208" s="223">
        <f t="shared" ref="BA208:BC208" si="369">SUM(BA209:BA214)</f>
        <v>0</v>
      </c>
      <c r="BB208" s="223">
        <f t="shared" si="369"/>
        <v>0</v>
      </c>
      <c r="BC208" s="223">
        <f t="shared" si="369"/>
        <v>0</v>
      </c>
      <c r="BD208" s="223">
        <f t="shared" ref="BD208" si="370">SUM(BD209:BD214)</f>
        <v>0</v>
      </c>
      <c r="BE208" s="223">
        <f t="shared" ref="BE208" si="371">SUM(BE209:BE214)</f>
        <v>0</v>
      </c>
      <c r="BF208" s="223">
        <f t="shared" ref="BF208:BG208" si="372">SUM(BF209:BF214)</f>
        <v>0</v>
      </c>
      <c r="BG208" s="223">
        <f t="shared" si="372"/>
        <v>4855000</v>
      </c>
      <c r="BH208" s="223">
        <f t="shared" ref="BH208" si="373">SUM(BH209:BH214)</f>
        <v>0</v>
      </c>
    </row>
    <row r="209" spans="2:60" x14ac:dyDescent="0.3">
      <c r="B209" s="288">
        <v>521211</v>
      </c>
      <c r="C209" s="220" t="s">
        <v>7</v>
      </c>
      <c r="D209" s="220"/>
      <c r="E209" s="220"/>
      <c r="F209" s="221">
        <v>99100000</v>
      </c>
      <c r="G209" s="221">
        <v>99100000</v>
      </c>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c r="AS209" s="221"/>
      <c r="AT209" s="221">
        <f t="shared" si="327"/>
        <v>0</v>
      </c>
      <c r="AU209" s="224">
        <f t="shared" si="362"/>
        <v>0</v>
      </c>
      <c r="AV209" s="225">
        <f t="shared" si="328"/>
        <v>99100000</v>
      </c>
      <c r="AW209" s="224">
        <f t="shared" si="329"/>
        <v>100</v>
      </c>
      <c r="AX209" s="220" t="s">
        <v>542</v>
      </c>
      <c r="AY209" s="220" t="s">
        <v>543</v>
      </c>
      <c r="AZ209" s="220" t="s">
        <v>4729</v>
      </c>
      <c r="BA209" s="221"/>
      <c r="BB209" s="221"/>
      <c r="BC209" s="221"/>
      <c r="BD209" s="221"/>
      <c r="BE209" s="221"/>
      <c r="BF209" s="221"/>
      <c r="BG209" s="221"/>
      <c r="BH209" s="221"/>
    </row>
    <row r="210" spans="2:60" x14ac:dyDescent="0.3">
      <c r="B210" s="288">
        <v>521219</v>
      </c>
      <c r="C210" s="220" t="s">
        <v>53</v>
      </c>
      <c r="D210" s="220"/>
      <c r="E210" s="220"/>
      <c r="F210" s="221">
        <v>1333864000</v>
      </c>
      <c r="G210" s="221">
        <v>1333864000</v>
      </c>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c r="AR210" s="221"/>
      <c r="AS210" s="221"/>
      <c r="AT210" s="221">
        <f t="shared" si="327"/>
        <v>0</v>
      </c>
      <c r="AU210" s="224">
        <f t="shared" si="362"/>
        <v>0</v>
      </c>
      <c r="AV210" s="225">
        <f t="shared" si="328"/>
        <v>1333864000</v>
      </c>
      <c r="AW210" s="224">
        <f t="shared" si="329"/>
        <v>100</v>
      </c>
      <c r="AX210" s="220" t="s">
        <v>542</v>
      </c>
      <c r="AY210" s="220" t="s">
        <v>543</v>
      </c>
      <c r="AZ210" s="382" t="s">
        <v>4729</v>
      </c>
      <c r="BA210" s="221"/>
      <c r="BB210" s="221"/>
      <c r="BC210" s="221"/>
      <c r="BD210" s="221"/>
      <c r="BE210" s="221"/>
      <c r="BF210" s="221"/>
      <c r="BG210" s="221"/>
      <c r="BH210" s="221"/>
    </row>
    <row r="211" spans="2:60" x14ac:dyDescent="0.3">
      <c r="B211" s="288">
        <v>521811</v>
      </c>
      <c r="C211" s="220" t="s">
        <v>64</v>
      </c>
      <c r="D211" s="220"/>
      <c r="E211" s="220"/>
      <c r="F211" s="221">
        <v>25000000</v>
      </c>
      <c r="G211" s="221">
        <v>25000000</v>
      </c>
      <c r="H211" s="221"/>
      <c r="I211" s="221"/>
      <c r="J211" s="221"/>
      <c r="K211" s="221"/>
      <c r="L211" s="221"/>
      <c r="M211" s="221"/>
      <c r="N211" s="221"/>
      <c r="O211" s="221"/>
      <c r="P211" s="221"/>
      <c r="Q211" s="221"/>
      <c r="R211" s="221"/>
      <c r="S211" s="221"/>
      <c r="T211" s="221"/>
      <c r="U211" s="221"/>
      <c r="V211" s="221"/>
      <c r="W211" s="221"/>
      <c r="X211" s="221">
        <v>4855000</v>
      </c>
      <c r="Y211" s="221"/>
      <c r="Z211" s="221"/>
      <c r="AA211" s="221"/>
      <c r="AB211" s="221"/>
      <c r="AC211" s="221"/>
      <c r="AD211" s="221"/>
      <c r="AE211" s="221"/>
      <c r="AF211" s="221"/>
      <c r="AG211" s="221"/>
      <c r="AH211" s="221"/>
      <c r="AI211" s="221"/>
      <c r="AJ211" s="221"/>
      <c r="AK211" s="221"/>
      <c r="AL211" s="221"/>
      <c r="AM211" s="221"/>
      <c r="AN211" s="221"/>
      <c r="AO211" s="221"/>
      <c r="AP211" s="221"/>
      <c r="AQ211" s="221"/>
      <c r="AR211" s="221"/>
      <c r="AS211" s="221"/>
      <c r="AT211" s="221">
        <f t="shared" si="327"/>
        <v>4855000</v>
      </c>
      <c r="AU211" s="224">
        <f t="shared" si="362"/>
        <v>19.420000000000002</v>
      </c>
      <c r="AV211" s="225">
        <f t="shared" si="328"/>
        <v>20145000</v>
      </c>
      <c r="AW211" s="224">
        <f t="shared" si="329"/>
        <v>80.58</v>
      </c>
      <c r="AX211" s="220" t="s">
        <v>542</v>
      </c>
      <c r="AY211" s="220" t="s">
        <v>543</v>
      </c>
      <c r="AZ211" s="220" t="s">
        <v>4729</v>
      </c>
      <c r="BA211" s="221"/>
      <c r="BB211" s="221"/>
      <c r="BC211" s="221"/>
      <c r="BD211" s="221"/>
      <c r="BE211" s="221"/>
      <c r="BF211" s="221"/>
      <c r="BG211" s="221">
        <v>4855000</v>
      </c>
      <c r="BH211" s="221"/>
    </row>
    <row r="212" spans="2:60" x14ac:dyDescent="0.3">
      <c r="B212" s="288">
        <v>522151</v>
      </c>
      <c r="C212" s="220" t="s">
        <v>11</v>
      </c>
      <c r="D212" s="220"/>
      <c r="E212" s="220"/>
      <c r="F212" s="221">
        <v>15000000</v>
      </c>
      <c r="G212" s="221">
        <v>15000000</v>
      </c>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c r="AR212" s="221"/>
      <c r="AS212" s="221"/>
      <c r="AT212" s="221">
        <f t="shared" si="327"/>
        <v>0</v>
      </c>
      <c r="AU212" s="224">
        <f t="shared" si="362"/>
        <v>0</v>
      </c>
      <c r="AV212" s="225">
        <f t="shared" si="328"/>
        <v>15000000</v>
      </c>
      <c r="AW212" s="224">
        <f t="shared" si="329"/>
        <v>100</v>
      </c>
      <c r="AX212" s="220" t="s">
        <v>542</v>
      </c>
      <c r="AY212" s="220" t="s">
        <v>543</v>
      </c>
      <c r="AZ212" s="220" t="s">
        <v>4729</v>
      </c>
      <c r="BA212" s="221"/>
      <c r="BB212" s="221"/>
      <c r="BC212" s="221"/>
      <c r="BD212" s="221"/>
      <c r="BE212" s="221"/>
      <c r="BF212" s="221"/>
      <c r="BG212" s="221"/>
      <c r="BH212" s="221"/>
    </row>
    <row r="213" spans="2:60" x14ac:dyDescent="0.3">
      <c r="B213" s="288">
        <v>522191</v>
      </c>
      <c r="C213" s="220" t="s">
        <v>22</v>
      </c>
      <c r="D213" s="220"/>
      <c r="E213" s="220"/>
      <c r="F213" s="221">
        <v>102600000</v>
      </c>
      <c r="G213" s="221">
        <v>102600000</v>
      </c>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c r="AR213" s="221"/>
      <c r="AS213" s="221"/>
      <c r="AT213" s="221">
        <f t="shared" si="327"/>
        <v>0</v>
      </c>
      <c r="AU213" s="224">
        <f t="shared" si="362"/>
        <v>0</v>
      </c>
      <c r="AV213" s="225">
        <f t="shared" si="328"/>
        <v>102600000</v>
      </c>
      <c r="AW213" s="224">
        <f t="shared" si="329"/>
        <v>100</v>
      </c>
      <c r="AX213" s="220" t="s">
        <v>542</v>
      </c>
      <c r="AY213" s="220" t="s">
        <v>543</v>
      </c>
      <c r="AZ213" s="220" t="s">
        <v>4729</v>
      </c>
      <c r="BA213" s="221"/>
      <c r="BB213" s="221"/>
      <c r="BC213" s="221"/>
      <c r="BD213" s="221"/>
      <c r="BE213" s="221"/>
      <c r="BF213" s="221"/>
      <c r="BG213" s="221"/>
      <c r="BH213" s="221"/>
    </row>
    <row r="214" spans="2:60" x14ac:dyDescent="0.3">
      <c r="B214" s="288">
        <v>524111</v>
      </c>
      <c r="C214" s="220" t="s">
        <v>19</v>
      </c>
      <c r="D214" s="220"/>
      <c r="E214" s="220"/>
      <c r="F214" s="221">
        <v>138000000</v>
      </c>
      <c r="G214" s="221">
        <v>138000000</v>
      </c>
      <c r="H214" s="221"/>
      <c r="I214" s="221"/>
      <c r="J214" s="221"/>
      <c r="K214" s="221"/>
      <c r="L214" s="221"/>
      <c r="M214" s="221"/>
      <c r="N214" s="221"/>
      <c r="O214" s="221"/>
      <c r="P214" s="221"/>
      <c r="Q214" s="221"/>
      <c r="R214" s="221"/>
      <c r="S214" s="221">
        <v>5900000</v>
      </c>
      <c r="T214" s="221"/>
      <c r="U214" s="221"/>
      <c r="V214" s="221"/>
      <c r="W214" s="221"/>
      <c r="X214" s="221"/>
      <c r="Y214" s="221">
        <v>14635000</v>
      </c>
      <c r="Z214" s="221"/>
      <c r="AA214" s="221"/>
      <c r="AB214" s="221"/>
      <c r="AC214" s="221"/>
      <c r="AD214" s="221"/>
      <c r="AE214" s="221"/>
      <c r="AF214" s="221"/>
      <c r="AG214" s="221"/>
      <c r="AH214" s="221"/>
      <c r="AI214" s="221"/>
      <c r="AJ214" s="221"/>
      <c r="AK214" s="221"/>
      <c r="AL214" s="221"/>
      <c r="AM214" s="221"/>
      <c r="AN214" s="221"/>
      <c r="AO214" s="221"/>
      <c r="AP214" s="221"/>
      <c r="AQ214" s="221"/>
      <c r="AR214" s="221"/>
      <c r="AS214" s="221"/>
      <c r="AT214" s="221">
        <f t="shared" si="327"/>
        <v>20535000</v>
      </c>
      <c r="AU214" s="224">
        <f t="shared" si="362"/>
        <v>14.880434782608695</v>
      </c>
      <c r="AV214" s="225">
        <f t="shared" si="328"/>
        <v>117465000</v>
      </c>
      <c r="AW214" s="224">
        <f t="shared" si="329"/>
        <v>85.119565217391298</v>
      </c>
      <c r="AX214" s="220" t="s">
        <v>542</v>
      </c>
      <c r="AY214" s="220" t="s">
        <v>543</v>
      </c>
      <c r="AZ214" s="220" t="s">
        <v>4729</v>
      </c>
      <c r="BA214" s="221"/>
      <c r="BB214" s="221"/>
      <c r="BC214" s="221"/>
      <c r="BD214" s="221"/>
      <c r="BE214" s="221"/>
      <c r="BF214" s="221"/>
      <c r="BG214" s="221"/>
      <c r="BH214" s="221"/>
    </row>
    <row r="215" spans="2:60" x14ac:dyDescent="0.3">
      <c r="B215" s="290" t="s">
        <v>511</v>
      </c>
      <c r="C215" s="222" t="s">
        <v>191</v>
      </c>
      <c r="D215" s="222"/>
      <c r="E215" s="222"/>
      <c r="F215" s="223">
        <f t="shared" ref="F215:AS215" si="374">SUM(F216:F220)</f>
        <v>4085695000</v>
      </c>
      <c r="G215" s="223">
        <f t="shared" ref="G215:H215" si="375">SUM(G216:G220)</f>
        <v>6555695000</v>
      </c>
      <c r="H215" s="223">
        <f t="shared" si="375"/>
        <v>0</v>
      </c>
      <c r="I215" s="223"/>
      <c r="J215" s="223">
        <f t="shared" si="374"/>
        <v>0</v>
      </c>
      <c r="K215" s="223">
        <f t="shared" si="374"/>
        <v>0</v>
      </c>
      <c r="L215" s="223">
        <f t="shared" si="374"/>
        <v>0</v>
      </c>
      <c r="M215" s="223">
        <f t="shared" si="374"/>
        <v>0</v>
      </c>
      <c r="N215" s="223">
        <f t="shared" si="374"/>
        <v>0</v>
      </c>
      <c r="O215" s="223">
        <f t="shared" si="374"/>
        <v>0</v>
      </c>
      <c r="P215" s="223">
        <f t="shared" si="374"/>
        <v>0</v>
      </c>
      <c r="Q215" s="223">
        <f t="shared" si="374"/>
        <v>0</v>
      </c>
      <c r="R215" s="223">
        <f t="shared" si="374"/>
        <v>0</v>
      </c>
      <c r="S215" s="223">
        <f t="shared" si="374"/>
        <v>1549795356</v>
      </c>
      <c r="T215" s="223">
        <f t="shared" si="374"/>
        <v>0</v>
      </c>
      <c r="U215" s="223">
        <f t="shared" si="374"/>
        <v>0</v>
      </c>
      <c r="V215" s="223">
        <f t="shared" si="374"/>
        <v>0</v>
      </c>
      <c r="W215" s="223">
        <f t="shared" si="374"/>
        <v>0</v>
      </c>
      <c r="X215" s="223">
        <f t="shared" si="374"/>
        <v>25231633</v>
      </c>
      <c r="Y215" s="223">
        <f t="shared" si="374"/>
        <v>1865601423</v>
      </c>
      <c r="Z215" s="223">
        <f t="shared" si="374"/>
        <v>0</v>
      </c>
      <c r="AA215" s="223">
        <f t="shared" si="374"/>
        <v>2889500</v>
      </c>
      <c r="AB215" s="223">
        <f t="shared" si="374"/>
        <v>0</v>
      </c>
      <c r="AC215" s="223">
        <f t="shared" si="374"/>
        <v>0</v>
      </c>
      <c r="AD215" s="223">
        <f t="shared" si="374"/>
        <v>0</v>
      </c>
      <c r="AE215" s="223">
        <f t="shared" si="374"/>
        <v>0</v>
      </c>
      <c r="AF215" s="223">
        <f t="shared" si="374"/>
        <v>0</v>
      </c>
      <c r="AG215" s="223">
        <f t="shared" si="374"/>
        <v>0</v>
      </c>
      <c r="AH215" s="223">
        <f t="shared" si="374"/>
        <v>0</v>
      </c>
      <c r="AI215" s="223">
        <f t="shared" si="374"/>
        <v>0</v>
      </c>
      <c r="AJ215" s="223">
        <f t="shared" si="374"/>
        <v>0</v>
      </c>
      <c r="AK215" s="223">
        <f t="shared" si="374"/>
        <v>0</v>
      </c>
      <c r="AL215" s="223">
        <f t="shared" si="374"/>
        <v>0</v>
      </c>
      <c r="AM215" s="223">
        <f t="shared" si="374"/>
        <v>0</v>
      </c>
      <c r="AN215" s="223">
        <f t="shared" si="374"/>
        <v>0</v>
      </c>
      <c r="AO215" s="223">
        <f t="shared" si="374"/>
        <v>0</v>
      </c>
      <c r="AP215" s="223">
        <f t="shared" si="374"/>
        <v>0</v>
      </c>
      <c r="AQ215" s="223">
        <f t="shared" si="374"/>
        <v>0</v>
      </c>
      <c r="AR215" s="223">
        <f t="shared" si="374"/>
        <v>0</v>
      </c>
      <c r="AS215" s="223">
        <f t="shared" si="374"/>
        <v>0</v>
      </c>
      <c r="AT215" s="223">
        <f t="shared" si="327"/>
        <v>3443517912</v>
      </c>
      <c r="AU215" s="231">
        <f t="shared" si="362"/>
        <v>84.282304773116934</v>
      </c>
      <c r="AV215" s="232">
        <f t="shared" si="328"/>
        <v>642177088</v>
      </c>
      <c r="AW215" s="231">
        <f t="shared" si="329"/>
        <v>15.717695226883063</v>
      </c>
      <c r="AX215" s="220" t="s">
        <v>542</v>
      </c>
      <c r="AY215" s="220" t="s">
        <v>543</v>
      </c>
      <c r="AZ215" s="220" t="s">
        <v>4729</v>
      </c>
      <c r="BA215" s="223">
        <f t="shared" ref="BA215:BD215" si="376">SUM(BA216:BA220)</f>
        <v>0</v>
      </c>
      <c r="BB215" s="223">
        <f t="shared" si="376"/>
        <v>0</v>
      </c>
      <c r="BC215" s="223">
        <f t="shared" si="376"/>
        <v>0</v>
      </c>
      <c r="BD215" s="223">
        <f t="shared" si="376"/>
        <v>0</v>
      </c>
      <c r="BE215" s="223">
        <f t="shared" ref="BE215" si="377">SUM(BE216:BE220)</f>
        <v>0</v>
      </c>
      <c r="BF215" s="223">
        <f t="shared" ref="BF215:BG215" si="378">SUM(BF216:BF220)</f>
        <v>0</v>
      </c>
      <c r="BG215" s="223">
        <f t="shared" si="378"/>
        <v>25231633</v>
      </c>
      <c r="BH215" s="223">
        <f t="shared" ref="BH215" si="379">SUM(BH216:BH220)</f>
        <v>2889500</v>
      </c>
    </row>
    <row r="216" spans="2:60" x14ac:dyDescent="0.3">
      <c r="B216" s="288">
        <v>521211</v>
      </c>
      <c r="C216" s="220" t="s">
        <v>7</v>
      </c>
      <c r="D216" s="220"/>
      <c r="E216" s="220"/>
      <c r="F216" s="221">
        <v>25000000</v>
      </c>
      <c r="G216" s="221">
        <v>25000000</v>
      </c>
      <c r="H216" s="221"/>
      <c r="I216" s="221"/>
      <c r="J216" s="221"/>
      <c r="K216" s="221"/>
      <c r="L216" s="221"/>
      <c r="M216" s="221"/>
      <c r="N216" s="221"/>
      <c r="O216" s="221"/>
      <c r="P216" s="221"/>
      <c r="Q216" s="221"/>
      <c r="R216" s="221"/>
      <c r="S216" s="221"/>
      <c r="T216" s="221"/>
      <c r="U216" s="221"/>
      <c r="V216" s="221"/>
      <c r="W216" s="221"/>
      <c r="X216" s="221">
        <v>1475000</v>
      </c>
      <c r="Y216" s="221"/>
      <c r="Z216" s="221"/>
      <c r="AA216" s="221">
        <v>1442500</v>
      </c>
      <c r="AB216" s="221"/>
      <c r="AC216" s="221"/>
      <c r="AD216" s="221"/>
      <c r="AE216" s="221"/>
      <c r="AF216" s="221"/>
      <c r="AG216" s="221"/>
      <c r="AH216" s="221"/>
      <c r="AI216" s="221"/>
      <c r="AJ216" s="221"/>
      <c r="AK216" s="221"/>
      <c r="AL216" s="221"/>
      <c r="AM216" s="221"/>
      <c r="AN216" s="221"/>
      <c r="AO216" s="221"/>
      <c r="AP216" s="221"/>
      <c r="AQ216" s="221"/>
      <c r="AR216" s="221"/>
      <c r="AS216" s="221"/>
      <c r="AT216" s="221">
        <f t="shared" si="327"/>
        <v>2917500</v>
      </c>
      <c r="AU216" s="224">
        <f t="shared" si="362"/>
        <v>11.67</v>
      </c>
      <c r="AV216" s="225">
        <f t="shared" si="328"/>
        <v>22082500</v>
      </c>
      <c r="AW216" s="224">
        <f t="shared" si="329"/>
        <v>88.33</v>
      </c>
      <c r="AX216" s="220" t="s">
        <v>542</v>
      </c>
      <c r="AY216" s="220" t="s">
        <v>543</v>
      </c>
      <c r="AZ216" s="220" t="s">
        <v>4729</v>
      </c>
      <c r="BA216" s="221"/>
      <c r="BB216" s="221"/>
      <c r="BC216" s="221"/>
      <c r="BD216" s="221"/>
      <c r="BE216" s="221"/>
      <c r="BF216" s="221"/>
      <c r="BG216" s="221">
        <v>1475000</v>
      </c>
      <c r="BH216" s="221">
        <v>1442500</v>
      </c>
    </row>
    <row r="217" spans="2:60" x14ac:dyDescent="0.3">
      <c r="B217" s="288">
        <v>521219</v>
      </c>
      <c r="C217" s="220" t="s">
        <v>53</v>
      </c>
      <c r="D217" s="220"/>
      <c r="E217" s="220"/>
      <c r="F217" s="221">
        <v>3808695000</v>
      </c>
      <c r="G217" s="221">
        <v>6308695000</v>
      </c>
      <c r="H217" s="221"/>
      <c r="I217" s="221"/>
      <c r="J217" s="221"/>
      <c r="K217" s="221"/>
      <c r="L217" s="221"/>
      <c r="M217" s="221"/>
      <c r="N217" s="221"/>
      <c r="O217" s="221"/>
      <c r="P217" s="221"/>
      <c r="Q217" s="221"/>
      <c r="R217" s="221"/>
      <c r="S217" s="221">
        <f>830060208+5925000+5925000+577980144+112130004+11850000+5925000</f>
        <v>1549795356</v>
      </c>
      <c r="T217" s="221"/>
      <c r="U217" s="221"/>
      <c r="V217" s="221"/>
      <c r="W217" s="221"/>
      <c r="X217" s="221"/>
      <c r="Y217" s="221">
        <f>430825000+180000000+30000000+784200000+253750000+154545850+9950000</f>
        <v>1843270850</v>
      </c>
      <c r="Z217" s="221"/>
      <c r="AA217" s="221"/>
      <c r="AB217" s="221"/>
      <c r="AC217" s="221"/>
      <c r="AD217" s="221"/>
      <c r="AE217" s="221"/>
      <c r="AF217" s="221"/>
      <c r="AG217" s="221"/>
      <c r="AH217" s="221"/>
      <c r="AI217" s="221"/>
      <c r="AJ217" s="221"/>
      <c r="AK217" s="221"/>
      <c r="AL217" s="221"/>
      <c r="AM217" s="221"/>
      <c r="AN217" s="221"/>
      <c r="AO217" s="221"/>
      <c r="AP217" s="221"/>
      <c r="AQ217" s="221"/>
      <c r="AR217" s="221"/>
      <c r="AS217" s="221"/>
      <c r="AT217" s="221">
        <f t="shared" si="327"/>
        <v>3393066206</v>
      </c>
      <c r="AU217" s="224">
        <f t="shared" si="362"/>
        <v>89.087369978430928</v>
      </c>
      <c r="AV217" s="225">
        <f t="shared" si="328"/>
        <v>415628794</v>
      </c>
      <c r="AW217" s="224">
        <f t="shared" si="329"/>
        <v>10.912630021569068</v>
      </c>
      <c r="AX217" s="220" t="s">
        <v>542</v>
      </c>
      <c r="AY217" s="220" t="s">
        <v>543</v>
      </c>
      <c r="AZ217" s="220" t="s">
        <v>4729</v>
      </c>
      <c r="BA217" s="221"/>
      <c r="BB217" s="221"/>
      <c r="BC217" s="221"/>
      <c r="BD217" s="221"/>
      <c r="BE217" s="221"/>
      <c r="BF217" s="221"/>
      <c r="BG217" s="221"/>
      <c r="BH217" s="221"/>
    </row>
    <row r="218" spans="2:60" x14ac:dyDescent="0.3">
      <c r="B218" s="288">
        <v>521811</v>
      </c>
      <c r="C218" s="220" t="s">
        <v>64</v>
      </c>
      <c r="D218" s="220"/>
      <c r="E218" s="220"/>
      <c r="F218" s="221">
        <v>30000000</v>
      </c>
      <c r="G218" s="221">
        <v>30000000</v>
      </c>
      <c r="H218" s="221"/>
      <c r="I218" s="221"/>
      <c r="J218" s="221"/>
      <c r="K218" s="221"/>
      <c r="L218" s="221"/>
      <c r="M218" s="221"/>
      <c r="N218" s="221"/>
      <c r="O218" s="221"/>
      <c r="P218" s="221"/>
      <c r="Q218" s="221"/>
      <c r="R218" s="221"/>
      <c r="S218" s="221"/>
      <c r="T218" s="221"/>
      <c r="U218" s="221"/>
      <c r="V218" s="221"/>
      <c r="W218" s="221"/>
      <c r="X218" s="221">
        <v>3364000</v>
      </c>
      <c r="Y218" s="221"/>
      <c r="Z218" s="221"/>
      <c r="AA218" s="221">
        <v>1447000</v>
      </c>
      <c r="AB218" s="221"/>
      <c r="AC218" s="221"/>
      <c r="AD218" s="221"/>
      <c r="AE218" s="221"/>
      <c r="AF218" s="221"/>
      <c r="AG218" s="221"/>
      <c r="AH218" s="221"/>
      <c r="AI218" s="221"/>
      <c r="AJ218" s="221"/>
      <c r="AK218" s="221"/>
      <c r="AL218" s="221"/>
      <c r="AM218" s="221"/>
      <c r="AN218" s="221"/>
      <c r="AO218" s="221"/>
      <c r="AP218" s="221"/>
      <c r="AQ218" s="221"/>
      <c r="AR218" s="221"/>
      <c r="AS218" s="221"/>
      <c r="AT218" s="221">
        <f t="shared" si="327"/>
        <v>4811000</v>
      </c>
      <c r="AU218" s="224">
        <f t="shared" si="362"/>
        <v>16.036666666666665</v>
      </c>
      <c r="AV218" s="225">
        <f t="shared" si="328"/>
        <v>25189000</v>
      </c>
      <c r="AW218" s="224">
        <f t="shared" si="329"/>
        <v>83.963333333333338</v>
      </c>
      <c r="AX218" s="220" t="s">
        <v>542</v>
      </c>
      <c r="AY218" s="220" t="s">
        <v>543</v>
      </c>
      <c r="AZ218" s="220" t="s">
        <v>4729</v>
      </c>
      <c r="BA218" s="221"/>
      <c r="BB218" s="221"/>
      <c r="BC218" s="221"/>
      <c r="BD218" s="221"/>
      <c r="BE218" s="221"/>
      <c r="BF218" s="221"/>
      <c r="BG218" s="221">
        <v>3364000</v>
      </c>
      <c r="BH218" s="221">
        <v>1447000</v>
      </c>
    </row>
    <row r="219" spans="2:60" x14ac:dyDescent="0.3">
      <c r="B219" s="288">
        <v>522151</v>
      </c>
      <c r="C219" s="220" t="s">
        <v>11</v>
      </c>
      <c r="D219" s="220"/>
      <c r="E219" s="220"/>
      <c r="F219" s="221">
        <v>6000000</v>
      </c>
      <c r="G219" s="221">
        <v>6000000</v>
      </c>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c r="AR219" s="221"/>
      <c r="AS219" s="221"/>
      <c r="AT219" s="221">
        <f t="shared" si="327"/>
        <v>0</v>
      </c>
      <c r="AU219" s="224">
        <f t="shared" si="362"/>
        <v>0</v>
      </c>
      <c r="AV219" s="225">
        <f t="shared" si="328"/>
        <v>6000000</v>
      </c>
      <c r="AW219" s="224">
        <f t="shared" si="329"/>
        <v>100</v>
      </c>
      <c r="AX219" s="220" t="s">
        <v>542</v>
      </c>
      <c r="AY219" s="220" t="s">
        <v>543</v>
      </c>
      <c r="AZ219" s="220" t="s">
        <v>4729</v>
      </c>
      <c r="BA219" s="221"/>
      <c r="BB219" s="221"/>
      <c r="BC219" s="221"/>
      <c r="BD219" s="221"/>
      <c r="BE219" s="221"/>
      <c r="BF219" s="221"/>
      <c r="BG219" s="221"/>
      <c r="BH219" s="221"/>
    </row>
    <row r="220" spans="2:60" x14ac:dyDescent="0.3">
      <c r="B220" s="288">
        <v>524111</v>
      </c>
      <c r="C220" s="220" t="s">
        <v>19</v>
      </c>
      <c r="D220" s="220"/>
      <c r="E220" s="220"/>
      <c r="F220" s="221">
        <v>216000000</v>
      </c>
      <c r="G220" s="221">
        <v>186000000</v>
      </c>
      <c r="H220" s="221"/>
      <c r="I220" s="221"/>
      <c r="J220" s="221"/>
      <c r="K220" s="221"/>
      <c r="L220" s="221"/>
      <c r="M220" s="221"/>
      <c r="N220" s="221"/>
      <c r="O220" s="221"/>
      <c r="P220" s="221"/>
      <c r="Q220" s="221"/>
      <c r="R220" s="221"/>
      <c r="S220" s="221"/>
      <c r="T220" s="221"/>
      <c r="U220" s="221"/>
      <c r="V220" s="221"/>
      <c r="W220" s="221"/>
      <c r="X220" s="221">
        <v>20392633</v>
      </c>
      <c r="Y220" s="221">
        <f>6450000+15880573</f>
        <v>22330573</v>
      </c>
      <c r="Z220" s="221"/>
      <c r="AA220" s="221"/>
      <c r="AB220" s="221"/>
      <c r="AC220" s="221"/>
      <c r="AD220" s="221"/>
      <c r="AE220" s="221"/>
      <c r="AF220" s="221"/>
      <c r="AG220" s="221"/>
      <c r="AH220" s="221"/>
      <c r="AI220" s="221"/>
      <c r="AJ220" s="221"/>
      <c r="AK220" s="221"/>
      <c r="AL220" s="221"/>
      <c r="AM220" s="221"/>
      <c r="AN220" s="221"/>
      <c r="AO220" s="221"/>
      <c r="AP220" s="221"/>
      <c r="AQ220" s="221"/>
      <c r="AR220" s="221"/>
      <c r="AS220" s="221"/>
      <c r="AT220" s="221">
        <f t="shared" si="327"/>
        <v>42723206</v>
      </c>
      <c r="AU220" s="224">
        <f t="shared" si="362"/>
        <v>19.779262037037036</v>
      </c>
      <c r="AV220" s="225">
        <f t="shared" si="328"/>
        <v>173276794</v>
      </c>
      <c r="AW220" s="224">
        <f t="shared" si="329"/>
        <v>80.220737962962957</v>
      </c>
      <c r="AX220" s="220" t="s">
        <v>542</v>
      </c>
      <c r="AY220" s="220" t="s">
        <v>543</v>
      </c>
      <c r="AZ220" s="220" t="s">
        <v>4729</v>
      </c>
      <c r="BA220" s="221"/>
      <c r="BB220" s="221"/>
      <c r="BC220" s="221"/>
      <c r="BD220" s="221"/>
      <c r="BE220" s="221"/>
      <c r="BF220" s="221"/>
      <c r="BG220" s="221">
        <v>20392633</v>
      </c>
      <c r="BH220" s="221"/>
    </row>
    <row r="221" spans="2:60" x14ac:dyDescent="0.3">
      <c r="B221" s="290" t="s">
        <v>512</v>
      </c>
      <c r="C221" s="222" t="s">
        <v>192</v>
      </c>
      <c r="D221" s="222"/>
      <c r="E221" s="222"/>
      <c r="F221" s="223">
        <f t="shared" ref="F221:AS221" si="380">SUM(F222:F224)</f>
        <v>174041000</v>
      </c>
      <c r="G221" s="223">
        <f t="shared" ref="G221:H221" si="381">SUM(G222:G224)</f>
        <v>174041000</v>
      </c>
      <c r="H221" s="223">
        <f t="shared" si="381"/>
        <v>0</v>
      </c>
      <c r="I221" s="223"/>
      <c r="J221" s="223">
        <f t="shared" si="380"/>
        <v>0</v>
      </c>
      <c r="K221" s="223">
        <f t="shared" si="380"/>
        <v>0</v>
      </c>
      <c r="L221" s="223">
        <f t="shared" si="380"/>
        <v>0</v>
      </c>
      <c r="M221" s="223">
        <f t="shared" si="380"/>
        <v>0</v>
      </c>
      <c r="N221" s="223">
        <f t="shared" si="380"/>
        <v>0</v>
      </c>
      <c r="O221" s="223">
        <f t="shared" si="380"/>
        <v>0</v>
      </c>
      <c r="P221" s="223">
        <f t="shared" si="380"/>
        <v>0</v>
      </c>
      <c r="Q221" s="223">
        <f t="shared" si="380"/>
        <v>0</v>
      </c>
      <c r="R221" s="223">
        <f t="shared" si="380"/>
        <v>0</v>
      </c>
      <c r="S221" s="223">
        <f t="shared" si="380"/>
        <v>0</v>
      </c>
      <c r="T221" s="223">
        <f t="shared" si="380"/>
        <v>0</v>
      </c>
      <c r="U221" s="223">
        <f t="shared" si="380"/>
        <v>0</v>
      </c>
      <c r="V221" s="223">
        <f t="shared" si="380"/>
        <v>0</v>
      </c>
      <c r="W221" s="223">
        <f t="shared" si="380"/>
        <v>0</v>
      </c>
      <c r="X221" s="223">
        <f t="shared" si="380"/>
        <v>0</v>
      </c>
      <c r="Y221" s="223">
        <f t="shared" si="380"/>
        <v>0</v>
      </c>
      <c r="Z221" s="223">
        <f t="shared" si="380"/>
        <v>0</v>
      </c>
      <c r="AA221" s="223">
        <f t="shared" si="380"/>
        <v>0</v>
      </c>
      <c r="AB221" s="223">
        <f t="shared" si="380"/>
        <v>0</v>
      </c>
      <c r="AC221" s="223">
        <f t="shared" si="380"/>
        <v>0</v>
      </c>
      <c r="AD221" s="223">
        <f t="shared" si="380"/>
        <v>0</v>
      </c>
      <c r="AE221" s="223">
        <f t="shared" si="380"/>
        <v>0</v>
      </c>
      <c r="AF221" s="223">
        <f t="shared" si="380"/>
        <v>0</v>
      </c>
      <c r="AG221" s="223">
        <f t="shared" si="380"/>
        <v>0</v>
      </c>
      <c r="AH221" s="223">
        <f t="shared" si="380"/>
        <v>0</v>
      </c>
      <c r="AI221" s="223">
        <f t="shared" si="380"/>
        <v>0</v>
      </c>
      <c r="AJ221" s="223">
        <f t="shared" si="380"/>
        <v>0</v>
      </c>
      <c r="AK221" s="223">
        <f t="shared" si="380"/>
        <v>0</v>
      </c>
      <c r="AL221" s="223">
        <f t="shared" si="380"/>
        <v>0</v>
      </c>
      <c r="AM221" s="223">
        <f t="shared" si="380"/>
        <v>0</v>
      </c>
      <c r="AN221" s="223">
        <f t="shared" si="380"/>
        <v>0</v>
      </c>
      <c r="AO221" s="223">
        <f t="shared" si="380"/>
        <v>0</v>
      </c>
      <c r="AP221" s="223">
        <f t="shared" si="380"/>
        <v>0</v>
      </c>
      <c r="AQ221" s="223">
        <f t="shared" si="380"/>
        <v>0</v>
      </c>
      <c r="AR221" s="223">
        <f t="shared" si="380"/>
        <v>0</v>
      </c>
      <c r="AS221" s="223">
        <f t="shared" si="380"/>
        <v>0</v>
      </c>
      <c r="AT221" s="223">
        <f t="shared" si="327"/>
        <v>0</v>
      </c>
      <c r="AU221" s="231">
        <f t="shared" si="362"/>
        <v>0</v>
      </c>
      <c r="AV221" s="232">
        <f t="shared" si="328"/>
        <v>174041000</v>
      </c>
      <c r="AW221" s="231">
        <f t="shared" si="329"/>
        <v>100</v>
      </c>
      <c r="AX221" s="220" t="s">
        <v>542</v>
      </c>
      <c r="AY221" s="220" t="s">
        <v>543</v>
      </c>
      <c r="AZ221" s="220" t="s">
        <v>4729</v>
      </c>
      <c r="BA221" s="223">
        <f t="shared" ref="BA221:BD221" si="382">SUM(BA222:BA224)</f>
        <v>0</v>
      </c>
      <c r="BB221" s="223">
        <f t="shared" si="382"/>
        <v>0</v>
      </c>
      <c r="BC221" s="223">
        <f t="shared" si="382"/>
        <v>0</v>
      </c>
      <c r="BD221" s="223">
        <f t="shared" si="382"/>
        <v>0</v>
      </c>
      <c r="BE221" s="223">
        <f t="shared" ref="BE221" si="383">SUM(BE222:BE224)</f>
        <v>0</v>
      </c>
      <c r="BF221" s="223">
        <f t="shared" ref="BF221:BG221" si="384">SUM(BF222:BF224)</f>
        <v>0</v>
      </c>
      <c r="BG221" s="223">
        <f t="shared" si="384"/>
        <v>0</v>
      </c>
      <c r="BH221" s="223">
        <f t="shared" ref="BH221" si="385">SUM(BH222:BH224)</f>
        <v>0</v>
      </c>
    </row>
    <row r="222" spans="2:60" x14ac:dyDescent="0.3">
      <c r="B222" s="288">
        <v>521211</v>
      </c>
      <c r="C222" s="220" t="s">
        <v>7</v>
      </c>
      <c r="D222" s="220"/>
      <c r="E222" s="220"/>
      <c r="F222" s="221">
        <v>12000000</v>
      </c>
      <c r="G222" s="221">
        <v>12000000</v>
      </c>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c r="AR222" s="221"/>
      <c r="AS222" s="221"/>
      <c r="AT222" s="221">
        <f t="shared" si="327"/>
        <v>0</v>
      </c>
      <c r="AU222" s="224">
        <f t="shared" si="362"/>
        <v>0</v>
      </c>
      <c r="AV222" s="225">
        <f t="shared" si="328"/>
        <v>12000000</v>
      </c>
      <c r="AW222" s="224">
        <f t="shared" si="329"/>
        <v>100</v>
      </c>
      <c r="AX222" s="220" t="s">
        <v>542</v>
      </c>
      <c r="AY222" s="220" t="s">
        <v>543</v>
      </c>
      <c r="AZ222" s="220" t="s">
        <v>4729</v>
      </c>
      <c r="BA222" s="221"/>
      <c r="BB222" s="221"/>
      <c r="BC222" s="221"/>
      <c r="BD222" s="221"/>
      <c r="BE222" s="221"/>
      <c r="BF222" s="221"/>
      <c r="BG222" s="221"/>
      <c r="BH222" s="221"/>
    </row>
    <row r="223" spans="2:60" x14ac:dyDescent="0.3">
      <c r="B223" s="288">
        <v>521219</v>
      </c>
      <c r="C223" s="220" t="s">
        <v>53</v>
      </c>
      <c r="D223" s="220"/>
      <c r="E223" s="220"/>
      <c r="F223" s="221">
        <v>20000000</v>
      </c>
      <c r="G223" s="221">
        <v>20000000</v>
      </c>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c r="AR223" s="221"/>
      <c r="AS223" s="221"/>
      <c r="AT223" s="221">
        <f t="shared" si="327"/>
        <v>0</v>
      </c>
      <c r="AU223" s="224">
        <f t="shared" si="362"/>
        <v>0</v>
      </c>
      <c r="AV223" s="225">
        <f t="shared" si="328"/>
        <v>20000000</v>
      </c>
      <c r="AW223" s="224">
        <f t="shared" si="329"/>
        <v>100</v>
      </c>
      <c r="AX223" s="220" t="s">
        <v>542</v>
      </c>
      <c r="AY223" s="220" t="s">
        <v>543</v>
      </c>
      <c r="AZ223" s="220" t="s">
        <v>4729</v>
      </c>
      <c r="BA223" s="221"/>
      <c r="BB223" s="221"/>
      <c r="BC223" s="221"/>
      <c r="BD223" s="221"/>
      <c r="BE223" s="221"/>
      <c r="BF223" s="221"/>
      <c r="BG223" s="221"/>
      <c r="BH223" s="221"/>
    </row>
    <row r="224" spans="2:60" x14ac:dyDescent="0.3">
      <c r="B224" s="288">
        <v>524211</v>
      </c>
      <c r="C224" s="220" t="s">
        <v>1151</v>
      </c>
      <c r="D224" s="220"/>
      <c r="E224" s="220"/>
      <c r="F224" s="221">
        <v>142041000</v>
      </c>
      <c r="G224" s="221">
        <v>142041000</v>
      </c>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c r="AR224" s="221"/>
      <c r="AS224" s="221"/>
      <c r="AT224" s="221">
        <f t="shared" si="327"/>
        <v>0</v>
      </c>
      <c r="AU224" s="224">
        <f t="shared" si="362"/>
        <v>0</v>
      </c>
      <c r="AV224" s="225">
        <f t="shared" si="328"/>
        <v>142041000</v>
      </c>
      <c r="AW224" s="224">
        <f t="shared" si="329"/>
        <v>100</v>
      </c>
      <c r="AX224" s="220" t="s">
        <v>542</v>
      </c>
      <c r="AY224" s="220" t="s">
        <v>543</v>
      </c>
      <c r="AZ224" s="220" t="s">
        <v>4729</v>
      </c>
      <c r="BA224" s="221"/>
      <c r="BB224" s="221"/>
      <c r="BC224" s="221"/>
      <c r="BD224" s="221"/>
      <c r="BE224" s="221"/>
      <c r="BF224" s="221"/>
      <c r="BG224" s="221"/>
      <c r="BH224" s="221"/>
    </row>
    <row r="225" spans="2:60" x14ac:dyDescent="0.3">
      <c r="B225" s="290" t="s">
        <v>514</v>
      </c>
      <c r="C225" s="222" t="s">
        <v>3534</v>
      </c>
      <c r="D225" s="222"/>
      <c r="E225" s="222"/>
      <c r="F225" s="223">
        <f t="shared" ref="F225:AS225" si="386">SUM(F226)</f>
        <v>0</v>
      </c>
      <c r="G225" s="223">
        <f t="shared" si="386"/>
        <v>30000000</v>
      </c>
      <c r="H225" s="223">
        <f t="shared" si="386"/>
        <v>0</v>
      </c>
      <c r="I225" s="223"/>
      <c r="J225" s="223">
        <f t="shared" si="386"/>
        <v>0</v>
      </c>
      <c r="K225" s="223">
        <f t="shared" si="386"/>
        <v>0</v>
      </c>
      <c r="L225" s="223">
        <f t="shared" si="386"/>
        <v>0</v>
      </c>
      <c r="M225" s="223">
        <f t="shared" si="386"/>
        <v>0</v>
      </c>
      <c r="N225" s="223">
        <f t="shared" si="386"/>
        <v>0</v>
      </c>
      <c r="O225" s="223">
        <f t="shared" si="386"/>
        <v>0</v>
      </c>
      <c r="P225" s="223">
        <f t="shared" si="386"/>
        <v>0</v>
      </c>
      <c r="Q225" s="223">
        <f t="shared" si="386"/>
        <v>0</v>
      </c>
      <c r="R225" s="223">
        <f t="shared" si="386"/>
        <v>0</v>
      </c>
      <c r="S225" s="223">
        <f t="shared" si="386"/>
        <v>0</v>
      </c>
      <c r="T225" s="223">
        <f t="shared" si="386"/>
        <v>0</v>
      </c>
      <c r="U225" s="223">
        <f t="shared" si="386"/>
        <v>0</v>
      </c>
      <c r="V225" s="223">
        <f t="shared" si="386"/>
        <v>0</v>
      </c>
      <c r="W225" s="223">
        <f t="shared" si="386"/>
        <v>0</v>
      </c>
      <c r="X225" s="223">
        <f t="shared" si="386"/>
        <v>0</v>
      </c>
      <c r="Y225" s="223">
        <f t="shared" si="386"/>
        <v>0</v>
      </c>
      <c r="Z225" s="223">
        <f t="shared" si="386"/>
        <v>0</v>
      </c>
      <c r="AA225" s="223">
        <f t="shared" si="386"/>
        <v>0</v>
      </c>
      <c r="AB225" s="223">
        <f t="shared" si="386"/>
        <v>0</v>
      </c>
      <c r="AC225" s="223">
        <f t="shared" si="386"/>
        <v>0</v>
      </c>
      <c r="AD225" s="223">
        <f t="shared" si="386"/>
        <v>0</v>
      </c>
      <c r="AE225" s="223">
        <f t="shared" si="386"/>
        <v>0</v>
      </c>
      <c r="AF225" s="223">
        <f t="shared" si="386"/>
        <v>0</v>
      </c>
      <c r="AG225" s="223">
        <f t="shared" si="386"/>
        <v>0</v>
      </c>
      <c r="AH225" s="223">
        <f t="shared" si="386"/>
        <v>0</v>
      </c>
      <c r="AI225" s="223">
        <f t="shared" si="386"/>
        <v>0</v>
      </c>
      <c r="AJ225" s="223">
        <f t="shared" si="386"/>
        <v>0</v>
      </c>
      <c r="AK225" s="223">
        <f t="shared" si="386"/>
        <v>0</v>
      </c>
      <c r="AL225" s="223">
        <f t="shared" si="386"/>
        <v>0</v>
      </c>
      <c r="AM225" s="223">
        <f t="shared" si="386"/>
        <v>0</v>
      </c>
      <c r="AN225" s="223">
        <f t="shared" si="386"/>
        <v>0</v>
      </c>
      <c r="AO225" s="223">
        <f t="shared" si="386"/>
        <v>0</v>
      </c>
      <c r="AP225" s="223">
        <f t="shared" si="386"/>
        <v>0</v>
      </c>
      <c r="AQ225" s="223">
        <f t="shared" si="386"/>
        <v>0</v>
      </c>
      <c r="AR225" s="223">
        <f t="shared" si="386"/>
        <v>0</v>
      </c>
      <c r="AS225" s="223">
        <f t="shared" si="386"/>
        <v>0</v>
      </c>
      <c r="AT225" s="223">
        <f t="shared" si="327"/>
        <v>0</v>
      </c>
      <c r="AU225" s="231">
        <f t="shared" si="362"/>
        <v>0</v>
      </c>
      <c r="AV225" s="232">
        <f t="shared" si="328"/>
        <v>0</v>
      </c>
      <c r="AW225" s="231" t="e">
        <f t="shared" si="329"/>
        <v>#DIV/0!</v>
      </c>
      <c r="AX225" s="220" t="s">
        <v>542</v>
      </c>
      <c r="AY225" s="220" t="s">
        <v>543</v>
      </c>
      <c r="AZ225" s="220" t="s">
        <v>4729</v>
      </c>
      <c r="BA225" s="223">
        <f t="shared" ref="BA225:BH225" si="387">SUM(BA226)</f>
        <v>0</v>
      </c>
      <c r="BB225" s="223">
        <f t="shared" si="387"/>
        <v>0</v>
      </c>
      <c r="BC225" s="223">
        <f t="shared" si="387"/>
        <v>0</v>
      </c>
      <c r="BD225" s="223">
        <f t="shared" si="387"/>
        <v>0</v>
      </c>
      <c r="BE225" s="223">
        <f t="shared" si="387"/>
        <v>0</v>
      </c>
      <c r="BF225" s="223">
        <f t="shared" si="387"/>
        <v>0</v>
      </c>
      <c r="BG225" s="223">
        <f t="shared" si="387"/>
        <v>0</v>
      </c>
      <c r="BH225" s="223">
        <f t="shared" si="387"/>
        <v>0</v>
      </c>
    </row>
    <row r="226" spans="2:60" x14ac:dyDescent="0.3">
      <c r="B226" s="288">
        <v>522192</v>
      </c>
      <c r="C226" s="220" t="s">
        <v>24</v>
      </c>
      <c r="D226" s="220"/>
      <c r="E226" s="220"/>
      <c r="F226" s="221">
        <v>0</v>
      </c>
      <c r="G226" s="221">
        <v>30000000</v>
      </c>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c r="AR226" s="221"/>
      <c r="AS226" s="221"/>
      <c r="AT226" s="221">
        <f t="shared" si="327"/>
        <v>0</v>
      </c>
      <c r="AU226" s="224">
        <f t="shared" si="362"/>
        <v>0</v>
      </c>
      <c r="AV226" s="225">
        <f t="shared" si="328"/>
        <v>0</v>
      </c>
      <c r="AW226" s="224" t="e">
        <f t="shared" si="329"/>
        <v>#DIV/0!</v>
      </c>
      <c r="AX226" s="220" t="s">
        <v>542</v>
      </c>
      <c r="AY226" s="220" t="s">
        <v>543</v>
      </c>
      <c r="AZ226" s="220" t="s">
        <v>4729</v>
      </c>
      <c r="BA226" s="221"/>
      <c r="BB226" s="221"/>
      <c r="BC226" s="221"/>
      <c r="BD226" s="221"/>
      <c r="BE226" s="221"/>
      <c r="BF226" s="221"/>
      <c r="BG226" s="221"/>
      <c r="BH226" s="221"/>
    </row>
    <row r="227" spans="2:60" x14ac:dyDescent="0.3">
      <c r="B227" s="226">
        <v>302</v>
      </c>
      <c r="C227" s="227" t="s">
        <v>193</v>
      </c>
      <c r="D227" s="227"/>
      <c r="E227" s="227"/>
      <c r="F227" s="228">
        <f>F228</f>
        <v>109200000</v>
      </c>
      <c r="G227" s="228">
        <f>G228</f>
        <v>109200000</v>
      </c>
      <c r="H227" s="228">
        <f>H228</f>
        <v>0</v>
      </c>
      <c r="I227" s="228"/>
      <c r="J227" s="228">
        <f t="shared" ref="J227:AS227" si="388">J228</f>
        <v>0</v>
      </c>
      <c r="K227" s="228">
        <f t="shared" si="388"/>
        <v>0</v>
      </c>
      <c r="L227" s="228">
        <f t="shared" si="388"/>
        <v>0</v>
      </c>
      <c r="M227" s="228">
        <f t="shared" si="388"/>
        <v>0</v>
      </c>
      <c r="N227" s="228">
        <f t="shared" si="388"/>
        <v>0</v>
      </c>
      <c r="O227" s="228">
        <f t="shared" si="388"/>
        <v>0</v>
      </c>
      <c r="P227" s="228">
        <f t="shared" si="388"/>
        <v>0</v>
      </c>
      <c r="Q227" s="228">
        <f t="shared" si="388"/>
        <v>0</v>
      </c>
      <c r="R227" s="228">
        <f t="shared" si="388"/>
        <v>0</v>
      </c>
      <c r="S227" s="228">
        <f t="shared" si="388"/>
        <v>0</v>
      </c>
      <c r="T227" s="228">
        <f t="shared" si="388"/>
        <v>0</v>
      </c>
      <c r="U227" s="228">
        <f t="shared" si="388"/>
        <v>0</v>
      </c>
      <c r="V227" s="228">
        <f t="shared" si="388"/>
        <v>0</v>
      </c>
      <c r="W227" s="228">
        <f t="shared" si="388"/>
        <v>0</v>
      </c>
      <c r="X227" s="228">
        <f t="shared" si="388"/>
        <v>7806000</v>
      </c>
      <c r="Y227" s="228">
        <f t="shared" si="388"/>
        <v>0</v>
      </c>
      <c r="Z227" s="228">
        <f t="shared" si="388"/>
        <v>0</v>
      </c>
      <c r="AA227" s="228">
        <f t="shared" si="388"/>
        <v>0</v>
      </c>
      <c r="AB227" s="228">
        <f t="shared" si="388"/>
        <v>0</v>
      </c>
      <c r="AC227" s="228">
        <f t="shared" si="388"/>
        <v>0</v>
      </c>
      <c r="AD227" s="228">
        <f t="shared" si="388"/>
        <v>0</v>
      </c>
      <c r="AE227" s="228">
        <f t="shared" si="388"/>
        <v>0</v>
      </c>
      <c r="AF227" s="228">
        <f t="shared" si="388"/>
        <v>0</v>
      </c>
      <c r="AG227" s="228">
        <f t="shared" si="388"/>
        <v>0</v>
      </c>
      <c r="AH227" s="228">
        <f t="shared" si="388"/>
        <v>0</v>
      </c>
      <c r="AI227" s="228">
        <f t="shared" si="388"/>
        <v>0</v>
      </c>
      <c r="AJ227" s="228">
        <f t="shared" si="388"/>
        <v>0</v>
      </c>
      <c r="AK227" s="228">
        <f t="shared" si="388"/>
        <v>0</v>
      </c>
      <c r="AL227" s="228">
        <f t="shared" si="388"/>
        <v>0</v>
      </c>
      <c r="AM227" s="228">
        <f t="shared" si="388"/>
        <v>0</v>
      </c>
      <c r="AN227" s="228">
        <f t="shared" si="388"/>
        <v>0</v>
      </c>
      <c r="AO227" s="228">
        <f t="shared" si="388"/>
        <v>0</v>
      </c>
      <c r="AP227" s="228">
        <f t="shared" si="388"/>
        <v>0</v>
      </c>
      <c r="AQ227" s="228">
        <f t="shared" si="388"/>
        <v>0</v>
      </c>
      <c r="AR227" s="228">
        <f t="shared" si="388"/>
        <v>0</v>
      </c>
      <c r="AS227" s="228">
        <f t="shared" si="388"/>
        <v>0</v>
      </c>
      <c r="AT227" s="228">
        <f t="shared" si="327"/>
        <v>7806000</v>
      </c>
      <c r="AU227" s="229">
        <f t="shared" si="362"/>
        <v>7.1483516483516487</v>
      </c>
      <c r="AV227" s="230">
        <f t="shared" si="328"/>
        <v>101394000</v>
      </c>
      <c r="AW227" s="229">
        <f t="shared" si="329"/>
        <v>92.85164835164835</v>
      </c>
      <c r="AX227" s="220" t="s">
        <v>542</v>
      </c>
      <c r="AY227" s="220" t="s">
        <v>543</v>
      </c>
      <c r="AZ227" s="220" t="s">
        <v>4729</v>
      </c>
      <c r="BA227" s="228">
        <f t="shared" ref="BA227:BH227" si="389">BA228</f>
        <v>0</v>
      </c>
      <c r="BB227" s="228">
        <f t="shared" si="389"/>
        <v>0</v>
      </c>
      <c r="BC227" s="228">
        <f t="shared" si="389"/>
        <v>0</v>
      </c>
      <c r="BD227" s="228">
        <f t="shared" si="389"/>
        <v>0</v>
      </c>
      <c r="BE227" s="228">
        <f t="shared" si="389"/>
        <v>0</v>
      </c>
      <c r="BF227" s="228">
        <f t="shared" si="389"/>
        <v>0</v>
      </c>
      <c r="BG227" s="228">
        <f t="shared" si="389"/>
        <v>7806000</v>
      </c>
      <c r="BH227" s="228">
        <f t="shared" si="389"/>
        <v>0</v>
      </c>
    </row>
    <row r="228" spans="2:60" x14ac:dyDescent="0.3">
      <c r="B228" s="290" t="s">
        <v>8</v>
      </c>
      <c r="C228" s="222" t="s">
        <v>193</v>
      </c>
      <c r="D228" s="222"/>
      <c r="E228" s="222"/>
      <c r="F228" s="223">
        <f>SUM(F229:F231)</f>
        <v>109200000</v>
      </c>
      <c r="G228" s="223">
        <f>SUM(G229:G231)</f>
        <v>109200000</v>
      </c>
      <c r="H228" s="223">
        <f>SUM(H229:H231)</f>
        <v>0</v>
      </c>
      <c r="I228" s="223"/>
      <c r="J228" s="223">
        <f t="shared" ref="J228:AS228" si="390">SUM(J229:J231)</f>
        <v>0</v>
      </c>
      <c r="K228" s="223">
        <f t="shared" si="390"/>
        <v>0</v>
      </c>
      <c r="L228" s="223">
        <f t="shared" si="390"/>
        <v>0</v>
      </c>
      <c r="M228" s="223">
        <f t="shared" si="390"/>
        <v>0</v>
      </c>
      <c r="N228" s="223">
        <f t="shared" si="390"/>
        <v>0</v>
      </c>
      <c r="O228" s="223">
        <f t="shared" si="390"/>
        <v>0</v>
      </c>
      <c r="P228" s="223">
        <f t="shared" si="390"/>
        <v>0</v>
      </c>
      <c r="Q228" s="223">
        <f t="shared" si="390"/>
        <v>0</v>
      </c>
      <c r="R228" s="223">
        <f t="shared" si="390"/>
        <v>0</v>
      </c>
      <c r="S228" s="223">
        <f t="shared" si="390"/>
        <v>0</v>
      </c>
      <c r="T228" s="223">
        <f t="shared" si="390"/>
        <v>0</v>
      </c>
      <c r="U228" s="223">
        <f t="shared" si="390"/>
        <v>0</v>
      </c>
      <c r="V228" s="223">
        <f t="shared" si="390"/>
        <v>0</v>
      </c>
      <c r="W228" s="223">
        <f t="shared" si="390"/>
        <v>0</v>
      </c>
      <c r="X228" s="223">
        <f t="shared" si="390"/>
        <v>7806000</v>
      </c>
      <c r="Y228" s="223">
        <f t="shared" si="390"/>
        <v>0</v>
      </c>
      <c r="Z228" s="223">
        <f t="shared" si="390"/>
        <v>0</v>
      </c>
      <c r="AA228" s="223">
        <f t="shared" si="390"/>
        <v>0</v>
      </c>
      <c r="AB228" s="223">
        <f t="shared" si="390"/>
        <v>0</v>
      </c>
      <c r="AC228" s="223">
        <f t="shared" si="390"/>
        <v>0</v>
      </c>
      <c r="AD228" s="223">
        <f t="shared" si="390"/>
        <v>0</v>
      </c>
      <c r="AE228" s="223">
        <f t="shared" si="390"/>
        <v>0</v>
      </c>
      <c r="AF228" s="223">
        <f t="shared" si="390"/>
        <v>0</v>
      </c>
      <c r="AG228" s="223">
        <f t="shared" si="390"/>
        <v>0</v>
      </c>
      <c r="AH228" s="223">
        <f t="shared" si="390"/>
        <v>0</v>
      </c>
      <c r="AI228" s="223">
        <f t="shared" si="390"/>
        <v>0</v>
      </c>
      <c r="AJ228" s="223">
        <f t="shared" si="390"/>
        <v>0</v>
      </c>
      <c r="AK228" s="223">
        <f t="shared" si="390"/>
        <v>0</v>
      </c>
      <c r="AL228" s="223">
        <f t="shared" si="390"/>
        <v>0</v>
      </c>
      <c r="AM228" s="223">
        <f t="shared" si="390"/>
        <v>0</v>
      </c>
      <c r="AN228" s="223">
        <f t="shared" si="390"/>
        <v>0</v>
      </c>
      <c r="AO228" s="223">
        <f t="shared" si="390"/>
        <v>0</v>
      </c>
      <c r="AP228" s="223">
        <f t="shared" si="390"/>
        <v>0</v>
      </c>
      <c r="AQ228" s="223">
        <f t="shared" si="390"/>
        <v>0</v>
      </c>
      <c r="AR228" s="223">
        <f t="shared" si="390"/>
        <v>0</v>
      </c>
      <c r="AS228" s="223">
        <f t="shared" si="390"/>
        <v>0</v>
      </c>
      <c r="AT228" s="223">
        <f>SUM(J228:AS228)</f>
        <v>7806000</v>
      </c>
      <c r="AU228" s="231">
        <f t="shared" si="362"/>
        <v>7.1483516483516487</v>
      </c>
      <c r="AV228" s="232">
        <f>F228-AT228</f>
        <v>101394000</v>
      </c>
      <c r="AW228" s="231">
        <f t="shared" si="329"/>
        <v>92.85164835164835</v>
      </c>
      <c r="AX228" s="220" t="s">
        <v>542</v>
      </c>
      <c r="AY228" s="220" t="s">
        <v>543</v>
      </c>
      <c r="AZ228" s="220" t="s">
        <v>4729</v>
      </c>
      <c r="BA228" s="223">
        <f t="shared" ref="BA228:BC228" si="391">SUM(BA229:BA231)</f>
        <v>0</v>
      </c>
      <c r="BB228" s="223">
        <f t="shared" si="391"/>
        <v>0</v>
      </c>
      <c r="BC228" s="223">
        <f t="shared" si="391"/>
        <v>0</v>
      </c>
      <c r="BD228" s="223">
        <f t="shared" ref="BD228" si="392">SUM(BD229:BD231)</f>
        <v>0</v>
      </c>
      <c r="BE228" s="223">
        <f t="shared" ref="BE228" si="393">SUM(BE229:BE231)</f>
        <v>0</v>
      </c>
      <c r="BF228" s="223">
        <f t="shared" ref="BF228:BG228" si="394">SUM(BF229:BF231)</f>
        <v>0</v>
      </c>
      <c r="BG228" s="223">
        <f t="shared" si="394"/>
        <v>7806000</v>
      </c>
      <c r="BH228" s="223">
        <f t="shared" ref="BH228" si="395">SUM(BH229:BH231)</f>
        <v>0</v>
      </c>
    </row>
    <row r="229" spans="2:60" x14ac:dyDescent="0.3">
      <c r="B229" s="288">
        <v>521211</v>
      </c>
      <c r="C229" s="220" t="s">
        <v>7</v>
      </c>
      <c r="D229" s="220"/>
      <c r="E229" s="220"/>
      <c r="F229" s="221">
        <v>25000000</v>
      </c>
      <c r="G229" s="221">
        <v>25000000</v>
      </c>
      <c r="H229" s="221"/>
      <c r="I229" s="221"/>
      <c r="J229" s="221"/>
      <c r="K229" s="221"/>
      <c r="L229" s="221"/>
      <c r="M229" s="221"/>
      <c r="N229" s="221"/>
      <c r="O229" s="221"/>
      <c r="P229" s="221"/>
      <c r="Q229" s="221"/>
      <c r="R229" s="221"/>
      <c r="S229" s="221"/>
      <c r="T229" s="221"/>
      <c r="U229" s="221"/>
      <c r="V229" s="221"/>
      <c r="W229" s="221"/>
      <c r="X229" s="221">
        <v>2961000</v>
      </c>
      <c r="Y229" s="221"/>
      <c r="Z229" s="221"/>
      <c r="AA229" s="221"/>
      <c r="AB229" s="221"/>
      <c r="AC229" s="221"/>
      <c r="AD229" s="221"/>
      <c r="AE229" s="221"/>
      <c r="AF229" s="221"/>
      <c r="AG229" s="221"/>
      <c r="AH229" s="221"/>
      <c r="AI229" s="221"/>
      <c r="AJ229" s="221"/>
      <c r="AK229" s="221"/>
      <c r="AL229" s="221"/>
      <c r="AM229" s="221"/>
      <c r="AN229" s="221"/>
      <c r="AO229" s="221"/>
      <c r="AP229" s="221"/>
      <c r="AQ229" s="221"/>
      <c r="AR229" s="221"/>
      <c r="AS229" s="221"/>
      <c r="AT229" s="221">
        <f t="shared" si="327"/>
        <v>2961000</v>
      </c>
      <c r="AU229" s="224">
        <f t="shared" si="362"/>
        <v>11.844000000000001</v>
      </c>
      <c r="AV229" s="225">
        <f t="shared" si="328"/>
        <v>22039000</v>
      </c>
      <c r="AW229" s="224">
        <f t="shared" si="329"/>
        <v>88.156000000000006</v>
      </c>
      <c r="AX229" s="220" t="s">
        <v>542</v>
      </c>
      <c r="AY229" s="220" t="s">
        <v>543</v>
      </c>
      <c r="AZ229" s="220" t="s">
        <v>4729</v>
      </c>
      <c r="BA229" s="221"/>
      <c r="BB229" s="221"/>
      <c r="BC229" s="221"/>
      <c r="BD229" s="221"/>
      <c r="BE229" s="221"/>
      <c r="BF229" s="221"/>
      <c r="BG229" s="221">
        <v>2961000</v>
      </c>
      <c r="BH229" s="221"/>
    </row>
    <row r="230" spans="2:60" x14ac:dyDescent="0.3">
      <c r="B230" s="288">
        <v>521811</v>
      </c>
      <c r="C230" s="220" t="s">
        <v>64</v>
      </c>
      <c r="D230" s="220"/>
      <c r="E230" s="220"/>
      <c r="F230" s="221">
        <v>30000000</v>
      </c>
      <c r="G230" s="221">
        <v>30000000</v>
      </c>
      <c r="H230" s="221"/>
      <c r="I230" s="221"/>
      <c r="J230" s="221"/>
      <c r="K230" s="221"/>
      <c r="L230" s="221"/>
      <c r="M230" s="221"/>
      <c r="N230" s="221"/>
      <c r="O230" s="221"/>
      <c r="P230" s="221"/>
      <c r="Q230" s="221"/>
      <c r="R230" s="221"/>
      <c r="S230" s="221"/>
      <c r="T230" s="221"/>
      <c r="U230" s="221"/>
      <c r="V230" s="221"/>
      <c r="W230" s="221"/>
      <c r="X230" s="221">
        <v>4845000</v>
      </c>
      <c r="Y230" s="221"/>
      <c r="Z230" s="221"/>
      <c r="AA230" s="221"/>
      <c r="AB230" s="221"/>
      <c r="AC230" s="221"/>
      <c r="AD230" s="221"/>
      <c r="AE230" s="221"/>
      <c r="AF230" s="221"/>
      <c r="AG230" s="221"/>
      <c r="AH230" s="221"/>
      <c r="AI230" s="221"/>
      <c r="AJ230" s="221"/>
      <c r="AK230" s="221"/>
      <c r="AL230" s="221"/>
      <c r="AM230" s="221"/>
      <c r="AN230" s="221"/>
      <c r="AO230" s="221"/>
      <c r="AP230" s="221"/>
      <c r="AQ230" s="221"/>
      <c r="AR230" s="221"/>
      <c r="AS230" s="221"/>
      <c r="AT230" s="221">
        <f t="shared" si="327"/>
        <v>4845000</v>
      </c>
      <c r="AU230" s="224">
        <f t="shared" si="362"/>
        <v>16.150000000000002</v>
      </c>
      <c r="AV230" s="225">
        <f t="shared" si="328"/>
        <v>25155000</v>
      </c>
      <c r="AW230" s="224">
        <f t="shared" si="329"/>
        <v>83.850000000000009</v>
      </c>
      <c r="AX230" s="220" t="s">
        <v>542</v>
      </c>
      <c r="AY230" s="220" t="s">
        <v>543</v>
      </c>
      <c r="AZ230" s="220" t="s">
        <v>4729</v>
      </c>
      <c r="BA230" s="221"/>
      <c r="BB230" s="221"/>
      <c r="BC230" s="221"/>
      <c r="BD230" s="221"/>
      <c r="BE230" s="221"/>
      <c r="BF230" s="221"/>
      <c r="BG230" s="221">
        <v>4845000</v>
      </c>
      <c r="BH230" s="221"/>
    </row>
    <row r="231" spans="2:60" x14ac:dyDescent="0.3">
      <c r="B231" s="288">
        <v>524111</v>
      </c>
      <c r="C231" s="220" t="s">
        <v>19</v>
      </c>
      <c r="D231" s="220"/>
      <c r="E231" s="220"/>
      <c r="F231" s="221">
        <v>54200000</v>
      </c>
      <c r="G231" s="221">
        <v>54200000</v>
      </c>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c r="AR231" s="221"/>
      <c r="AS231" s="221"/>
      <c r="AT231" s="221">
        <f>SUM(J231:AS231)</f>
        <v>0</v>
      </c>
      <c r="AU231" s="224">
        <f t="shared" si="362"/>
        <v>0</v>
      </c>
      <c r="AV231" s="225">
        <f t="shared" si="328"/>
        <v>54200000</v>
      </c>
      <c r="AW231" s="224">
        <f t="shared" si="329"/>
        <v>100</v>
      </c>
      <c r="AX231" s="220" t="s">
        <v>542</v>
      </c>
      <c r="AY231" s="220" t="s">
        <v>543</v>
      </c>
      <c r="AZ231" s="220" t="s">
        <v>4729</v>
      </c>
      <c r="BA231" s="221"/>
      <c r="BB231" s="221"/>
      <c r="BC231" s="221"/>
      <c r="BD231" s="221"/>
      <c r="BE231" s="221"/>
      <c r="BF231" s="221"/>
      <c r="BG231" s="221"/>
      <c r="BH231" s="221"/>
    </row>
    <row r="232" spans="2:60" x14ac:dyDescent="0.3">
      <c r="F232" s="287"/>
      <c r="G232" s="287"/>
      <c r="H232" s="287"/>
      <c r="I232" s="287"/>
      <c r="AT232" s="279"/>
    </row>
    <row r="233" spans="2:60" x14ac:dyDescent="0.3">
      <c r="AU233" t="s">
        <v>4644</v>
      </c>
    </row>
    <row r="234" spans="2:60" s="338" customFormat="1" x14ac:dyDescent="0.3">
      <c r="B234" s="516" t="s">
        <v>606</v>
      </c>
      <c r="C234" s="517" t="s">
        <v>607</v>
      </c>
      <c r="D234" s="517" t="s">
        <v>608</v>
      </c>
      <c r="E234" s="517" t="s">
        <v>609</v>
      </c>
      <c r="F234" s="517" t="s">
        <v>6233</v>
      </c>
      <c r="G234" s="517" t="s">
        <v>6234</v>
      </c>
      <c r="H234" s="436" t="s">
        <v>6364</v>
      </c>
      <c r="I234" s="436" t="s">
        <v>6365</v>
      </c>
      <c r="J234" s="518" t="s">
        <v>4629</v>
      </c>
      <c r="K234" s="518" t="s">
        <v>6366</v>
      </c>
      <c r="L234" s="518" t="s">
        <v>6367</v>
      </c>
      <c r="M234" s="518" t="s">
        <v>4630</v>
      </c>
      <c r="N234" s="518" t="s">
        <v>6368</v>
      </c>
      <c r="O234" s="518" t="s">
        <v>6369</v>
      </c>
      <c r="P234" s="518" t="s">
        <v>4631</v>
      </c>
      <c r="Q234" s="518" t="s">
        <v>6370</v>
      </c>
      <c r="R234" s="518" t="s">
        <v>6371</v>
      </c>
      <c r="S234" s="518" t="s">
        <v>4632</v>
      </c>
      <c r="T234" s="518" t="s">
        <v>6372</v>
      </c>
      <c r="U234" s="518" t="s">
        <v>6373</v>
      </c>
      <c r="V234" s="518" t="s">
        <v>4633</v>
      </c>
      <c r="W234" s="518" t="s">
        <v>6374</v>
      </c>
      <c r="X234" s="518" t="s">
        <v>6375</v>
      </c>
      <c r="Y234" s="518" t="s">
        <v>4634</v>
      </c>
      <c r="Z234" s="518" t="s">
        <v>6376</v>
      </c>
      <c r="AA234" s="518" t="s">
        <v>6377</v>
      </c>
      <c r="AB234" s="518" t="s">
        <v>4635</v>
      </c>
      <c r="AC234" s="518" t="s">
        <v>6378</v>
      </c>
      <c r="AD234" s="518" t="s">
        <v>6379</v>
      </c>
      <c r="AE234" s="518" t="s">
        <v>4636</v>
      </c>
      <c r="AF234" s="518" t="s">
        <v>6380</v>
      </c>
      <c r="AG234" s="518" t="s">
        <v>6381</v>
      </c>
      <c r="AH234" s="518" t="s">
        <v>4637</v>
      </c>
      <c r="AI234" s="518" t="s">
        <v>6382</v>
      </c>
      <c r="AJ234" s="518" t="s">
        <v>6383</v>
      </c>
      <c r="AK234" s="518" t="s">
        <v>4638</v>
      </c>
      <c r="AL234" s="518" t="s">
        <v>6384</v>
      </c>
      <c r="AM234" s="518" t="s">
        <v>6385</v>
      </c>
      <c r="AN234" s="518" t="s">
        <v>4639</v>
      </c>
      <c r="AO234" s="518" t="s">
        <v>6386</v>
      </c>
      <c r="AP234" s="518" t="s">
        <v>6387</v>
      </c>
      <c r="AQ234" s="518" t="s">
        <v>4640</v>
      </c>
      <c r="AR234" s="518" t="s">
        <v>6388</v>
      </c>
      <c r="AS234" s="518" t="s">
        <v>6389</v>
      </c>
      <c r="AT234" s="517" t="s">
        <v>4647</v>
      </c>
      <c r="AU234" s="519" t="s">
        <v>4648</v>
      </c>
      <c r="AV234" s="520" t="s">
        <v>4649</v>
      </c>
      <c r="AW234" s="520" t="s">
        <v>6390</v>
      </c>
      <c r="AX234" s="521" t="s">
        <v>4830</v>
      </c>
      <c r="AY234" s="521" t="s">
        <v>500</v>
      </c>
      <c r="AZ234" s="521" t="s">
        <v>4814</v>
      </c>
      <c r="BA234" s="522" t="s">
        <v>4829</v>
      </c>
      <c r="BB234" s="522" t="s">
        <v>6391</v>
      </c>
      <c r="BC234" s="522" t="s">
        <v>6392</v>
      </c>
      <c r="BD234" s="522" t="s">
        <v>6393</v>
      </c>
      <c r="BE234" s="522" t="s">
        <v>6394</v>
      </c>
      <c r="BF234" s="522" t="s">
        <v>6395</v>
      </c>
      <c r="BG234" s="522" t="s">
        <v>6396</v>
      </c>
      <c r="BH234" s="522" t="s">
        <v>6397</v>
      </c>
    </row>
    <row r="235" spans="2:60" x14ac:dyDescent="0.3">
      <c r="B235" s="512"/>
      <c r="C235" s="436"/>
      <c r="D235" s="436"/>
      <c r="E235" s="436"/>
      <c r="F235" s="436"/>
      <c r="G235" s="436"/>
      <c r="H235" s="436"/>
      <c r="I235" s="436"/>
      <c r="J235" s="434" t="s">
        <v>4643</v>
      </c>
      <c r="K235" s="434" t="s">
        <v>4641</v>
      </c>
      <c r="L235" s="434" t="s">
        <v>4642</v>
      </c>
      <c r="M235" s="434" t="s">
        <v>4643</v>
      </c>
      <c r="N235" s="434" t="s">
        <v>4641</v>
      </c>
      <c r="O235" s="434" t="s">
        <v>4642</v>
      </c>
      <c r="P235" s="434" t="s">
        <v>4643</v>
      </c>
      <c r="Q235" s="434" t="s">
        <v>4641</v>
      </c>
      <c r="R235" s="434" t="s">
        <v>4642</v>
      </c>
      <c r="S235" s="434" t="s">
        <v>4643</v>
      </c>
      <c r="T235" s="434" t="s">
        <v>4641</v>
      </c>
      <c r="U235" s="434" t="s">
        <v>4642</v>
      </c>
      <c r="V235" s="434" t="s">
        <v>4643</v>
      </c>
      <c r="W235" s="434" t="s">
        <v>4641</v>
      </c>
      <c r="X235" s="434" t="s">
        <v>4642</v>
      </c>
      <c r="Y235" s="434" t="s">
        <v>4643</v>
      </c>
      <c r="Z235" s="434" t="s">
        <v>4641</v>
      </c>
      <c r="AA235" s="434" t="s">
        <v>4642</v>
      </c>
      <c r="AB235" s="434" t="s">
        <v>4643</v>
      </c>
      <c r="AC235" s="434" t="s">
        <v>4641</v>
      </c>
      <c r="AD235" s="434" t="s">
        <v>4642</v>
      </c>
      <c r="AE235" s="434" t="s">
        <v>4643</v>
      </c>
      <c r="AF235" s="434" t="s">
        <v>4641</v>
      </c>
      <c r="AG235" s="434" t="s">
        <v>4642</v>
      </c>
      <c r="AH235" s="434" t="s">
        <v>4643</v>
      </c>
      <c r="AI235" s="434" t="s">
        <v>4641</v>
      </c>
      <c r="AJ235" s="434" t="s">
        <v>4642</v>
      </c>
      <c r="AK235" s="434" t="s">
        <v>4643</v>
      </c>
      <c r="AL235" s="434" t="s">
        <v>4641</v>
      </c>
      <c r="AM235" s="434" t="s">
        <v>4642</v>
      </c>
      <c r="AN235" s="434" t="s">
        <v>4643</v>
      </c>
      <c r="AO235" s="434" t="s">
        <v>4641</v>
      </c>
      <c r="AP235" s="434" t="s">
        <v>4642</v>
      </c>
      <c r="AQ235" s="434" t="s">
        <v>4643</v>
      </c>
      <c r="AR235" s="434" t="s">
        <v>4641</v>
      </c>
      <c r="AS235" s="434" t="s">
        <v>4642</v>
      </c>
      <c r="AT235" s="436"/>
      <c r="AU235" s="437"/>
      <c r="AV235" s="435"/>
      <c r="AW235" s="435"/>
      <c r="AX235" s="304"/>
      <c r="AY235" s="304"/>
      <c r="AZ235" s="304"/>
      <c r="BA235" s="302" t="s">
        <v>4826</v>
      </c>
      <c r="BB235" s="301" t="s">
        <v>4827</v>
      </c>
      <c r="BC235" s="302" t="s">
        <v>4828</v>
      </c>
      <c r="BD235" s="301" t="s">
        <v>4836</v>
      </c>
      <c r="BE235" s="357" t="s">
        <v>5160</v>
      </c>
      <c r="BF235" s="357" t="s">
        <v>5196</v>
      </c>
      <c r="BG235" s="357" t="s">
        <v>5197</v>
      </c>
      <c r="BH235" s="357" t="s">
        <v>5352</v>
      </c>
    </row>
    <row r="236" spans="2:60" s="245" customFormat="1" x14ac:dyDescent="0.3">
      <c r="B236" s="513" t="s">
        <v>501</v>
      </c>
      <c r="C236" s="241" t="s">
        <v>76</v>
      </c>
      <c r="D236" s="241"/>
      <c r="E236" s="241"/>
      <c r="F236" s="242">
        <f>F237+F250</f>
        <v>6478996000</v>
      </c>
      <c r="G236" s="242">
        <f t="shared" ref="G236:AR236" si="396">G237+G250</f>
        <v>6478996000</v>
      </c>
      <c r="H236" s="242">
        <f t="shared" ref="H236" si="397">H237+H250</f>
        <v>323949000</v>
      </c>
      <c r="I236" s="242"/>
      <c r="J236" s="242">
        <f t="shared" si="396"/>
        <v>208949299</v>
      </c>
      <c r="K236" s="242">
        <f t="shared" si="396"/>
        <v>0</v>
      </c>
      <c r="L236" s="242">
        <f t="shared" si="396"/>
        <v>0</v>
      </c>
      <c r="M236" s="242">
        <f t="shared" si="396"/>
        <v>471416928</v>
      </c>
      <c r="N236" s="242">
        <f t="shared" si="396"/>
        <v>0</v>
      </c>
      <c r="O236" s="242">
        <f t="shared" si="396"/>
        <v>0</v>
      </c>
      <c r="P236" s="242">
        <f t="shared" si="396"/>
        <v>493246114</v>
      </c>
      <c r="Q236" s="242">
        <f t="shared" si="396"/>
        <v>0</v>
      </c>
      <c r="R236" s="242">
        <f t="shared" si="396"/>
        <v>0</v>
      </c>
      <c r="S236" s="242">
        <f t="shared" si="396"/>
        <v>811194029</v>
      </c>
      <c r="T236" s="242">
        <f t="shared" si="396"/>
        <v>0</v>
      </c>
      <c r="U236" s="242">
        <f t="shared" si="396"/>
        <v>0</v>
      </c>
      <c r="V236" s="242">
        <f t="shared" si="396"/>
        <v>480605233</v>
      </c>
      <c r="W236" s="242">
        <f t="shared" si="396"/>
        <v>0</v>
      </c>
      <c r="X236" s="242">
        <f t="shared" si="396"/>
        <v>0</v>
      </c>
      <c r="Y236" s="242">
        <f t="shared" si="396"/>
        <v>474352354</v>
      </c>
      <c r="Z236" s="242">
        <f t="shared" si="396"/>
        <v>0</v>
      </c>
      <c r="AA236" s="242">
        <f t="shared" si="396"/>
        <v>0</v>
      </c>
      <c r="AB236" s="242">
        <f t="shared" si="396"/>
        <v>0</v>
      </c>
      <c r="AC236" s="242">
        <f t="shared" si="396"/>
        <v>0</v>
      </c>
      <c r="AD236" s="242">
        <f t="shared" si="396"/>
        <v>0</v>
      </c>
      <c r="AE236" s="242">
        <f t="shared" si="396"/>
        <v>0</v>
      </c>
      <c r="AF236" s="242">
        <f t="shared" si="396"/>
        <v>0</v>
      </c>
      <c r="AG236" s="242">
        <f t="shared" si="396"/>
        <v>0</v>
      </c>
      <c r="AH236" s="242">
        <f t="shared" si="396"/>
        <v>0</v>
      </c>
      <c r="AI236" s="242">
        <f t="shared" si="396"/>
        <v>0</v>
      </c>
      <c r="AJ236" s="242">
        <f t="shared" si="396"/>
        <v>0</v>
      </c>
      <c r="AK236" s="242">
        <f t="shared" si="396"/>
        <v>0</v>
      </c>
      <c r="AL236" s="242">
        <f t="shared" si="396"/>
        <v>0</v>
      </c>
      <c r="AM236" s="242">
        <f t="shared" si="396"/>
        <v>0</v>
      </c>
      <c r="AN236" s="242">
        <f t="shared" si="396"/>
        <v>0</v>
      </c>
      <c r="AO236" s="242">
        <f t="shared" si="396"/>
        <v>0</v>
      </c>
      <c r="AP236" s="242">
        <f t="shared" si="396"/>
        <v>0</v>
      </c>
      <c r="AQ236" s="242">
        <f t="shared" si="396"/>
        <v>0</v>
      </c>
      <c r="AR236" s="242">
        <f t="shared" si="396"/>
        <v>0</v>
      </c>
      <c r="AS236" s="242"/>
      <c r="AT236" s="242">
        <f t="shared" ref="AT236:AT248" si="398">SUM(J236:AS236)</f>
        <v>2939763957</v>
      </c>
      <c r="AU236" s="496">
        <f t="shared" ref="AU236:AU248" si="399">IFERROR(AT236/F236*100,0)</f>
        <v>45.373757863101012</v>
      </c>
      <c r="AV236" s="243">
        <f t="shared" ref="AV236:AV248" si="400">F236-AT236</f>
        <v>3539232043</v>
      </c>
      <c r="AW236" s="243">
        <f t="shared" ref="AW236:AW248" si="401">AV236/F236*100</f>
        <v>54.626242136898981</v>
      </c>
      <c r="AX236" s="241" t="s">
        <v>576</v>
      </c>
      <c r="AY236" s="245" t="s">
        <v>546</v>
      </c>
      <c r="BA236" s="480"/>
      <c r="BC236" s="480"/>
    </row>
    <row r="237" spans="2:60" x14ac:dyDescent="0.3">
      <c r="B237" s="514" t="s">
        <v>1807</v>
      </c>
      <c r="C237" s="481" t="s">
        <v>1808</v>
      </c>
      <c r="D237" s="482"/>
      <c r="E237" s="482"/>
      <c r="F237" s="483">
        <f>SUM(F238:F248)</f>
        <v>6155047000</v>
      </c>
      <c r="G237" s="483">
        <f>SUM(G238:G248)</f>
        <v>6155047000</v>
      </c>
      <c r="H237" s="483">
        <f>SUM(H238:H248)</f>
        <v>0</v>
      </c>
      <c r="I237" s="483"/>
      <c r="J237" s="483">
        <f t="shared" ref="J237:K237" si="402">SUM(J238:J248)</f>
        <v>208949299</v>
      </c>
      <c r="K237" s="483">
        <f t="shared" si="402"/>
        <v>0</v>
      </c>
      <c r="L237" s="483">
        <f>SUM(L238:L248)</f>
        <v>0</v>
      </c>
      <c r="M237" s="483">
        <f t="shared" ref="M237:N237" si="403">SUM(M238:M248)</f>
        <v>471416928</v>
      </c>
      <c r="N237" s="483">
        <f t="shared" si="403"/>
        <v>0</v>
      </c>
      <c r="O237" s="483">
        <f>SUM(O238:O248)</f>
        <v>0</v>
      </c>
      <c r="P237" s="483">
        <f t="shared" ref="P237:Q237" si="404">SUM(P238:P248)</f>
        <v>493246114</v>
      </c>
      <c r="Q237" s="483">
        <f t="shared" si="404"/>
        <v>0</v>
      </c>
      <c r="R237" s="483">
        <f>SUM(R238:R248)</f>
        <v>0</v>
      </c>
      <c r="S237" s="483">
        <f t="shared" ref="S237:AR237" si="405">SUM(S238:S248)</f>
        <v>811194029</v>
      </c>
      <c r="T237" s="483">
        <f t="shared" si="405"/>
        <v>0</v>
      </c>
      <c r="U237" s="483">
        <f t="shared" si="405"/>
        <v>0</v>
      </c>
      <c r="V237" s="483">
        <f t="shared" si="405"/>
        <v>480605233</v>
      </c>
      <c r="W237" s="483">
        <f t="shared" si="405"/>
        <v>0</v>
      </c>
      <c r="X237" s="483">
        <f t="shared" si="405"/>
        <v>0</v>
      </c>
      <c r="Y237" s="483">
        <f t="shared" si="405"/>
        <v>474352354</v>
      </c>
      <c r="Z237" s="483">
        <f t="shared" si="405"/>
        <v>0</v>
      </c>
      <c r="AA237" s="483">
        <f t="shared" si="405"/>
        <v>0</v>
      </c>
      <c r="AB237" s="483">
        <f t="shared" si="405"/>
        <v>0</v>
      </c>
      <c r="AC237" s="483">
        <f t="shared" si="405"/>
        <v>0</v>
      </c>
      <c r="AD237" s="483">
        <f t="shared" si="405"/>
        <v>0</v>
      </c>
      <c r="AE237" s="483">
        <f t="shared" si="405"/>
        <v>0</v>
      </c>
      <c r="AF237" s="483">
        <f t="shared" si="405"/>
        <v>0</v>
      </c>
      <c r="AG237" s="483">
        <f t="shared" si="405"/>
        <v>0</v>
      </c>
      <c r="AH237" s="483">
        <f t="shared" si="405"/>
        <v>0</v>
      </c>
      <c r="AI237" s="483">
        <f t="shared" si="405"/>
        <v>0</v>
      </c>
      <c r="AJ237" s="483">
        <f t="shared" si="405"/>
        <v>0</v>
      </c>
      <c r="AK237" s="483">
        <f t="shared" si="405"/>
        <v>0</v>
      </c>
      <c r="AL237" s="483">
        <f t="shared" si="405"/>
        <v>0</v>
      </c>
      <c r="AM237" s="483">
        <f t="shared" si="405"/>
        <v>0</v>
      </c>
      <c r="AN237" s="483">
        <f t="shared" si="405"/>
        <v>0</v>
      </c>
      <c r="AO237" s="483">
        <f t="shared" si="405"/>
        <v>0</v>
      </c>
      <c r="AP237" s="483">
        <f t="shared" si="405"/>
        <v>0</v>
      </c>
      <c r="AQ237" s="483">
        <f t="shared" si="405"/>
        <v>0</v>
      </c>
      <c r="AR237" s="483">
        <f t="shared" si="405"/>
        <v>0</v>
      </c>
      <c r="AS237" s="223"/>
      <c r="AT237" s="223">
        <f t="shared" si="398"/>
        <v>2939763957</v>
      </c>
      <c r="AU237" s="286">
        <f t="shared" si="399"/>
        <v>47.761844174382425</v>
      </c>
      <c r="AV237" s="231">
        <f t="shared" si="400"/>
        <v>3215283043</v>
      </c>
      <c r="AW237" s="495">
        <f t="shared" si="401"/>
        <v>52.238155825617582</v>
      </c>
      <c r="AX237" s="482" t="s">
        <v>576</v>
      </c>
      <c r="AY237" t="s">
        <v>546</v>
      </c>
      <c r="BA237" s="484"/>
      <c r="BB237"/>
      <c r="BC237" s="484"/>
      <c r="BD237"/>
    </row>
    <row r="238" spans="2:60" x14ac:dyDescent="0.3">
      <c r="B238" s="515">
        <v>511111</v>
      </c>
      <c r="C238" s="485" t="s">
        <v>77</v>
      </c>
      <c r="D238" s="485"/>
      <c r="E238" s="485"/>
      <c r="F238" s="486">
        <v>2483477000</v>
      </c>
      <c r="G238" s="487">
        <v>2483477000</v>
      </c>
      <c r="H238" s="487"/>
      <c r="I238" s="487"/>
      <c r="J238" s="487">
        <v>165683660</v>
      </c>
      <c r="K238" s="488"/>
      <c r="L238" s="488"/>
      <c r="M238" s="488">
        <v>164673160</v>
      </c>
      <c r="N238" s="488"/>
      <c r="O238" s="488"/>
      <c r="P238" s="489">
        <v>178479060</v>
      </c>
      <c r="Q238" s="488"/>
      <c r="R238" s="488"/>
      <c r="S238" s="489">
        <v>333776320</v>
      </c>
      <c r="T238" s="488"/>
      <c r="U238" s="488"/>
      <c r="V238" s="490">
        <f>167581800+211500</f>
        <v>167793300</v>
      </c>
      <c r="W238" s="488"/>
      <c r="X238" s="488"/>
      <c r="Y238" s="488">
        <f>3445500+167581800</f>
        <v>171027300</v>
      </c>
      <c r="Z238" s="488"/>
      <c r="AA238" s="488"/>
      <c r="AB238" s="488"/>
      <c r="AC238" s="488"/>
      <c r="AD238" s="488"/>
      <c r="AE238" s="488"/>
      <c r="AF238" s="488"/>
      <c r="AG238" s="488"/>
      <c r="AH238" s="488"/>
      <c r="AI238" s="488"/>
      <c r="AJ238" s="488"/>
      <c r="AK238" s="488"/>
      <c r="AL238" s="488"/>
      <c r="AM238" s="488"/>
      <c r="AN238" s="488"/>
      <c r="AO238" s="488"/>
      <c r="AP238" s="488"/>
      <c r="AQ238" s="488"/>
      <c r="AR238" s="488"/>
      <c r="AS238" s="488"/>
      <c r="AT238" s="488">
        <f t="shared" si="398"/>
        <v>1181432800</v>
      </c>
      <c r="AU238" s="497">
        <f t="shared" si="399"/>
        <v>47.571723031862184</v>
      </c>
      <c r="AV238" s="492">
        <f t="shared" si="400"/>
        <v>1302044200</v>
      </c>
      <c r="AW238" s="491">
        <f t="shared" si="401"/>
        <v>52.428276968137823</v>
      </c>
      <c r="AX238" s="485" t="s">
        <v>576</v>
      </c>
      <c r="AY238" t="s">
        <v>546</v>
      </c>
      <c r="BA238" s="274"/>
      <c r="BB238"/>
      <c r="BC238" s="274"/>
      <c r="BD238"/>
    </row>
    <row r="239" spans="2:60" x14ac:dyDescent="0.3">
      <c r="B239" s="515">
        <v>511119</v>
      </c>
      <c r="C239" s="485" t="s">
        <v>79</v>
      </c>
      <c r="D239" s="485"/>
      <c r="E239" s="485"/>
      <c r="F239" s="486">
        <v>38000</v>
      </c>
      <c r="G239" s="487">
        <v>38000</v>
      </c>
      <c r="H239" s="487"/>
      <c r="I239" s="487"/>
      <c r="J239" s="487">
        <v>2296</v>
      </c>
      <c r="K239" s="488"/>
      <c r="L239" s="488"/>
      <c r="M239" s="489">
        <v>2382</v>
      </c>
      <c r="N239" s="488"/>
      <c r="O239" s="488"/>
      <c r="P239" s="489">
        <v>3161</v>
      </c>
      <c r="Q239" s="488"/>
      <c r="R239" s="488"/>
      <c r="S239" s="489">
        <v>5493</v>
      </c>
      <c r="T239" s="488"/>
      <c r="U239" s="488"/>
      <c r="V239" s="490">
        <f>2454+35</f>
        <v>2489</v>
      </c>
      <c r="W239" s="488"/>
      <c r="X239" s="488"/>
      <c r="Y239" s="488">
        <f>17+2454</f>
        <v>2471</v>
      </c>
      <c r="Z239" s="488"/>
      <c r="AA239" s="488"/>
      <c r="AB239" s="488"/>
      <c r="AC239" s="488"/>
      <c r="AD239" s="488"/>
      <c r="AE239" s="488"/>
      <c r="AF239" s="488"/>
      <c r="AG239" s="488"/>
      <c r="AH239" s="488"/>
      <c r="AI239" s="488"/>
      <c r="AJ239" s="488"/>
      <c r="AK239" s="488"/>
      <c r="AL239" s="488"/>
      <c r="AM239" s="488"/>
      <c r="AN239" s="488"/>
      <c r="AO239" s="488"/>
      <c r="AP239" s="488"/>
      <c r="AQ239" s="488"/>
      <c r="AR239" s="488"/>
      <c r="AS239" s="488"/>
      <c r="AT239" s="488">
        <f t="shared" si="398"/>
        <v>18292</v>
      </c>
      <c r="AU239" s="497">
        <f t="shared" si="399"/>
        <v>48.136842105263156</v>
      </c>
      <c r="AV239" s="492">
        <f t="shared" si="400"/>
        <v>19708</v>
      </c>
      <c r="AW239" s="491">
        <f t="shared" si="401"/>
        <v>51.863157894736844</v>
      </c>
      <c r="AX239" s="485" t="s">
        <v>576</v>
      </c>
      <c r="AY239" t="s">
        <v>546</v>
      </c>
      <c r="BA239" s="274"/>
      <c r="BB239"/>
      <c r="BC239" s="274"/>
      <c r="BD239"/>
    </row>
    <row r="240" spans="2:60" x14ac:dyDescent="0.3">
      <c r="B240" s="515">
        <v>511121</v>
      </c>
      <c r="C240" s="485" t="s">
        <v>80</v>
      </c>
      <c r="D240" s="485"/>
      <c r="E240" s="485"/>
      <c r="F240" s="486">
        <v>171959000</v>
      </c>
      <c r="G240" s="487">
        <v>171959000</v>
      </c>
      <c r="H240" s="487"/>
      <c r="I240" s="487"/>
      <c r="J240" s="487">
        <v>11298990</v>
      </c>
      <c r="K240" s="488"/>
      <c r="L240" s="488"/>
      <c r="M240" s="489">
        <v>10479130</v>
      </c>
      <c r="N240" s="488"/>
      <c r="O240" s="488"/>
      <c r="P240" s="489">
        <v>11369370</v>
      </c>
      <c r="Q240" s="488"/>
      <c r="R240" s="488"/>
      <c r="S240" s="489">
        <v>21754920</v>
      </c>
      <c r="T240" s="488"/>
      <c r="U240" s="488"/>
      <c r="V240" s="490">
        <v>10849200</v>
      </c>
      <c r="W240" s="488"/>
      <c r="X240" s="488"/>
      <c r="Y240" s="488">
        <f>344550+10849200</f>
        <v>11193750</v>
      </c>
      <c r="Z240" s="488"/>
      <c r="AA240" s="488"/>
      <c r="AB240" s="488"/>
      <c r="AC240" s="488"/>
      <c r="AD240" s="488"/>
      <c r="AE240" s="488"/>
      <c r="AF240" s="488"/>
      <c r="AG240" s="488"/>
      <c r="AH240" s="488"/>
      <c r="AI240" s="488"/>
      <c r="AJ240" s="488"/>
      <c r="AK240" s="488"/>
      <c r="AL240" s="488"/>
      <c r="AM240" s="488"/>
      <c r="AN240" s="488"/>
      <c r="AO240" s="488"/>
      <c r="AP240" s="488"/>
      <c r="AQ240" s="488"/>
      <c r="AR240" s="488"/>
      <c r="AS240" s="488"/>
      <c r="AT240" s="488">
        <f t="shared" si="398"/>
        <v>76945360</v>
      </c>
      <c r="AU240" s="497">
        <f t="shared" si="399"/>
        <v>44.746340697491846</v>
      </c>
      <c r="AV240" s="492">
        <f t="shared" si="400"/>
        <v>95013640</v>
      </c>
      <c r="AW240" s="491">
        <f t="shared" si="401"/>
        <v>55.253659302508154</v>
      </c>
      <c r="AX240" s="485" t="s">
        <v>576</v>
      </c>
      <c r="AY240" t="s">
        <v>546</v>
      </c>
      <c r="BA240" s="274"/>
      <c r="BB240"/>
      <c r="BC240" s="274"/>
      <c r="BD240"/>
    </row>
    <row r="241" spans="2:60" x14ac:dyDescent="0.3">
      <c r="B241" s="515">
        <v>511122</v>
      </c>
      <c r="C241" s="485" t="s">
        <v>81</v>
      </c>
      <c r="D241" s="485"/>
      <c r="E241" s="485"/>
      <c r="F241" s="486">
        <v>46700000</v>
      </c>
      <c r="G241" s="487">
        <v>46700000</v>
      </c>
      <c r="H241" s="487"/>
      <c r="I241" s="487"/>
      <c r="J241" s="487">
        <v>3180974</v>
      </c>
      <c r="K241" s="488"/>
      <c r="L241" s="488"/>
      <c r="M241" s="489">
        <v>3106994</v>
      </c>
      <c r="N241" s="488"/>
      <c r="O241" s="488"/>
      <c r="P241" s="489">
        <v>3451660</v>
      </c>
      <c r="Q241" s="488"/>
      <c r="R241" s="488"/>
      <c r="S241" s="489">
        <v>6510188</v>
      </c>
      <c r="T241" s="488"/>
      <c r="U241" s="488"/>
      <c r="V241" s="490">
        <v>3249442</v>
      </c>
      <c r="W241" s="488"/>
      <c r="X241" s="488"/>
      <c r="Y241" s="488">
        <f>137820+3249442</f>
        <v>3387262</v>
      </c>
      <c r="Z241" s="488"/>
      <c r="AA241" s="488"/>
      <c r="AB241" s="488"/>
      <c r="AC241" s="488"/>
      <c r="AD241" s="488"/>
      <c r="AE241" s="488"/>
      <c r="AF241" s="488"/>
      <c r="AG241" s="488"/>
      <c r="AH241" s="488"/>
      <c r="AI241" s="488"/>
      <c r="AJ241" s="488"/>
      <c r="AK241" s="488"/>
      <c r="AL241" s="488"/>
      <c r="AM241" s="488"/>
      <c r="AN241" s="488"/>
      <c r="AO241" s="488"/>
      <c r="AP241" s="488"/>
      <c r="AQ241" s="488"/>
      <c r="AR241" s="488"/>
      <c r="AS241" s="488"/>
      <c r="AT241" s="488">
        <f t="shared" si="398"/>
        <v>22886520</v>
      </c>
      <c r="AU241" s="497">
        <f t="shared" si="399"/>
        <v>49.007537473233405</v>
      </c>
      <c r="AV241" s="492">
        <f t="shared" si="400"/>
        <v>23813480</v>
      </c>
      <c r="AW241" s="491">
        <f t="shared" si="401"/>
        <v>50.992462526766587</v>
      </c>
      <c r="AX241" s="485" t="s">
        <v>576</v>
      </c>
      <c r="AY241" t="s">
        <v>546</v>
      </c>
      <c r="BA241" s="274"/>
      <c r="BB241"/>
      <c r="BC241" s="274"/>
      <c r="BD241"/>
    </row>
    <row r="242" spans="2:60" x14ac:dyDescent="0.3">
      <c r="B242" s="515">
        <v>511123</v>
      </c>
      <c r="C242" s="485" t="s">
        <v>82</v>
      </c>
      <c r="D242" s="485"/>
      <c r="E242" s="485"/>
      <c r="F242" s="486">
        <v>158000000</v>
      </c>
      <c r="G242" s="487">
        <v>158000000</v>
      </c>
      <c r="H242" s="487"/>
      <c r="I242" s="487"/>
      <c r="J242" s="487">
        <v>9730000</v>
      </c>
      <c r="K242" s="488"/>
      <c r="L242" s="488"/>
      <c r="M242" s="489">
        <v>9730000</v>
      </c>
      <c r="N242" s="488"/>
      <c r="O242" s="488"/>
      <c r="P242" s="489">
        <v>9730000</v>
      </c>
      <c r="Q242" s="488"/>
      <c r="R242" s="488"/>
      <c r="S242" s="489">
        <v>19460000</v>
      </c>
      <c r="T242" s="488"/>
      <c r="U242" s="488"/>
      <c r="V242" s="490">
        <v>9730000</v>
      </c>
      <c r="W242" s="488"/>
      <c r="X242" s="488"/>
      <c r="Y242" s="488">
        <v>9730000</v>
      </c>
      <c r="Z242" s="488"/>
      <c r="AA242" s="488"/>
      <c r="AB242" s="488"/>
      <c r="AC242" s="488"/>
      <c r="AD242" s="488"/>
      <c r="AE242" s="488"/>
      <c r="AF242" s="488"/>
      <c r="AG242" s="488"/>
      <c r="AH242" s="488"/>
      <c r="AI242" s="488"/>
      <c r="AJ242" s="488"/>
      <c r="AK242" s="488"/>
      <c r="AL242" s="488"/>
      <c r="AM242" s="488"/>
      <c r="AN242" s="488"/>
      <c r="AO242" s="488"/>
      <c r="AP242" s="488"/>
      <c r="AQ242" s="488"/>
      <c r="AR242" s="488"/>
      <c r="AS242" s="488"/>
      <c r="AT242" s="488">
        <f t="shared" si="398"/>
        <v>68110000</v>
      </c>
      <c r="AU242" s="497">
        <f t="shared" si="399"/>
        <v>43.107594936708857</v>
      </c>
      <c r="AV242" s="492">
        <f t="shared" si="400"/>
        <v>89890000</v>
      </c>
      <c r="AW242" s="491">
        <f t="shared" si="401"/>
        <v>56.892405063291143</v>
      </c>
      <c r="AX242" s="485" t="s">
        <v>576</v>
      </c>
      <c r="AY242" t="s">
        <v>546</v>
      </c>
      <c r="BA242" s="274"/>
      <c r="BB242"/>
      <c r="BC242" s="274"/>
      <c r="BD242"/>
    </row>
    <row r="243" spans="2:60" x14ac:dyDescent="0.3">
      <c r="B243" s="515">
        <v>511124</v>
      </c>
      <c r="C243" s="485" t="s">
        <v>83</v>
      </c>
      <c r="D243" s="485"/>
      <c r="E243" s="485"/>
      <c r="F243" s="486">
        <v>48180000</v>
      </c>
      <c r="G243" s="487">
        <v>48180000</v>
      </c>
      <c r="H243" s="487"/>
      <c r="I243" s="487"/>
      <c r="J243" s="487">
        <v>4480000</v>
      </c>
      <c r="K243" s="488"/>
      <c r="L243" s="488"/>
      <c r="M243" s="489">
        <v>4480000</v>
      </c>
      <c r="N243" s="488"/>
      <c r="O243" s="488"/>
      <c r="P243" s="489">
        <v>5134000</v>
      </c>
      <c r="Q243" s="488"/>
      <c r="R243" s="488"/>
      <c r="S243" s="489">
        <v>9614000</v>
      </c>
      <c r="T243" s="488"/>
      <c r="U243" s="488"/>
      <c r="V243" s="490">
        <v>4807000</v>
      </c>
      <c r="W243" s="488"/>
      <c r="X243" s="488"/>
      <c r="Y243" s="488">
        <f>480000+4807000</f>
        <v>5287000</v>
      </c>
      <c r="Z243" s="488"/>
      <c r="AA243" s="488"/>
      <c r="AB243" s="488"/>
      <c r="AC243" s="488"/>
      <c r="AD243" s="488"/>
      <c r="AE243" s="488"/>
      <c r="AF243" s="488"/>
      <c r="AG243" s="488"/>
      <c r="AH243" s="488"/>
      <c r="AI243" s="488"/>
      <c r="AJ243" s="488"/>
      <c r="AK243" s="488"/>
      <c r="AL243" s="488"/>
      <c r="AM243" s="488"/>
      <c r="AN243" s="488"/>
      <c r="AO243" s="488"/>
      <c r="AP243" s="488"/>
      <c r="AQ243" s="488"/>
      <c r="AR243" s="488"/>
      <c r="AS243" s="488"/>
      <c r="AT243" s="488">
        <f t="shared" si="398"/>
        <v>33802000</v>
      </c>
      <c r="AU243" s="497">
        <f t="shared" si="399"/>
        <v>70.157741801577416</v>
      </c>
      <c r="AV243" s="492">
        <f t="shared" si="400"/>
        <v>14378000</v>
      </c>
      <c r="AW243" s="491">
        <f t="shared" si="401"/>
        <v>29.842258198422584</v>
      </c>
      <c r="AX243" s="485" t="s">
        <v>576</v>
      </c>
      <c r="AY243" t="s">
        <v>546</v>
      </c>
      <c r="BA243" s="274"/>
      <c r="BB243"/>
      <c r="BC243" s="274"/>
      <c r="BD243"/>
    </row>
    <row r="244" spans="2:60" x14ac:dyDescent="0.3">
      <c r="B244" s="515">
        <v>511125</v>
      </c>
      <c r="C244" s="485" t="s">
        <v>84</v>
      </c>
      <c r="D244" s="485"/>
      <c r="E244" s="485"/>
      <c r="F244" s="486">
        <v>13133000</v>
      </c>
      <c r="G244" s="487">
        <v>13133000</v>
      </c>
      <c r="H244" s="487"/>
      <c r="I244" s="487"/>
      <c r="J244" s="487">
        <v>265559</v>
      </c>
      <c r="K244" s="488"/>
      <c r="L244" s="488"/>
      <c r="M244" s="489">
        <v>273792</v>
      </c>
      <c r="N244" s="488"/>
      <c r="O244" s="488"/>
      <c r="P244" s="489">
        <v>399758</v>
      </c>
      <c r="Q244" s="488"/>
      <c r="R244" s="488"/>
      <c r="S244" s="489">
        <v>2872401</v>
      </c>
      <c r="T244" s="488"/>
      <c r="U244" s="488"/>
      <c r="V244" s="490">
        <f>273209+10008</f>
        <v>283217</v>
      </c>
      <c r="W244" s="488"/>
      <c r="X244" s="488"/>
      <c r="Y244" s="488">
        <v>273209</v>
      </c>
      <c r="Z244" s="488"/>
      <c r="AA244" s="488"/>
      <c r="AB244" s="488"/>
      <c r="AC244" s="488"/>
      <c r="AD244" s="488"/>
      <c r="AE244" s="488"/>
      <c r="AF244" s="488"/>
      <c r="AG244" s="488"/>
      <c r="AH244" s="488"/>
      <c r="AI244" s="488"/>
      <c r="AJ244" s="488"/>
      <c r="AK244" s="488"/>
      <c r="AL244" s="488"/>
      <c r="AM244" s="488"/>
      <c r="AN244" s="488"/>
      <c r="AO244" s="488"/>
      <c r="AP244" s="488"/>
      <c r="AQ244" s="488"/>
      <c r="AR244" s="488"/>
      <c r="AS244" s="488"/>
      <c r="AT244" s="488">
        <f t="shared" si="398"/>
        <v>4367936</v>
      </c>
      <c r="AU244" s="497">
        <f t="shared" si="399"/>
        <v>33.259240082235593</v>
      </c>
      <c r="AV244" s="492">
        <f t="shared" si="400"/>
        <v>8765064</v>
      </c>
      <c r="AW244" s="491">
        <f t="shared" si="401"/>
        <v>66.740759917764407</v>
      </c>
      <c r="AX244" s="485" t="s">
        <v>576</v>
      </c>
      <c r="AY244" t="s">
        <v>546</v>
      </c>
      <c r="BA244" s="274"/>
      <c r="BB244"/>
      <c r="BC244" s="274"/>
      <c r="BD244"/>
    </row>
    <row r="245" spans="2:60" x14ac:dyDescent="0.3">
      <c r="B245" s="515">
        <v>511126</v>
      </c>
      <c r="C245" s="485" t="s">
        <v>85</v>
      </c>
      <c r="D245" s="485"/>
      <c r="E245" s="485"/>
      <c r="F245" s="486">
        <v>130333000</v>
      </c>
      <c r="G245" s="487">
        <v>130333000</v>
      </c>
      <c r="H245" s="487"/>
      <c r="I245" s="487"/>
      <c r="J245" s="487">
        <v>8762820</v>
      </c>
      <c r="K245" s="488"/>
      <c r="L245" s="488"/>
      <c r="M245" s="489">
        <v>8545560</v>
      </c>
      <c r="N245" s="488"/>
      <c r="O245" s="488"/>
      <c r="P245" s="489">
        <v>9197340</v>
      </c>
      <c r="Q245" s="488"/>
      <c r="R245" s="488"/>
      <c r="S245" s="489">
        <f>8907660+8762820</f>
        <v>17670480</v>
      </c>
      <c r="T245" s="488"/>
      <c r="U245" s="488"/>
      <c r="V245" s="490">
        <v>8835240</v>
      </c>
      <c r="W245" s="488"/>
      <c r="X245" s="488"/>
      <c r="Y245" s="488">
        <f>289680+8835240</f>
        <v>9124920</v>
      </c>
      <c r="Z245" s="488"/>
      <c r="AA245" s="488"/>
      <c r="AB245" s="488"/>
      <c r="AC245" s="488"/>
      <c r="AD245" s="488"/>
      <c r="AE245" s="488"/>
      <c r="AF245" s="488"/>
      <c r="AG245" s="488"/>
      <c r="AH245" s="488"/>
      <c r="AI245" s="488"/>
      <c r="AJ245" s="488"/>
      <c r="AK245" s="488"/>
      <c r="AL245" s="488"/>
      <c r="AM245" s="488"/>
      <c r="AN245" s="488"/>
      <c r="AO245" s="488"/>
      <c r="AP245" s="488"/>
      <c r="AQ245" s="488"/>
      <c r="AR245" s="488"/>
      <c r="AS245" s="488"/>
      <c r="AT245" s="488">
        <f t="shared" si="398"/>
        <v>62136360</v>
      </c>
      <c r="AU245" s="497">
        <f t="shared" si="399"/>
        <v>47.675078452886069</v>
      </c>
      <c r="AV245" s="492">
        <f t="shared" si="400"/>
        <v>68196640</v>
      </c>
      <c r="AW245" s="491">
        <f t="shared" si="401"/>
        <v>52.324921547113931</v>
      </c>
      <c r="AX245" s="485" t="s">
        <v>576</v>
      </c>
      <c r="AY245" t="s">
        <v>546</v>
      </c>
      <c r="BA245" s="274"/>
      <c r="BB245"/>
      <c r="BC245" s="274"/>
      <c r="BD245"/>
    </row>
    <row r="246" spans="2:60" x14ac:dyDescent="0.3">
      <c r="B246" s="515">
        <v>511129</v>
      </c>
      <c r="C246" s="485" t="s">
        <v>86</v>
      </c>
      <c r="D246" s="485"/>
      <c r="E246" s="485"/>
      <c r="F246" s="486">
        <v>379379000</v>
      </c>
      <c r="G246" s="488">
        <v>379379000</v>
      </c>
      <c r="H246" s="488"/>
      <c r="I246" s="488"/>
      <c r="J246" s="488"/>
      <c r="K246" s="488"/>
      <c r="L246" s="488"/>
      <c r="M246" s="489">
        <v>31515000</v>
      </c>
      <c r="N246" s="488"/>
      <c r="O246" s="488"/>
      <c r="P246" s="489">
        <v>24572000</v>
      </c>
      <c r="Q246" s="488"/>
      <c r="R246" s="488"/>
      <c r="S246" s="489">
        <v>27330000</v>
      </c>
      <c r="T246" s="488"/>
      <c r="U246" s="488"/>
      <c r="V246" s="489">
        <v>26312000</v>
      </c>
      <c r="W246" s="488"/>
      <c r="X246" s="488"/>
      <c r="Y246" s="488">
        <v>16698000</v>
      </c>
      <c r="Z246" s="488"/>
      <c r="AA246" s="488"/>
      <c r="AB246" s="488"/>
      <c r="AC246" s="488"/>
      <c r="AD246" s="488"/>
      <c r="AE246" s="488"/>
      <c r="AF246" s="488"/>
      <c r="AG246" s="488"/>
      <c r="AH246" s="488"/>
      <c r="AI246" s="488"/>
      <c r="AJ246" s="488"/>
      <c r="AK246" s="488"/>
      <c r="AL246" s="488"/>
      <c r="AM246" s="488"/>
      <c r="AN246" s="488"/>
      <c r="AO246" s="488"/>
      <c r="AP246" s="488"/>
      <c r="AQ246" s="488"/>
      <c r="AR246" s="488"/>
      <c r="AS246" s="488"/>
      <c r="AT246" s="488">
        <f t="shared" si="398"/>
        <v>126427000</v>
      </c>
      <c r="AU246" s="497">
        <f t="shared" si="399"/>
        <v>33.324722770633059</v>
      </c>
      <c r="AV246" s="492">
        <f t="shared" si="400"/>
        <v>252952000</v>
      </c>
      <c r="AW246" s="491">
        <f t="shared" si="401"/>
        <v>66.675277229366941</v>
      </c>
      <c r="AX246" s="485" t="s">
        <v>576</v>
      </c>
      <c r="AY246" t="s">
        <v>546</v>
      </c>
      <c r="BA246" s="274"/>
      <c r="BB246"/>
      <c r="BC246" s="274"/>
      <c r="BD246"/>
    </row>
    <row r="247" spans="2:60" x14ac:dyDescent="0.3">
      <c r="B247" s="515">
        <v>511151</v>
      </c>
      <c r="C247" s="485" t="s">
        <v>87</v>
      </c>
      <c r="D247" s="485"/>
      <c r="E247" s="485"/>
      <c r="F247" s="486">
        <v>88360000</v>
      </c>
      <c r="G247" s="488">
        <v>88360000</v>
      </c>
      <c r="H247" s="488"/>
      <c r="I247" s="488"/>
      <c r="J247" s="488">
        <v>5545000</v>
      </c>
      <c r="K247" s="488"/>
      <c r="L247" s="488"/>
      <c r="M247" s="489">
        <v>5545000</v>
      </c>
      <c r="N247" s="488"/>
      <c r="O247" s="488"/>
      <c r="P247" s="489">
        <v>5735000</v>
      </c>
      <c r="Q247" s="488"/>
      <c r="R247" s="488"/>
      <c r="S247" s="489">
        <v>11070000</v>
      </c>
      <c r="T247" s="488"/>
      <c r="U247" s="488"/>
      <c r="V247" s="490">
        <v>5535000</v>
      </c>
      <c r="W247" s="488"/>
      <c r="X247" s="488"/>
      <c r="Y247" s="488">
        <v>5535000</v>
      </c>
      <c r="Z247" s="488"/>
      <c r="AA247" s="488"/>
      <c r="AB247" s="488"/>
      <c r="AC247" s="488"/>
      <c r="AD247" s="488"/>
      <c r="AE247" s="488"/>
      <c r="AF247" s="488"/>
      <c r="AG247" s="488"/>
      <c r="AH247" s="488"/>
      <c r="AI247" s="488"/>
      <c r="AJ247" s="488"/>
      <c r="AK247" s="488"/>
      <c r="AL247" s="488"/>
      <c r="AM247" s="488"/>
      <c r="AN247" s="488"/>
      <c r="AO247" s="488"/>
      <c r="AP247" s="488"/>
      <c r="AQ247" s="488"/>
      <c r="AR247" s="488"/>
      <c r="AS247" s="488"/>
      <c r="AT247" s="488">
        <f t="shared" si="398"/>
        <v>38965000</v>
      </c>
      <c r="AU247" s="497">
        <f t="shared" si="399"/>
        <v>44.098008148483473</v>
      </c>
      <c r="AV247" s="492">
        <f t="shared" si="400"/>
        <v>49395000</v>
      </c>
      <c r="AW247" s="491">
        <f t="shared" si="401"/>
        <v>55.90199185151652</v>
      </c>
      <c r="AX247" s="485" t="s">
        <v>576</v>
      </c>
      <c r="AY247" t="s">
        <v>546</v>
      </c>
      <c r="BA247" s="274"/>
      <c r="BB247"/>
      <c r="BC247" s="274"/>
      <c r="BD247"/>
    </row>
    <row r="248" spans="2:60" x14ac:dyDescent="0.3">
      <c r="B248" s="515">
        <v>512411</v>
      </c>
      <c r="C248" s="485" t="s">
        <v>88</v>
      </c>
      <c r="D248" s="485"/>
      <c r="E248" s="485"/>
      <c r="F248" s="486">
        <v>2635488000</v>
      </c>
      <c r="G248" s="488">
        <v>2635488000</v>
      </c>
      <c r="H248" s="488"/>
      <c r="I248" s="488"/>
      <c r="J248" s="488"/>
      <c r="K248" s="488"/>
      <c r="L248" s="488"/>
      <c r="M248" s="489">
        <v>233065910</v>
      </c>
      <c r="N248" s="488"/>
      <c r="O248" s="488"/>
      <c r="P248" s="489">
        <v>245174765</v>
      </c>
      <c r="Q248" s="488"/>
      <c r="R248" s="488"/>
      <c r="S248" s="489">
        <v>361130227</v>
      </c>
      <c r="T248" s="488"/>
      <c r="U248" s="488"/>
      <c r="V248" s="490">
        <f>236089382+4745975+2372988</f>
        <v>243208345</v>
      </c>
      <c r="W248" s="488"/>
      <c r="X248" s="488"/>
      <c r="Y248" s="488">
        <f>241668914+424528</f>
        <v>242093442</v>
      </c>
      <c r="Z248" s="488"/>
      <c r="AA248" s="488"/>
      <c r="AB248" s="488"/>
      <c r="AC248" s="488"/>
      <c r="AD248" s="488"/>
      <c r="AE248" s="488"/>
      <c r="AF248" s="488"/>
      <c r="AG248" s="488"/>
      <c r="AH248" s="488"/>
      <c r="AI248" s="488"/>
      <c r="AJ248" s="488"/>
      <c r="AK248" s="488"/>
      <c r="AL248" s="488"/>
      <c r="AM248" s="488"/>
      <c r="AN248" s="488"/>
      <c r="AO248" s="488"/>
      <c r="AP248" s="488"/>
      <c r="AQ248" s="488"/>
      <c r="AR248" s="488"/>
      <c r="AS248" s="488"/>
      <c r="AT248" s="488">
        <f t="shared" si="398"/>
        <v>1324672689</v>
      </c>
      <c r="AU248" s="497">
        <f t="shared" si="399"/>
        <v>50.262899660328564</v>
      </c>
      <c r="AV248" s="492">
        <f t="shared" si="400"/>
        <v>1310815311</v>
      </c>
      <c r="AW248" s="491">
        <f t="shared" si="401"/>
        <v>49.737100339671436</v>
      </c>
      <c r="AX248" s="485" t="s">
        <v>576</v>
      </c>
      <c r="AY248" t="s">
        <v>546</v>
      </c>
      <c r="BA248" s="274"/>
      <c r="BB248"/>
      <c r="BC248" s="274"/>
      <c r="BD248"/>
    </row>
    <row r="249" spans="2:60" x14ac:dyDescent="0.3">
      <c r="B249" s="514" t="s">
        <v>1807</v>
      </c>
      <c r="C249" s="481" t="s">
        <v>4042</v>
      </c>
      <c r="D249" s="482"/>
      <c r="E249" s="482"/>
      <c r="F249" s="483">
        <f t="shared" ref="F249:G249" si="406">F250</f>
        <v>323949000</v>
      </c>
      <c r="G249" s="483">
        <f t="shared" si="406"/>
        <v>323949000</v>
      </c>
      <c r="H249" s="483">
        <f>H250</f>
        <v>323949000</v>
      </c>
      <c r="I249" s="483"/>
      <c r="J249" s="483">
        <f t="shared" ref="J249:K249" si="407">SUM(J250:J260)</f>
        <v>0</v>
      </c>
      <c r="K249" s="483">
        <f t="shared" si="407"/>
        <v>0</v>
      </c>
      <c r="L249" s="483">
        <f>SUM(L250:L260)</f>
        <v>0</v>
      </c>
      <c r="M249" s="483">
        <f t="shared" ref="M249:N249" si="408">SUM(M250:M260)</f>
        <v>0</v>
      </c>
      <c r="N249" s="483">
        <f t="shared" si="408"/>
        <v>0</v>
      </c>
      <c r="O249" s="483">
        <f>SUM(O250:O260)</f>
        <v>0</v>
      </c>
      <c r="P249" s="483">
        <f t="shared" ref="P249:Q249" si="409">SUM(P250:P260)</f>
        <v>0</v>
      </c>
      <c r="Q249" s="483">
        <f t="shared" si="409"/>
        <v>0</v>
      </c>
      <c r="R249" s="483">
        <f>SUM(R250:R260)</f>
        <v>0</v>
      </c>
      <c r="S249" s="483">
        <f t="shared" ref="S249:AR249" si="410">SUM(S250:S260)</f>
        <v>0</v>
      </c>
      <c r="T249" s="483">
        <f t="shared" si="410"/>
        <v>0</v>
      </c>
      <c r="U249" s="483">
        <f t="shared" si="410"/>
        <v>0</v>
      </c>
      <c r="V249" s="483">
        <f t="shared" si="410"/>
        <v>0</v>
      </c>
      <c r="W249" s="483">
        <f t="shared" si="410"/>
        <v>0</v>
      </c>
      <c r="X249" s="483">
        <f t="shared" si="410"/>
        <v>0</v>
      </c>
      <c r="Y249" s="483">
        <f t="shared" si="410"/>
        <v>0</v>
      </c>
      <c r="Z249" s="483">
        <f t="shared" si="410"/>
        <v>0</v>
      </c>
      <c r="AA249" s="483">
        <f t="shared" si="410"/>
        <v>0</v>
      </c>
      <c r="AB249" s="483">
        <f t="shared" si="410"/>
        <v>0</v>
      </c>
      <c r="AC249" s="483">
        <f t="shared" si="410"/>
        <v>0</v>
      </c>
      <c r="AD249" s="483">
        <f t="shared" si="410"/>
        <v>0</v>
      </c>
      <c r="AE249" s="483">
        <f t="shared" si="410"/>
        <v>0</v>
      </c>
      <c r="AF249" s="483">
        <f t="shared" si="410"/>
        <v>0</v>
      </c>
      <c r="AG249" s="483">
        <f t="shared" si="410"/>
        <v>0</v>
      </c>
      <c r="AH249" s="483">
        <f t="shared" si="410"/>
        <v>0</v>
      </c>
      <c r="AI249" s="483">
        <f t="shared" si="410"/>
        <v>0</v>
      </c>
      <c r="AJ249" s="483">
        <f t="shared" si="410"/>
        <v>0</v>
      </c>
      <c r="AK249" s="483">
        <f t="shared" si="410"/>
        <v>0</v>
      </c>
      <c r="AL249" s="483">
        <f t="shared" si="410"/>
        <v>0</v>
      </c>
      <c r="AM249" s="483">
        <f t="shared" si="410"/>
        <v>0</v>
      </c>
      <c r="AN249" s="483">
        <f t="shared" si="410"/>
        <v>0</v>
      </c>
      <c r="AO249" s="483">
        <f t="shared" si="410"/>
        <v>0</v>
      </c>
      <c r="AP249" s="483">
        <f t="shared" si="410"/>
        <v>0</v>
      </c>
      <c r="AQ249" s="483">
        <f t="shared" si="410"/>
        <v>0</v>
      </c>
      <c r="AR249" s="483">
        <f t="shared" si="410"/>
        <v>0</v>
      </c>
      <c r="AS249" s="223"/>
      <c r="AT249" s="223">
        <f t="shared" ref="AT249" si="411">SUM(J249:AS249)</f>
        <v>0</v>
      </c>
      <c r="AU249" s="286">
        <f t="shared" ref="AU249" si="412">IFERROR(AT249/F249*100,0)</f>
        <v>0</v>
      </c>
      <c r="AV249" s="231">
        <f t="shared" ref="AV249" si="413">F249-AT249</f>
        <v>323949000</v>
      </c>
      <c r="AW249" s="495">
        <f t="shared" ref="AW249" si="414">AV249/F249*100</f>
        <v>100</v>
      </c>
      <c r="AX249" s="482" t="s">
        <v>576</v>
      </c>
      <c r="AY249" t="s">
        <v>546</v>
      </c>
      <c r="BA249" s="484"/>
      <c r="BB249"/>
      <c r="BC249" s="484"/>
      <c r="BD249"/>
    </row>
    <row r="250" spans="2:60" x14ac:dyDescent="0.3">
      <c r="B250" s="515">
        <v>512411</v>
      </c>
      <c r="C250" s="523" t="s">
        <v>88</v>
      </c>
      <c r="D250" s="523"/>
      <c r="E250" s="523"/>
      <c r="F250" s="524">
        <v>323949000</v>
      </c>
      <c r="G250" s="524">
        <v>323949000</v>
      </c>
      <c r="H250" s="524">
        <v>323949000</v>
      </c>
      <c r="I250" s="524"/>
      <c r="J250" s="524"/>
      <c r="K250" s="524"/>
      <c r="L250" s="524"/>
      <c r="M250" s="525"/>
      <c r="N250" s="524"/>
      <c r="O250" s="524"/>
      <c r="P250" s="525"/>
      <c r="Q250" s="524"/>
      <c r="R250" s="524"/>
      <c r="S250" s="525"/>
      <c r="T250" s="524"/>
      <c r="U250" s="524"/>
      <c r="V250" s="526"/>
      <c r="W250" s="524"/>
      <c r="X250" s="524"/>
      <c r="Y250" s="524"/>
      <c r="Z250" s="524"/>
      <c r="AA250" s="524"/>
      <c r="AB250" s="524"/>
      <c r="AC250" s="524"/>
      <c r="AD250" s="524"/>
      <c r="AE250" s="524"/>
      <c r="AF250" s="524"/>
      <c r="AG250" s="524"/>
      <c r="AH250" s="524"/>
      <c r="AI250" s="524"/>
      <c r="AJ250" s="524"/>
      <c r="AK250" s="524"/>
      <c r="AL250" s="524"/>
      <c r="AM250" s="524"/>
      <c r="AN250" s="524"/>
      <c r="AO250" s="524"/>
      <c r="AP250" s="524"/>
      <c r="AQ250" s="524"/>
      <c r="AR250" s="524"/>
      <c r="AS250" s="524"/>
      <c r="AT250" s="524">
        <f>SUM(J250:AS250)</f>
        <v>0</v>
      </c>
      <c r="AU250" s="527">
        <f>IFERROR(AT250/F250*100,0)</f>
        <v>0</v>
      </c>
      <c r="AV250" s="528">
        <f>F250-AT250</f>
        <v>323949000</v>
      </c>
      <c r="AW250" s="529">
        <f>AV250/F250*100</f>
        <v>100</v>
      </c>
      <c r="AX250" s="523"/>
      <c r="AY250" s="287"/>
      <c r="AZ250" s="287"/>
      <c r="BA250" s="530"/>
      <c r="BB250" s="530"/>
      <c r="BC250" s="530"/>
      <c r="BD250" s="530"/>
      <c r="BE250" s="287"/>
      <c r="BF250" s="287"/>
      <c r="BG250" s="287"/>
      <c r="BH250" s="287"/>
    </row>
    <row r="257" spans="4:6" x14ac:dyDescent="0.3">
      <c r="D257" s="274"/>
      <c r="E257" s="274"/>
      <c r="F257" s="274"/>
    </row>
    <row r="258" spans="4:6" x14ac:dyDescent="0.3">
      <c r="D258" s="274"/>
      <c r="E258" s="274"/>
      <c r="F258" s="274"/>
    </row>
    <row r="259" spans="4:6" x14ac:dyDescent="0.3">
      <c r="D259" s="274"/>
      <c r="E259" s="274"/>
      <c r="F259" s="274"/>
    </row>
    <row r="260" spans="4:6" x14ac:dyDescent="0.3">
      <c r="D260" s="274"/>
      <c r="E260" s="274"/>
      <c r="F260" s="274"/>
    </row>
    <row r="261" spans="4:6" x14ac:dyDescent="0.3">
      <c r="D261" s="274"/>
      <c r="E261" s="274"/>
      <c r="F261" s="274"/>
    </row>
    <row r="262" spans="4:6" x14ac:dyDescent="0.3">
      <c r="D262" s="274"/>
      <c r="E262" s="274"/>
      <c r="F262" s="274"/>
    </row>
    <row r="263" spans="4:6" x14ac:dyDescent="0.3">
      <c r="D263" s="274"/>
      <c r="E263" s="274"/>
      <c r="F263" s="274"/>
    </row>
    <row r="264" spans="4:6" x14ac:dyDescent="0.3">
      <c r="D264" s="274"/>
      <c r="E264" s="274"/>
      <c r="F264" s="274"/>
    </row>
    <row r="265" spans="4:6" x14ac:dyDescent="0.3">
      <c r="D265" s="274"/>
      <c r="E265" s="274"/>
      <c r="F265" s="274"/>
    </row>
    <row r="266" spans="4:6" x14ac:dyDescent="0.3">
      <c r="D266" s="274"/>
      <c r="E266" s="274"/>
      <c r="F266" s="274"/>
    </row>
    <row r="267" spans="4:6" x14ac:dyDescent="0.3">
      <c r="D267" s="274"/>
      <c r="E267" s="274"/>
      <c r="F267" s="274"/>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7" type="noConversion"/>
  <conditionalFormatting sqref="AT21:AT231">
    <cfRule type="expression" dxfId="9" priority="7">
      <formula>ROW()=CELL("ROW")</formula>
    </cfRule>
  </conditionalFormatting>
  <conditionalFormatting sqref="AS236:AS237">
    <cfRule type="expression" dxfId="8" priority="5">
      <formula>ROW()=CELL("ROW")</formula>
    </cfRule>
  </conditionalFormatting>
  <conditionalFormatting sqref="B237:C237">
    <cfRule type="expression" dxfId="7" priority="4">
      <formula>AND($R$4="Ya",$Q$2=ROW())</formula>
    </cfRule>
  </conditionalFormatting>
  <conditionalFormatting sqref="AT238:AT248">
    <cfRule type="expression" dxfId="6" priority="3">
      <formula>ROW()=CELL("ROW")</formula>
    </cfRule>
  </conditionalFormatting>
  <conditionalFormatting sqref="AS249">
    <cfRule type="expression" dxfId="1" priority="2">
      <formula>ROW()=CELL("ROW")</formula>
    </cfRule>
  </conditionalFormatting>
  <conditionalFormatting sqref="B249:C249">
    <cfRule type="expression" dxfId="0"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PERSUBBID!$B$17:$B$47</xm:f>
          </x14:formula1>
          <xm:sqref>AY14:AY59 AY62:AY145 AY147:AY231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dimension ref="A3:I232"/>
  <sheetViews>
    <sheetView topLeftCell="A94" workbookViewId="0">
      <selection activeCell="B4" sqref="B4:B122"/>
    </sheetView>
  </sheetViews>
  <sheetFormatPr defaultRowHeight="14.4" x14ac:dyDescent="0.3"/>
  <cols>
    <col min="1" max="1" width="29.33203125" bestFit="1" customWidth="1"/>
    <col min="2" max="2" width="16.5546875" style="274" bestFit="1" customWidth="1"/>
    <col min="4" max="4" width="29.33203125" bestFit="1" customWidth="1"/>
    <col min="5" max="5" width="28.44140625" style="274" bestFit="1" customWidth="1"/>
    <col min="8" max="8" width="14.109375" style="274" bestFit="1" customWidth="1"/>
    <col min="9" max="9" width="14.109375" bestFit="1" customWidth="1"/>
  </cols>
  <sheetData>
    <row r="3" spans="1:9" x14ac:dyDescent="0.3">
      <c r="A3" s="411" t="s">
        <v>4834</v>
      </c>
      <c r="B3" s="274" t="s">
        <v>6232</v>
      </c>
      <c r="D3" t="s">
        <v>6237</v>
      </c>
      <c r="E3" s="274" t="s">
        <v>6238</v>
      </c>
    </row>
    <row r="4" spans="1:9" x14ac:dyDescent="0.3">
      <c r="A4" s="275" t="s">
        <v>424</v>
      </c>
      <c r="B4" s="274">
        <v>19875000</v>
      </c>
      <c r="D4" t="s">
        <v>424</v>
      </c>
      <c r="E4" s="274">
        <f>_xlfn.XLOOKUP(Table6[[#This Row],[Column1]],$A$4:$A$122,$B$4:$B$122,0,0,1)</f>
        <v>19875000</v>
      </c>
      <c r="G4" t="b">
        <f>A4=Table6[[#This Row],[Column1]]</f>
        <v>1</v>
      </c>
      <c r="H4" s="274">
        <v>19875000</v>
      </c>
      <c r="I4" s="276">
        <f>B4-H4</f>
        <v>0</v>
      </c>
    </row>
    <row r="5" spans="1:9" x14ac:dyDescent="0.3">
      <c r="A5" s="275" t="s">
        <v>772</v>
      </c>
      <c r="B5" s="274">
        <v>20000000</v>
      </c>
      <c r="D5" t="s">
        <v>772</v>
      </c>
      <c r="E5" s="274">
        <f>_xlfn.XLOOKUP(Table6[[#This Row],[Column1]],$A$4:$A$122,$B$4:$B$122,0,0,1)</f>
        <v>20000000</v>
      </c>
      <c r="G5" t="b">
        <f>A5=Table6[[#This Row],[Column1]]</f>
        <v>1</v>
      </c>
      <c r="H5" s="274">
        <v>20000000</v>
      </c>
      <c r="I5" s="276">
        <f t="shared" ref="I5:I65" si="0">B5-H5</f>
        <v>0</v>
      </c>
    </row>
    <row r="6" spans="1:9" x14ac:dyDescent="0.3">
      <c r="A6" s="275" t="s">
        <v>429</v>
      </c>
      <c r="B6" s="274">
        <v>43260000</v>
      </c>
      <c r="D6" t="s">
        <v>429</v>
      </c>
      <c r="E6" s="274">
        <f>_xlfn.XLOOKUP(Table6[[#This Row],[Column1]],$A$4:$A$122,$B$4:$B$122,0,0,1)</f>
        <v>43260000</v>
      </c>
      <c r="G6" t="b">
        <f>A6=Table6[[#This Row],[Column1]]</f>
        <v>1</v>
      </c>
      <c r="H6" s="274">
        <v>43260000</v>
      </c>
      <c r="I6" s="276">
        <f t="shared" si="0"/>
        <v>0</v>
      </c>
    </row>
    <row r="7" spans="1:9" x14ac:dyDescent="0.3">
      <c r="A7" s="275" t="s">
        <v>432</v>
      </c>
      <c r="B7" s="274">
        <v>19500000</v>
      </c>
      <c r="D7" t="s">
        <v>432</v>
      </c>
      <c r="E7" s="274">
        <f>_xlfn.XLOOKUP(Table6[[#This Row],[Column1]],$A$4:$A$122,$B$4:$B$122,0,0,1)</f>
        <v>19500000</v>
      </c>
      <c r="G7" t="b">
        <f>A7=Table6[[#This Row],[Column1]]</f>
        <v>1</v>
      </c>
      <c r="H7" s="274">
        <v>19500000</v>
      </c>
      <c r="I7" s="276">
        <f t="shared" si="0"/>
        <v>0</v>
      </c>
    </row>
    <row r="8" spans="1:9" x14ac:dyDescent="0.3">
      <c r="A8" s="275" t="s">
        <v>777</v>
      </c>
      <c r="B8" s="274">
        <v>4000000</v>
      </c>
      <c r="D8" t="s">
        <v>777</v>
      </c>
      <c r="E8" s="274">
        <f>_xlfn.XLOOKUP(Table6[[#This Row],[Column1]],$A$4:$A$122,$B$4:$B$122,0,0,1)</f>
        <v>4000000</v>
      </c>
      <c r="G8" t="b">
        <f>A8=Table6[[#This Row],[Column1]]</f>
        <v>1</v>
      </c>
      <c r="H8" s="274">
        <v>4000000</v>
      </c>
      <c r="I8" s="276">
        <f t="shared" si="0"/>
        <v>0</v>
      </c>
    </row>
    <row r="9" spans="1:9" x14ac:dyDescent="0.3">
      <c r="A9" s="275" t="s">
        <v>437</v>
      </c>
      <c r="B9" s="274">
        <v>17465000</v>
      </c>
      <c r="D9" t="s">
        <v>437</v>
      </c>
      <c r="E9" s="274">
        <f>_xlfn.XLOOKUP(Table6[[#This Row],[Column1]],$A$4:$A$122,$B$4:$B$122,0,0,1)</f>
        <v>17465000</v>
      </c>
      <c r="G9" t="b">
        <f>A9=Table6[[#This Row],[Column1]]</f>
        <v>1</v>
      </c>
      <c r="H9" s="274">
        <v>17465000</v>
      </c>
      <c r="I9" s="276">
        <f t="shared" si="0"/>
        <v>0</v>
      </c>
    </row>
    <row r="10" spans="1:9" x14ac:dyDescent="0.3">
      <c r="A10" s="275" t="s">
        <v>441</v>
      </c>
      <c r="B10" s="274">
        <v>21250000</v>
      </c>
      <c r="D10" t="s">
        <v>441</v>
      </c>
      <c r="E10" s="274">
        <f>_xlfn.XLOOKUP(Table6[[#This Row],[Column1]],$A$4:$A$122,$B$4:$B$122,0,0,1)</f>
        <v>21250000</v>
      </c>
      <c r="G10" t="b">
        <f>A10=Table6[[#This Row],[Column1]]</f>
        <v>1</v>
      </c>
      <c r="H10" s="274">
        <v>21250000</v>
      </c>
      <c r="I10" s="276">
        <f t="shared" si="0"/>
        <v>0</v>
      </c>
    </row>
    <row r="11" spans="1:9" x14ac:dyDescent="0.3">
      <c r="A11" s="275" t="s">
        <v>448</v>
      </c>
      <c r="B11" s="274">
        <v>33250000</v>
      </c>
      <c r="D11" t="s">
        <v>448</v>
      </c>
      <c r="E11" s="274">
        <f>_xlfn.XLOOKUP(Table6[[#This Row],[Column1]],$A$4:$A$122,$B$4:$B$122,0,0,1)</f>
        <v>33250000</v>
      </c>
      <c r="G11" t="b">
        <f>A11=Table6[[#This Row],[Column1]]</f>
        <v>1</v>
      </c>
      <c r="H11" s="274">
        <v>33250000</v>
      </c>
      <c r="I11" s="276">
        <f t="shared" si="0"/>
        <v>0</v>
      </c>
    </row>
    <row r="12" spans="1:9" x14ac:dyDescent="0.3">
      <c r="A12" s="275" t="s">
        <v>452</v>
      </c>
      <c r="B12" s="274">
        <v>64900000</v>
      </c>
      <c r="D12" t="s">
        <v>452</v>
      </c>
      <c r="E12" s="274">
        <f>_xlfn.XLOOKUP(Table6[[#This Row],[Column1]],$A$4:$A$122,$B$4:$B$122,0,0,1)</f>
        <v>64900000</v>
      </c>
      <c r="G12" t="b">
        <f>A12=Table6[[#This Row],[Column1]]</f>
        <v>1</v>
      </c>
      <c r="H12" s="274">
        <v>64900000</v>
      </c>
      <c r="I12" s="276">
        <f t="shared" si="0"/>
        <v>0</v>
      </c>
    </row>
    <row r="13" spans="1:9" x14ac:dyDescent="0.3">
      <c r="A13" s="275" t="s">
        <v>455</v>
      </c>
      <c r="B13" s="274">
        <v>6000000</v>
      </c>
      <c r="D13" t="s">
        <v>455</v>
      </c>
      <c r="E13" s="274">
        <f>_xlfn.XLOOKUP(Table6[[#This Row],[Column1]],$A$4:$A$122,$B$4:$B$122,0,0,1)</f>
        <v>6000000</v>
      </c>
      <c r="G13" t="b">
        <f>A13=Table6[[#This Row],[Column1]]</f>
        <v>1</v>
      </c>
      <c r="H13" s="274">
        <v>6000000</v>
      </c>
      <c r="I13" s="276">
        <f t="shared" si="0"/>
        <v>0</v>
      </c>
    </row>
    <row r="14" spans="1:9" x14ac:dyDescent="0.3">
      <c r="A14" s="275" t="s">
        <v>458</v>
      </c>
      <c r="B14" s="274">
        <v>30000000</v>
      </c>
      <c r="D14" t="s">
        <v>458</v>
      </c>
      <c r="E14" s="274">
        <f>_xlfn.XLOOKUP(Table6[[#This Row],[Column1]],$A$4:$A$122,$B$4:$B$122,0,0,1)</f>
        <v>30000000</v>
      </c>
      <c r="G14" t="b">
        <f>A14=Table6[[#This Row],[Column1]]</f>
        <v>1</v>
      </c>
      <c r="H14" s="274">
        <v>30000000</v>
      </c>
      <c r="I14" s="276">
        <f t="shared" si="0"/>
        <v>0</v>
      </c>
    </row>
    <row r="15" spans="1:9" x14ac:dyDescent="0.3">
      <c r="A15" s="275" t="s">
        <v>461</v>
      </c>
      <c r="B15" s="274">
        <v>25200000</v>
      </c>
      <c r="D15" t="s">
        <v>461</v>
      </c>
      <c r="E15" s="274">
        <f>_xlfn.XLOOKUP(Table6[[#This Row],[Column1]],$A$4:$A$122,$B$4:$B$122,0,0,1)</f>
        <v>25200000</v>
      </c>
      <c r="G15" t="b">
        <f>A15=Table6[[#This Row],[Column1]]</f>
        <v>1</v>
      </c>
      <c r="H15" s="274">
        <v>25200000</v>
      </c>
      <c r="I15" s="276">
        <f t="shared" si="0"/>
        <v>0</v>
      </c>
    </row>
    <row r="16" spans="1:9" x14ac:dyDescent="0.3">
      <c r="A16" s="275" t="s">
        <v>463</v>
      </c>
      <c r="B16" s="274">
        <v>6000000</v>
      </c>
      <c r="D16" t="s">
        <v>463</v>
      </c>
      <c r="E16" s="274">
        <f>_xlfn.XLOOKUP(Table6[[#This Row],[Column1]],$A$4:$A$122,$B$4:$B$122,0,0,1)</f>
        <v>6000000</v>
      </c>
      <c r="G16" t="b">
        <f>A16=Table6[[#This Row],[Column1]]</f>
        <v>1</v>
      </c>
      <c r="H16" s="274">
        <v>6000000</v>
      </c>
      <c r="I16" s="276">
        <f t="shared" si="0"/>
        <v>0</v>
      </c>
    </row>
    <row r="17" spans="1:9" x14ac:dyDescent="0.3">
      <c r="A17" s="275" t="s">
        <v>465</v>
      </c>
      <c r="B17" s="274">
        <v>253324000</v>
      </c>
      <c r="D17" t="s">
        <v>465</v>
      </c>
      <c r="E17" s="274">
        <f>_xlfn.XLOOKUP(Table6[[#This Row],[Column1]],$A$4:$A$122,$B$4:$B$122,0,0,1)</f>
        <v>253324000</v>
      </c>
      <c r="G17" t="b">
        <f>A17=Table6[[#This Row],[Column1]]</f>
        <v>1</v>
      </c>
      <c r="H17" s="274">
        <v>253324000</v>
      </c>
      <c r="I17" s="276">
        <f t="shared" si="0"/>
        <v>0</v>
      </c>
    </row>
    <row r="18" spans="1:9" x14ac:dyDescent="0.3">
      <c r="A18" s="275" t="s">
        <v>467</v>
      </c>
      <c r="B18" s="274">
        <v>1500000</v>
      </c>
      <c r="D18" t="s">
        <v>467</v>
      </c>
      <c r="E18" s="274">
        <f>_xlfn.XLOOKUP(Table6[[#This Row],[Column1]],$A$4:$A$122,$B$4:$B$122,0,0,1)</f>
        <v>1500000</v>
      </c>
      <c r="G18" t="b">
        <f>A18=Table6[[#This Row],[Column1]]</f>
        <v>1</v>
      </c>
      <c r="H18" s="274">
        <v>1500000</v>
      </c>
      <c r="I18" s="276">
        <f t="shared" si="0"/>
        <v>0</v>
      </c>
    </row>
    <row r="19" spans="1:9" x14ac:dyDescent="0.3">
      <c r="A19" s="275" t="s">
        <v>470</v>
      </c>
      <c r="B19" s="274">
        <v>71456000</v>
      </c>
      <c r="D19" t="s">
        <v>470</v>
      </c>
      <c r="E19" s="274">
        <f>_xlfn.XLOOKUP(Table6[[#This Row],[Column1]],$A$4:$A$122,$B$4:$B$122,0,0,1)</f>
        <v>71456000</v>
      </c>
      <c r="G19" t="b">
        <f>A19=Table6[[#This Row],[Column1]]</f>
        <v>1</v>
      </c>
      <c r="H19" s="274">
        <v>71456000</v>
      </c>
      <c r="I19" s="276">
        <f t="shared" si="0"/>
        <v>0</v>
      </c>
    </row>
    <row r="20" spans="1:9" x14ac:dyDescent="0.3">
      <c r="A20" s="275" t="s">
        <v>473</v>
      </c>
      <c r="B20" s="274">
        <v>5000000</v>
      </c>
      <c r="D20" t="s">
        <v>473</v>
      </c>
      <c r="E20" s="274">
        <f>_xlfn.XLOOKUP(Table6[[#This Row],[Column1]],$A$4:$A$122,$B$4:$B$122,0,0,1)</f>
        <v>5000000</v>
      </c>
      <c r="G20" t="b">
        <f>A20=Table6[[#This Row],[Column1]]</f>
        <v>1</v>
      </c>
      <c r="H20" s="274">
        <v>5000000</v>
      </c>
      <c r="I20" s="276">
        <f t="shared" si="0"/>
        <v>0</v>
      </c>
    </row>
    <row r="21" spans="1:9" x14ac:dyDescent="0.3">
      <c r="A21" s="275" t="s">
        <v>475</v>
      </c>
      <c r="B21" s="274">
        <v>15000000</v>
      </c>
      <c r="D21" t="s">
        <v>475</v>
      </c>
      <c r="E21" s="274">
        <f>_xlfn.XLOOKUP(Table6[[#This Row],[Column1]],$A$4:$A$122,$B$4:$B$122,0,0,1)</f>
        <v>15000000</v>
      </c>
      <c r="G21" t="b">
        <f>A21=Table6[[#This Row],[Column1]]</f>
        <v>1</v>
      </c>
      <c r="H21" s="274">
        <v>15000000</v>
      </c>
      <c r="I21" s="276">
        <f t="shared" si="0"/>
        <v>0</v>
      </c>
    </row>
    <row r="22" spans="1:9" x14ac:dyDescent="0.3">
      <c r="A22" s="275" t="s">
        <v>478</v>
      </c>
      <c r="B22" s="274">
        <v>16200000</v>
      </c>
      <c r="D22" t="s">
        <v>478</v>
      </c>
      <c r="E22" s="274">
        <f>_xlfn.XLOOKUP(Table6[[#This Row],[Column1]],$A$4:$A$122,$B$4:$B$122,0,0,1)</f>
        <v>16200000</v>
      </c>
      <c r="G22" t="b">
        <f>A22=Table6[[#This Row],[Column1]]</f>
        <v>1</v>
      </c>
      <c r="H22" s="274">
        <v>16200000</v>
      </c>
      <c r="I22" s="276">
        <f t="shared" si="0"/>
        <v>0</v>
      </c>
    </row>
    <row r="23" spans="1:9" x14ac:dyDescent="0.3">
      <c r="A23" s="275" t="s">
        <v>480</v>
      </c>
      <c r="B23" s="274">
        <v>2000000</v>
      </c>
      <c r="D23" t="s">
        <v>480</v>
      </c>
      <c r="E23" s="274">
        <f>_xlfn.XLOOKUP(Table6[[#This Row],[Column1]],$A$4:$A$122,$B$4:$B$122,0,0,1)</f>
        <v>2000000</v>
      </c>
      <c r="G23" t="b">
        <f>A23=Table6[[#This Row],[Column1]]</f>
        <v>1</v>
      </c>
      <c r="H23" s="274">
        <v>2000000</v>
      </c>
      <c r="I23" s="276">
        <f t="shared" si="0"/>
        <v>0</v>
      </c>
    </row>
    <row r="24" spans="1:9" x14ac:dyDescent="0.3">
      <c r="A24" s="275" t="s">
        <v>482</v>
      </c>
      <c r="B24" s="274">
        <v>138160000</v>
      </c>
      <c r="D24" t="s">
        <v>482</v>
      </c>
      <c r="E24" s="274">
        <f>_xlfn.XLOOKUP(Table6[[#This Row],[Column1]],$A$4:$A$122,$B$4:$B$122,0,0,1)</f>
        <v>138160000</v>
      </c>
      <c r="G24" t="b">
        <f>A24=Table6[[#This Row],[Column1]]</f>
        <v>1</v>
      </c>
      <c r="H24" s="274">
        <v>138160000</v>
      </c>
      <c r="I24" s="276">
        <f t="shared" si="0"/>
        <v>0</v>
      </c>
    </row>
    <row r="25" spans="1:9" x14ac:dyDescent="0.3">
      <c r="A25" s="275" t="s">
        <v>796</v>
      </c>
      <c r="B25" s="274">
        <v>20830000</v>
      </c>
      <c r="D25" t="s">
        <v>796</v>
      </c>
      <c r="E25" s="274">
        <f>_xlfn.XLOOKUP(Table6[[#This Row],[Column1]],$A$4:$A$122,$B$4:$B$122,0,0,1)</f>
        <v>20830000</v>
      </c>
      <c r="G25" t="b">
        <f>A25=Table6[[#This Row],[Column1]]</f>
        <v>1</v>
      </c>
      <c r="H25" s="274">
        <v>20830000</v>
      </c>
      <c r="I25" s="276">
        <f t="shared" si="0"/>
        <v>0</v>
      </c>
    </row>
    <row r="26" spans="1:9" x14ac:dyDescent="0.3">
      <c r="A26" s="275" t="s">
        <v>801</v>
      </c>
      <c r="B26" s="274">
        <v>500000</v>
      </c>
      <c r="D26" t="s">
        <v>801</v>
      </c>
      <c r="E26" s="274">
        <f>_xlfn.XLOOKUP(Table6[[#This Row],[Column1]],$A$4:$A$122,$B$4:$B$122,0,0,1)</f>
        <v>500000</v>
      </c>
      <c r="G26" t="b">
        <f>A26=Table6[[#This Row],[Column1]]</f>
        <v>1</v>
      </c>
      <c r="H26" s="274">
        <v>500000</v>
      </c>
      <c r="I26" s="276">
        <f t="shared" si="0"/>
        <v>0</v>
      </c>
    </row>
    <row r="27" spans="1:9" x14ac:dyDescent="0.3">
      <c r="A27" s="275" t="s">
        <v>803</v>
      </c>
      <c r="B27" s="274">
        <v>7200000</v>
      </c>
      <c r="D27" t="s">
        <v>803</v>
      </c>
      <c r="E27" s="274">
        <f>_xlfn.XLOOKUP(Table6[[#This Row],[Column1]],$A$4:$A$122,$B$4:$B$122,0,0,1)</f>
        <v>7200000</v>
      </c>
      <c r="G27" t="b">
        <f>A27=Table6[[#This Row],[Column1]]</f>
        <v>1</v>
      </c>
      <c r="H27" s="274">
        <v>7200000</v>
      </c>
      <c r="I27" s="276">
        <f t="shared" si="0"/>
        <v>0</v>
      </c>
    </row>
    <row r="28" spans="1:9" x14ac:dyDescent="0.3">
      <c r="A28" s="275" t="s">
        <v>805</v>
      </c>
      <c r="B28" s="274">
        <v>23030000</v>
      </c>
      <c r="D28" t="s">
        <v>805</v>
      </c>
      <c r="E28" s="274">
        <f>_xlfn.XLOOKUP(Table6[[#This Row],[Column1]],$A$4:$A$122,$B$4:$B$122,0,0,1)</f>
        <v>23030000</v>
      </c>
      <c r="G28" t="b">
        <f>A28=Table6[[#This Row],[Column1]]</f>
        <v>1</v>
      </c>
      <c r="H28" s="274">
        <v>23030000</v>
      </c>
      <c r="I28" s="276">
        <f t="shared" si="0"/>
        <v>0</v>
      </c>
    </row>
    <row r="29" spans="1:9" x14ac:dyDescent="0.3">
      <c r="A29" s="275" t="s">
        <v>486</v>
      </c>
      <c r="B29" s="274">
        <v>13900000</v>
      </c>
      <c r="D29" t="s">
        <v>486</v>
      </c>
      <c r="E29" s="274">
        <f>_xlfn.XLOOKUP(Table6[[#This Row],[Column1]],$A$4:$A$122,$B$4:$B$122,0,0,1)</f>
        <v>13900000</v>
      </c>
      <c r="G29" t="b">
        <f>A29=Table6[[#This Row],[Column1]]</f>
        <v>1</v>
      </c>
      <c r="H29" s="274">
        <v>13900000</v>
      </c>
      <c r="I29" s="276">
        <f t="shared" si="0"/>
        <v>0</v>
      </c>
    </row>
    <row r="30" spans="1:9" x14ac:dyDescent="0.3">
      <c r="A30" s="275" t="s">
        <v>490</v>
      </c>
      <c r="B30" s="274">
        <v>8784000</v>
      </c>
      <c r="D30" t="s">
        <v>490</v>
      </c>
      <c r="E30" s="274">
        <f>_xlfn.XLOOKUP(Table6[[#This Row],[Column1]],$A$4:$A$122,$B$4:$B$122,0,0,1)</f>
        <v>8784000</v>
      </c>
      <c r="G30" t="b">
        <f>A30=Table6[[#This Row],[Column1]]</f>
        <v>1</v>
      </c>
      <c r="H30" s="274">
        <v>8784000</v>
      </c>
      <c r="I30" s="276">
        <f t="shared" si="0"/>
        <v>0</v>
      </c>
    </row>
    <row r="31" spans="1:9" x14ac:dyDescent="0.3">
      <c r="A31" s="275" t="s">
        <v>492</v>
      </c>
      <c r="B31" s="274">
        <v>10000000</v>
      </c>
      <c r="D31" t="s">
        <v>492</v>
      </c>
      <c r="E31" s="274">
        <f>_xlfn.XLOOKUP(Table6[[#This Row],[Column1]],$A$4:$A$122,$B$4:$B$122,0,0,1)</f>
        <v>10000000</v>
      </c>
      <c r="G31" t="b">
        <f>A31=Table6[[#This Row],[Column1]]</f>
        <v>1</v>
      </c>
      <c r="H31" s="274">
        <v>10000000</v>
      </c>
      <c r="I31" s="276">
        <f t="shared" si="0"/>
        <v>0</v>
      </c>
    </row>
    <row r="32" spans="1:9" x14ac:dyDescent="0.3">
      <c r="A32" s="275" t="s">
        <v>813</v>
      </c>
      <c r="B32" s="274">
        <v>5000000</v>
      </c>
      <c r="D32" t="s">
        <v>813</v>
      </c>
      <c r="E32" s="274">
        <f>_xlfn.XLOOKUP(Table6[[#This Row],[Column1]],$A$4:$A$122,$B$4:$B$122,0,0,1)</f>
        <v>5000000</v>
      </c>
      <c r="G32" t="b">
        <f>A32=Table6[[#This Row],[Column1]]</f>
        <v>1</v>
      </c>
      <c r="H32" s="274">
        <v>5000000</v>
      </c>
      <c r="I32" s="276">
        <f t="shared" si="0"/>
        <v>0</v>
      </c>
    </row>
    <row r="33" spans="1:9" x14ac:dyDescent="0.3">
      <c r="A33" s="275" t="s">
        <v>816</v>
      </c>
      <c r="B33" s="274">
        <v>97416000</v>
      </c>
      <c r="D33" t="s">
        <v>816</v>
      </c>
      <c r="E33" s="274">
        <f>_xlfn.XLOOKUP(Table6[[#This Row],[Column1]],$A$4:$A$122,$B$4:$B$122,0,0,1)</f>
        <v>97416000</v>
      </c>
      <c r="G33" t="b">
        <f>A33=Table6[[#This Row],[Column1]]</f>
        <v>1</v>
      </c>
      <c r="H33" s="274">
        <v>97416000</v>
      </c>
      <c r="I33" s="276">
        <f t="shared" si="0"/>
        <v>0</v>
      </c>
    </row>
    <row r="34" spans="1:9" x14ac:dyDescent="0.3">
      <c r="A34" s="275" t="s">
        <v>837</v>
      </c>
      <c r="B34" s="274">
        <v>114200000</v>
      </c>
      <c r="D34" t="s">
        <v>837</v>
      </c>
      <c r="E34" s="274">
        <f>_xlfn.XLOOKUP(Table6[[#This Row],[Column1]],$A$4:$A$122,$B$4:$B$122,0,0,1)</f>
        <v>114200000</v>
      </c>
      <c r="G34" t="b">
        <f>A34=Table6[[#This Row],[Column1]]</f>
        <v>1</v>
      </c>
      <c r="H34" s="274">
        <v>114200000</v>
      </c>
      <c r="I34" s="276">
        <f t="shared" si="0"/>
        <v>0</v>
      </c>
    </row>
    <row r="35" spans="1:9" x14ac:dyDescent="0.3">
      <c r="A35" s="275" t="s">
        <v>1188</v>
      </c>
      <c r="B35" s="274">
        <v>12400000</v>
      </c>
      <c r="D35" t="s">
        <v>1188</v>
      </c>
      <c r="E35" s="274">
        <f>_xlfn.XLOOKUP(Table6[[#This Row],[Column1]],$A$4:$A$122,$B$4:$B$122,0,0,1)</f>
        <v>12400000</v>
      </c>
      <c r="G35" t="b">
        <f>A35=Table6[[#This Row],[Column1]]</f>
        <v>1</v>
      </c>
      <c r="H35" s="274">
        <v>12400000</v>
      </c>
      <c r="I35" s="276">
        <f t="shared" si="0"/>
        <v>0</v>
      </c>
    </row>
    <row r="36" spans="1:9" x14ac:dyDescent="0.3">
      <c r="A36" s="275" t="s">
        <v>1194</v>
      </c>
      <c r="B36" s="274">
        <v>10000000</v>
      </c>
      <c r="D36" t="s">
        <v>1191</v>
      </c>
      <c r="E36" s="274">
        <f>_xlfn.XLOOKUP(Table6[[#This Row],[Column1]],$A$4:$A$122,$B$4:$B$122,0,0,1)</f>
        <v>0</v>
      </c>
      <c r="G36" t="b">
        <f>A36=Table6[[#This Row],[Column1]]</f>
        <v>0</v>
      </c>
      <c r="H36" s="274">
        <v>10000000</v>
      </c>
      <c r="I36" s="276">
        <f t="shared" si="0"/>
        <v>0</v>
      </c>
    </row>
    <row r="37" spans="1:9" x14ac:dyDescent="0.3">
      <c r="A37" s="275" t="s">
        <v>1200</v>
      </c>
      <c r="B37" s="274">
        <v>90946000</v>
      </c>
      <c r="D37" t="s">
        <v>1194</v>
      </c>
      <c r="E37" s="274">
        <f>_xlfn.XLOOKUP(Table6[[#This Row],[Column1]],$A$4:$A$122,$B$4:$B$122,0,0,1)</f>
        <v>10000000</v>
      </c>
      <c r="G37" t="b">
        <f>A37=Table6[[#This Row],[Column1]]</f>
        <v>0</v>
      </c>
      <c r="H37" s="274">
        <v>90946000</v>
      </c>
      <c r="I37" s="276">
        <f t="shared" si="0"/>
        <v>0</v>
      </c>
    </row>
    <row r="38" spans="1:9" x14ac:dyDescent="0.3">
      <c r="A38" s="275" t="s">
        <v>1391</v>
      </c>
      <c r="B38" s="274">
        <v>5000000</v>
      </c>
      <c r="D38" t="s">
        <v>1198</v>
      </c>
      <c r="E38" s="274">
        <f>_xlfn.XLOOKUP(Table6[[#This Row],[Column1]],$A$4:$A$122,$B$4:$B$122,0,0,1)</f>
        <v>0</v>
      </c>
      <c r="G38" t="b">
        <f>A38=Table6[[#This Row],[Column1]]</f>
        <v>0</v>
      </c>
      <c r="H38" s="274">
        <v>5000000</v>
      </c>
      <c r="I38" s="276">
        <f t="shared" si="0"/>
        <v>0</v>
      </c>
    </row>
    <row r="39" spans="1:9" x14ac:dyDescent="0.3">
      <c r="A39" s="275" t="s">
        <v>1397</v>
      </c>
      <c r="B39" s="274">
        <v>12989000</v>
      </c>
      <c r="D39" t="s">
        <v>1200</v>
      </c>
      <c r="E39" s="274">
        <f>_xlfn.XLOOKUP(Table6[[#This Row],[Column1]],$A$4:$A$122,$B$4:$B$122,0,0,1)</f>
        <v>90946000</v>
      </c>
      <c r="G39" t="b">
        <f>A39=Table6[[#This Row],[Column1]]</f>
        <v>0</v>
      </c>
      <c r="H39" s="274">
        <v>12989000</v>
      </c>
      <c r="I39" s="276">
        <f t="shared" si="0"/>
        <v>0</v>
      </c>
    </row>
    <row r="40" spans="1:9" x14ac:dyDescent="0.3">
      <c r="A40" s="275" t="s">
        <v>1400</v>
      </c>
      <c r="B40" s="274">
        <v>750000</v>
      </c>
      <c r="D40" t="s">
        <v>1391</v>
      </c>
      <c r="E40" s="274">
        <f>_xlfn.XLOOKUP(Table6[[#This Row],[Column1]],$A$4:$A$122,$B$4:$B$122,0,0,1)</f>
        <v>5000000</v>
      </c>
      <c r="G40" t="b">
        <f>A40=Table6[[#This Row],[Column1]]</f>
        <v>0</v>
      </c>
      <c r="H40" s="274">
        <v>750000</v>
      </c>
      <c r="I40" s="276">
        <f t="shared" si="0"/>
        <v>0</v>
      </c>
    </row>
    <row r="41" spans="1:9" x14ac:dyDescent="0.3">
      <c r="A41" s="275" t="s">
        <v>1404</v>
      </c>
      <c r="B41" s="274">
        <v>10000000</v>
      </c>
      <c r="D41" t="s">
        <v>1397</v>
      </c>
      <c r="E41" s="274">
        <f>_xlfn.XLOOKUP(Table6[[#This Row],[Column1]],$A$4:$A$122,$B$4:$B$122,0,0,1)</f>
        <v>12989000</v>
      </c>
      <c r="G41" t="b">
        <f>A41=Table6[[#This Row],[Column1]]</f>
        <v>0</v>
      </c>
      <c r="H41" s="274">
        <v>10000000</v>
      </c>
      <c r="I41" s="276">
        <f t="shared" si="0"/>
        <v>0</v>
      </c>
    </row>
    <row r="42" spans="1:9" x14ac:dyDescent="0.3">
      <c r="A42" s="275" t="s">
        <v>1409</v>
      </c>
      <c r="B42" s="274">
        <v>2031000</v>
      </c>
      <c r="D42" t="s">
        <v>1400</v>
      </c>
      <c r="E42" s="274">
        <f>_xlfn.XLOOKUP(Table6[[#This Row],[Column1]],$A$4:$A$122,$B$4:$B$122,0,0,1)</f>
        <v>750000</v>
      </c>
      <c r="G42" t="b">
        <f>A42=Table6[[#This Row],[Column1]]</f>
        <v>0</v>
      </c>
      <c r="H42" s="274">
        <v>2031000</v>
      </c>
      <c r="I42" s="276">
        <f t="shared" si="0"/>
        <v>0</v>
      </c>
    </row>
    <row r="43" spans="1:9" x14ac:dyDescent="0.3">
      <c r="A43" s="275" t="s">
        <v>1412</v>
      </c>
      <c r="B43" s="274">
        <v>373634000</v>
      </c>
      <c r="D43" t="s">
        <v>1404</v>
      </c>
      <c r="E43" s="274">
        <f>_xlfn.XLOOKUP(Table6[[#This Row],[Column1]],$A$4:$A$122,$B$4:$B$122,0,0,1)</f>
        <v>10000000</v>
      </c>
      <c r="G43" t="b">
        <f>A43=Table6[[#This Row],[Column1]]</f>
        <v>0</v>
      </c>
      <c r="H43" s="274">
        <v>373634000</v>
      </c>
      <c r="I43" s="276">
        <f t="shared" si="0"/>
        <v>0</v>
      </c>
    </row>
    <row r="44" spans="1:9" x14ac:dyDescent="0.3">
      <c r="A44" s="275" t="s">
        <v>1419</v>
      </c>
      <c r="B44" s="274">
        <v>33500000</v>
      </c>
      <c r="D44" t="s">
        <v>1409</v>
      </c>
      <c r="E44" s="274">
        <f>_xlfn.XLOOKUP(Table6[[#This Row],[Column1]],$A$4:$A$122,$B$4:$B$122,0,0,1)</f>
        <v>2031000</v>
      </c>
      <c r="G44" t="b">
        <f>A44=Table6[[#This Row],[Column1]]</f>
        <v>0</v>
      </c>
      <c r="H44" s="274">
        <v>33500000</v>
      </c>
      <c r="I44" s="276">
        <f t="shared" si="0"/>
        <v>0</v>
      </c>
    </row>
    <row r="45" spans="1:9" x14ac:dyDescent="0.3">
      <c r="A45" s="275" t="s">
        <v>1428</v>
      </c>
      <c r="B45" s="274">
        <v>3000000</v>
      </c>
      <c r="D45" t="s">
        <v>1412</v>
      </c>
      <c r="E45" s="274">
        <f>_xlfn.XLOOKUP(Table6[[#This Row],[Column1]],$A$4:$A$122,$B$4:$B$122,0,0,1)</f>
        <v>373634000</v>
      </c>
      <c r="G45" t="b">
        <f>A45=Table6[[#This Row],[Column1]]</f>
        <v>0</v>
      </c>
      <c r="H45" s="274">
        <v>3000000</v>
      </c>
      <c r="I45" s="276">
        <f t="shared" si="0"/>
        <v>0</v>
      </c>
    </row>
    <row r="46" spans="1:9" x14ac:dyDescent="0.3">
      <c r="A46" s="275" t="s">
        <v>1431</v>
      </c>
      <c r="B46" s="274">
        <v>18000000</v>
      </c>
      <c r="D46" t="s">
        <v>1419</v>
      </c>
      <c r="E46" s="274">
        <f>_xlfn.XLOOKUP(Table6[[#This Row],[Column1]],$A$4:$A$122,$B$4:$B$122,0,0,1)</f>
        <v>33500000</v>
      </c>
      <c r="G46" t="b">
        <f>A46=Table6[[#This Row],[Column1]]</f>
        <v>0</v>
      </c>
      <c r="H46" s="274">
        <v>18000000</v>
      </c>
      <c r="I46" s="276">
        <f t="shared" si="0"/>
        <v>0</v>
      </c>
    </row>
    <row r="47" spans="1:9" x14ac:dyDescent="0.3">
      <c r="A47" s="275" t="s">
        <v>1434</v>
      </c>
      <c r="B47" s="274">
        <v>2250000</v>
      </c>
      <c r="D47" t="s">
        <v>1428</v>
      </c>
      <c r="E47" s="274">
        <f>_xlfn.XLOOKUP(Table6[[#This Row],[Column1]],$A$4:$A$122,$B$4:$B$122,0,0,1)</f>
        <v>3000000</v>
      </c>
      <c r="G47" t="b">
        <f>A47=Table6[[#This Row],[Column1]]</f>
        <v>0</v>
      </c>
      <c r="H47" s="274">
        <v>2250000</v>
      </c>
      <c r="I47" s="276">
        <f t="shared" si="0"/>
        <v>0</v>
      </c>
    </row>
    <row r="48" spans="1:9" x14ac:dyDescent="0.3">
      <c r="A48" s="275" t="s">
        <v>1438</v>
      </c>
      <c r="B48" s="274">
        <v>13500000</v>
      </c>
      <c r="D48" t="s">
        <v>1431</v>
      </c>
      <c r="E48" s="274">
        <f>_xlfn.XLOOKUP(Table6[[#This Row],[Column1]],$A$4:$A$122,$B$4:$B$122,0,0,1)</f>
        <v>18000000</v>
      </c>
      <c r="G48" t="b">
        <f>A48=Table6[[#This Row],[Column1]]</f>
        <v>0</v>
      </c>
      <c r="H48" s="274">
        <v>13500000</v>
      </c>
      <c r="I48" s="276">
        <f t="shared" si="0"/>
        <v>0</v>
      </c>
    </row>
    <row r="49" spans="1:9" x14ac:dyDescent="0.3">
      <c r="A49" s="275" t="s">
        <v>1443</v>
      </c>
      <c r="B49" s="274">
        <v>47693000</v>
      </c>
      <c r="D49" t="s">
        <v>1434</v>
      </c>
      <c r="E49" s="274">
        <f>_xlfn.XLOOKUP(Table6[[#This Row],[Column1]],$A$4:$A$122,$B$4:$B$122,0,0,1)</f>
        <v>2250000</v>
      </c>
      <c r="G49" t="b">
        <f>A49=Table6[[#This Row],[Column1]]</f>
        <v>0</v>
      </c>
      <c r="H49" s="274">
        <v>47693000</v>
      </c>
      <c r="I49" s="276">
        <f t="shared" si="0"/>
        <v>0</v>
      </c>
    </row>
    <row r="50" spans="1:9" x14ac:dyDescent="0.3">
      <c r="A50" s="275" t="s">
        <v>1449</v>
      </c>
      <c r="B50" s="274">
        <v>38100000</v>
      </c>
      <c r="D50" t="s">
        <v>1438</v>
      </c>
      <c r="E50" s="274">
        <f>_xlfn.XLOOKUP(Table6[[#This Row],[Column1]],$A$4:$A$122,$B$4:$B$122,0,0,1)</f>
        <v>13500000</v>
      </c>
      <c r="G50" t="b">
        <f>A50=Table6[[#This Row],[Column1]]</f>
        <v>0</v>
      </c>
      <c r="H50" s="274">
        <v>38100000</v>
      </c>
      <c r="I50" s="276">
        <f t="shared" si="0"/>
        <v>0</v>
      </c>
    </row>
    <row r="51" spans="1:9" x14ac:dyDescent="0.3">
      <c r="A51" s="275" t="s">
        <v>1455</v>
      </c>
      <c r="B51" s="274">
        <v>82534000</v>
      </c>
      <c r="D51" t="s">
        <v>1443</v>
      </c>
      <c r="E51" s="274">
        <f>_xlfn.XLOOKUP(Table6[[#This Row],[Column1]],$A$4:$A$122,$B$4:$B$122,0,0,1)</f>
        <v>47693000</v>
      </c>
      <c r="G51" t="b">
        <f>A51=Table6[[#This Row],[Column1]]</f>
        <v>0</v>
      </c>
      <c r="H51" s="274">
        <v>82534000</v>
      </c>
      <c r="I51" s="276">
        <f t="shared" si="0"/>
        <v>0</v>
      </c>
    </row>
    <row r="52" spans="1:9" x14ac:dyDescent="0.3">
      <c r="A52" s="275" t="s">
        <v>4835</v>
      </c>
      <c r="B52" s="274">
        <v>1606000</v>
      </c>
      <c r="D52" t="s">
        <v>1446</v>
      </c>
      <c r="E52" s="274">
        <f>_xlfn.XLOOKUP(Table6[[#This Row],[Column1]],$A$4:$A$122,$B$4:$B$122,0,0,1)</f>
        <v>0</v>
      </c>
      <c r="G52" t="b">
        <f>A52=Table6[[#This Row],[Column1]]</f>
        <v>0</v>
      </c>
      <c r="H52" s="274">
        <v>1606000</v>
      </c>
      <c r="I52" s="276">
        <f t="shared" si="0"/>
        <v>0</v>
      </c>
    </row>
    <row r="53" spans="1:9" x14ac:dyDescent="0.3">
      <c r="A53" s="275" t="s">
        <v>1462</v>
      </c>
      <c r="B53" s="274">
        <v>4246000</v>
      </c>
      <c r="D53" t="s">
        <v>1449</v>
      </c>
      <c r="E53" s="274">
        <f>_xlfn.XLOOKUP(Table6[[#This Row],[Column1]],$A$4:$A$122,$B$4:$B$122,0,0,1)</f>
        <v>38100000</v>
      </c>
      <c r="G53" t="b">
        <f>A53=Table6[[#This Row],[Column1]]</f>
        <v>0</v>
      </c>
      <c r="H53" s="274">
        <v>4246000</v>
      </c>
      <c r="I53" s="276">
        <f t="shared" si="0"/>
        <v>0</v>
      </c>
    </row>
    <row r="54" spans="1:9" x14ac:dyDescent="0.3">
      <c r="A54" s="275" t="s">
        <v>1464</v>
      </c>
      <c r="B54" s="274">
        <v>21851000</v>
      </c>
      <c r="D54" t="s">
        <v>1455</v>
      </c>
      <c r="E54" s="274">
        <f>_xlfn.XLOOKUP(Table6[[#This Row],[Column1]],$A$4:$A$122,$B$4:$B$122,0,0,1)</f>
        <v>82534000</v>
      </c>
      <c r="G54" t="b">
        <f>A54=Table6[[#This Row],[Column1]]</f>
        <v>0</v>
      </c>
      <c r="H54" s="274">
        <v>21851000</v>
      </c>
      <c r="I54" s="276">
        <f t="shared" si="0"/>
        <v>0</v>
      </c>
    </row>
    <row r="55" spans="1:9" x14ac:dyDescent="0.3">
      <c r="A55" s="275" t="s">
        <v>1470</v>
      </c>
      <c r="B55" s="274">
        <v>4000000</v>
      </c>
      <c r="D55" t="s">
        <v>4835</v>
      </c>
      <c r="E55" s="274">
        <f>_xlfn.XLOOKUP(Table6[[#This Row],[Column1]],$A$4:$A$122,$B$4:$B$122,0,0,1)</f>
        <v>1606000</v>
      </c>
      <c r="G55" t="b">
        <f>A55=Table6[[#This Row],[Column1]]</f>
        <v>0</v>
      </c>
      <c r="H55" s="274">
        <v>4000000</v>
      </c>
      <c r="I55" s="276">
        <f t="shared" si="0"/>
        <v>0</v>
      </c>
    </row>
    <row r="56" spans="1:9" x14ac:dyDescent="0.3">
      <c r="A56" s="275" t="s">
        <v>1474</v>
      </c>
      <c r="B56" s="274">
        <v>4298000</v>
      </c>
      <c r="D56" t="s">
        <v>1462</v>
      </c>
      <c r="E56" s="274">
        <f>_xlfn.XLOOKUP(Table6[[#This Row],[Column1]],$A$4:$A$122,$B$4:$B$122,0,0,1)</f>
        <v>4246000</v>
      </c>
      <c r="G56" t="b">
        <f>A56=Table6[[#This Row],[Column1]]</f>
        <v>0</v>
      </c>
      <c r="H56" s="274">
        <v>4298000</v>
      </c>
      <c r="I56" s="276">
        <f t="shared" si="0"/>
        <v>0</v>
      </c>
    </row>
    <row r="57" spans="1:9" x14ac:dyDescent="0.3">
      <c r="A57" s="275" t="s">
        <v>1487</v>
      </c>
      <c r="B57" s="274">
        <v>9059000</v>
      </c>
      <c r="D57" t="s">
        <v>1464</v>
      </c>
      <c r="E57" s="274">
        <f>_xlfn.XLOOKUP(Table6[[#This Row],[Column1]],$A$4:$A$122,$B$4:$B$122,0,0,1)</f>
        <v>21851000</v>
      </c>
      <c r="G57" t="b">
        <f>A57=Table6[[#This Row],[Column1]]</f>
        <v>0</v>
      </c>
      <c r="H57" s="274">
        <v>9059000</v>
      </c>
      <c r="I57" s="276">
        <f t="shared" si="0"/>
        <v>0</v>
      </c>
    </row>
    <row r="58" spans="1:9" x14ac:dyDescent="0.3">
      <c r="A58" s="275" t="s">
        <v>1491</v>
      </c>
      <c r="B58" s="274">
        <v>12550000</v>
      </c>
      <c r="D58" t="s">
        <v>1467</v>
      </c>
      <c r="E58" s="274">
        <f>_xlfn.XLOOKUP(Table6[[#This Row],[Column1]],$A$4:$A$122,$B$4:$B$122,0,0,1)</f>
        <v>0</v>
      </c>
      <c r="G58" t="b">
        <f>A58=Table6[[#This Row],[Column1]]</f>
        <v>0</v>
      </c>
      <c r="H58" s="274">
        <v>12550000</v>
      </c>
      <c r="I58" s="276">
        <f t="shared" si="0"/>
        <v>0</v>
      </c>
    </row>
    <row r="59" spans="1:9" x14ac:dyDescent="0.3">
      <c r="A59" s="275" t="s">
        <v>1496</v>
      </c>
      <c r="B59" s="274">
        <v>1192000</v>
      </c>
      <c r="D59" t="s">
        <v>1470</v>
      </c>
      <c r="E59" s="274">
        <f>_xlfn.XLOOKUP(Table6[[#This Row],[Column1]],$A$4:$A$122,$B$4:$B$122,0,0,1)</f>
        <v>4000000</v>
      </c>
      <c r="G59" t="b">
        <f>A59=Table6[[#This Row],[Column1]]</f>
        <v>0</v>
      </c>
      <c r="H59" s="274">
        <v>1192000</v>
      </c>
      <c r="I59" s="276">
        <f t="shared" si="0"/>
        <v>0</v>
      </c>
    </row>
    <row r="60" spans="1:9" x14ac:dyDescent="0.3">
      <c r="A60" s="275" t="s">
        <v>1498</v>
      </c>
      <c r="B60" s="274">
        <v>9000000</v>
      </c>
      <c r="D60" t="s">
        <v>1474</v>
      </c>
      <c r="E60" s="274">
        <f>_xlfn.XLOOKUP(Table6[[#This Row],[Column1]],$A$4:$A$122,$B$4:$B$122,0,0,1)</f>
        <v>4298000</v>
      </c>
      <c r="G60" t="b">
        <f>A60=Table6[[#This Row],[Column1]]</f>
        <v>0</v>
      </c>
      <c r="H60" s="274">
        <v>9000000</v>
      </c>
      <c r="I60" s="276">
        <f t="shared" si="0"/>
        <v>0</v>
      </c>
    </row>
    <row r="61" spans="1:9" x14ac:dyDescent="0.3">
      <c r="A61" s="275" t="s">
        <v>1501</v>
      </c>
      <c r="B61" s="274">
        <v>60764000</v>
      </c>
      <c r="D61" t="s">
        <v>1483</v>
      </c>
      <c r="E61" s="274">
        <f>_xlfn.XLOOKUP(Table6[[#This Row],[Column1]],$A$4:$A$122,$B$4:$B$122,0,0,1)</f>
        <v>0</v>
      </c>
      <c r="G61" t="b">
        <f>A61=Table6[[#This Row],[Column1]]</f>
        <v>0</v>
      </c>
      <c r="H61" s="274">
        <v>60764000</v>
      </c>
      <c r="I61" s="276">
        <f t="shared" si="0"/>
        <v>0</v>
      </c>
    </row>
    <row r="62" spans="1:9" x14ac:dyDescent="0.3">
      <c r="A62" s="275" t="s">
        <v>1538</v>
      </c>
      <c r="B62" s="274">
        <v>17550000</v>
      </c>
      <c r="D62" t="s">
        <v>1485</v>
      </c>
      <c r="E62" s="274">
        <f>_xlfn.XLOOKUP(Table6[[#This Row],[Column1]],$A$4:$A$122,$B$4:$B$122,0,0,1)</f>
        <v>0</v>
      </c>
      <c r="G62" t="b">
        <f>A62=Table6[[#This Row],[Column1]]</f>
        <v>0</v>
      </c>
      <c r="H62" s="274">
        <v>17550000</v>
      </c>
      <c r="I62" s="276">
        <f t="shared" si="0"/>
        <v>0</v>
      </c>
    </row>
    <row r="63" spans="1:9" x14ac:dyDescent="0.3">
      <c r="A63" s="275" t="s">
        <v>1549</v>
      </c>
      <c r="B63" s="274">
        <v>27651000</v>
      </c>
      <c r="D63" t="s">
        <v>1487</v>
      </c>
      <c r="E63" s="274">
        <f>_xlfn.XLOOKUP(Table6[[#This Row],[Column1]],$A$4:$A$122,$B$4:$B$122,0,0,1)</f>
        <v>9059000</v>
      </c>
      <c r="G63" t="b">
        <f>A63=Table6[[#This Row],[Column1]]</f>
        <v>0</v>
      </c>
      <c r="H63" s="274">
        <v>27651000</v>
      </c>
      <c r="I63" s="276">
        <f t="shared" si="0"/>
        <v>0</v>
      </c>
    </row>
    <row r="64" spans="1:9" x14ac:dyDescent="0.3">
      <c r="A64" s="275" t="s">
        <v>1551</v>
      </c>
      <c r="B64" s="274">
        <v>40000000</v>
      </c>
      <c r="D64" t="s">
        <v>1491</v>
      </c>
      <c r="E64" s="274">
        <f>_xlfn.XLOOKUP(Table6[[#This Row],[Column1]],$A$4:$A$122,$B$4:$B$122,0,0,1)</f>
        <v>12550000</v>
      </c>
      <c r="G64" t="b">
        <f>A64=Table6[[#This Row],[Column1]]</f>
        <v>0</v>
      </c>
      <c r="H64" s="274">
        <v>40000000</v>
      </c>
      <c r="I64" s="276">
        <f t="shared" si="0"/>
        <v>0</v>
      </c>
    </row>
    <row r="65" spans="1:9" x14ac:dyDescent="0.3">
      <c r="A65" s="275" t="s">
        <v>1553</v>
      </c>
      <c r="B65" s="274">
        <v>25062000</v>
      </c>
      <c r="D65" t="s">
        <v>1496</v>
      </c>
      <c r="E65" s="274">
        <f>_xlfn.XLOOKUP(Table6[[#This Row],[Column1]],$A$4:$A$122,$B$4:$B$122,0,0,1)</f>
        <v>1192000</v>
      </c>
      <c r="G65" t="b">
        <f>A65=Table6[[#This Row],[Column1]]</f>
        <v>0</v>
      </c>
      <c r="H65" s="274">
        <v>25062000</v>
      </c>
      <c r="I65" s="276">
        <f t="shared" si="0"/>
        <v>0</v>
      </c>
    </row>
    <row r="66" spans="1:9" x14ac:dyDescent="0.3">
      <c r="A66" s="275" t="s">
        <v>2172</v>
      </c>
      <c r="B66" s="274">
        <v>1076220000</v>
      </c>
      <c r="D66" t="s">
        <v>1498</v>
      </c>
      <c r="E66" s="274">
        <f>_xlfn.XLOOKUP(Table6[[#This Row],[Column1]],$A$4:$A$122,$B$4:$B$122,0,0,1)</f>
        <v>9000000</v>
      </c>
      <c r="G66" t="b">
        <f>A66=Table6[[#This Row],[Column1]]</f>
        <v>0</v>
      </c>
      <c r="H66" s="413">
        <v>1076220000</v>
      </c>
      <c r="I66" s="276"/>
    </row>
    <row r="67" spans="1:9" x14ac:dyDescent="0.3">
      <c r="A67" s="275" t="s">
        <v>2189</v>
      </c>
      <c r="B67" s="274">
        <v>178160000</v>
      </c>
      <c r="D67" t="s">
        <v>1501</v>
      </c>
      <c r="E67" s="274">
        <f>_xlfn.XLOOKUP(Table6[[#This Row],[Column1]],$A$4:$A$122,$B$4:$B$122,0,0,1)</f>
        <v>60764000</v>
      </c>
      <c r="G67" t="b">
        <f>A67=Table6[[#This Row],[Column1]]</f>
        <v>0</v>
      </c>
      <c r="H67" s="413">
        <v>178160000</v>
      </c>
      <c r="I67" s="276"/>
    </row>
    <row r="68" spans="1:9" x14ac:dyDescent="0.3">
      <c r="A68" s="275" t="s">
        <v>2210</v>
      </c>
      <c r="B68" s="274">
        <v>30000000</v>
      </c>
      <c r="D68" t="s">
        <v>1506</v>
      </c>
      <c r="E68" s="274">
        <f>_xlfn.XLOOKUP(Table6[[#This Row],[Column1]],$A$4:$A$122,$B$4:$B$122,0,0,1)</f>
        <v>0</v>
      </c>
      <c r="G68" t="b">
        <f>A68=Table6[[#This Row],[Column1]]</f>
        <v>0</v>
      </c>
      <c r="H68" s="413">
        <v>30000000</v>
      </c>
      <c r="I68" s="276"/>
    </row>
    <row r="69" spans="1:9" x14ac:dyDescent="0.3">
      <c r="A69" s="275" t="s">
        <v>2213</v>
      </c>
      <c r="B69" s="274">
        <v>118852000</v>
      </c>
      <c r="D69" t="s">
        <v>1521</v>
      </c>
      <c r="E69" s="274">
        <f>_xlfn.XLOOKUP(Table6[[#This Row],[Column1]],$A$4:$A$122,$B$4:$B$122,0,0,1)</f>
        <v>0</v>
      </c>
      <c r="G69" t="b">
        <f>A69=Table6[[#This Row],[Column1]]</f>
        <v>0</v>
      </c>
      <c r="H69" s="413">
        <v>118852000</v>
      </c>
      <c r="I69" s="276"/>
    </row>
    <row r="70" spans="1:9" x14ac:dyDescent="0.3">
      <c r="A70" s="275" t="s">
        <v>2221</v>
      </c>
      <c r="B70" s="274">
        <v>497050000</v>
      </c>
      <c r="D70" t="s">
        <v>1526</v>
      </c>
      <c r="E70" s="274">
        <f>_xlfn.XLOOKUP(Table6[[#This Row],[Column1]],$A$4:$A$122,$B$4:$B$122,0,0,1)</f>
        <v>0</v>
      </c>
      <c r="G70" t="b">
        <f>A70=Table6[[#This Row],[Column1]]</f>
        <v>0</v>
      </c>
      <c r="H70" s="413">
        <v>497050000</v>
      </c>
      <c r="I70" s="276"/>
    </row>
    <row r="71" spans="1:9" x14ac:dyDescent="0.3">
      <c r="A71" s="275" t="s">
        <v>2235</v>
      </c>
      <c r="B71" s="274">
        <v>36000000</v>
      </c>
      <c r="D71" t="s">
        <v>1533</v>
      </c>
      <c r="E71" s="274">
        <f>_xlfn.XLOOKUP(Table6[[#This Row],[Column1]],$A$4:$A$122,$B$4:$B$122,0,0,1)</f>
        <v>0</v>
      </c>
      <c r="G71" t="b">
        <f>A71=Table6[[#This Row],[Column1]]</f>
        <v>0</v>
      </c>
      <c r="H71" s="413">
        <v>36000000</v>
      </c>
      <c r="I71" s="276"/>
    </row>
    <row r="72" spans="1:9" x14ac:dyDescent="0.3">
      <c r="A72" s="275" t="s">
        <v>2241</v>
      </c>
      <c r="B72" s="274">
        <v>101040000</v>
      </c>
      <c r="D72" t="s">
        <v>1538</v>
      </c>
      <c r="E72" s="274">
        <f>_xlfn.XLOOKUP(Table6[[#This Row],[Column1]],$A$4:$A$122,$B$4:$B$122,0,0,1)</f>
        <v>17550000</v>
      </c>
      <c r="G72" t="b">
        <f>A72=Table6[[#This Row],[Column1]]</f>
        <v>0</v>
      </c>
      <c r="H72" s="413">
        <v>101040000</v>
      </c>
      <c r="I72" s="276"/>
    </row>
    <row r="73" spans="1:9" x14ac:dyDescent="0.3">
      <c r="A73" s="275" t="s">
        <v>2247</v>
      </c>
      <c r="B73" s="274">
        <v>58336000</v>
      </c>
      <c r="D73" t="s">
        <v>1549</v>
      </c>
      <c r="E73" s="274">
        <f>_xlfn.XLOOKUP(Table6[[#This Row],[Column1]],$A$4:$A$122,$B$4:$B$122,0,0,1)</f>
        <v>27651000</v>
      </c>
      <c r="G73" t="b">
        <f>A73=Table6[[#This Row],[Column1]]</f>
        <v>0</v>
      </c>
      <c r="H73" s="413">
        <v>58336000</v>
      </c>
      <c r="I73" s="276"/>
    </row>
    <row r="74" spans="1:9" x14ac:dyDescent="0.3">
      <c r="A74" s="275" t="s">
        <v>2293</v>
      </c>
      <c r="B74" s="274">
        <v>540000000</v>
      </c>
      <c r="D74" t="s">
        <v>1551</v>
      </c>
      <c r="E74" s="274">
        <f>_xlfn.XLOOKUP(Table6[[#This Row],[Column1]],$A$4:$A$122,$B$4:$B$122,0,0,1)</f>
        <v>40000000</v>
      </c>
      <c r="G74" t="b">
        <f>A74=Table6[[#This Row],[Column1]]</f>
        <v>0</v>
      </c>
      <c r="H74" s="274">
        <v>540000000</v>
      </c>
      <c r="I74" s="276">
        <f t="shared" ref="I74:I137" si="1">B74-H74</f>
        <v>0</v>
      </c>
    </row>
    <row r="75" spans="1:9" x14ac:dyDescent="0.3">
      <c r="A75" s="275" t="s">
        <v>2742</v>
      </c>
      <c r="B75" s="274">
        <v>6000000</v>
      </c>
      <c r="D75" t="s">
        <v>1553</v>
      </c>
      <c r="E75" s="274">
        <f>_xlfn.XLOOKUP(Table6[[#This Row],[Column1]],$A$4:$A$122,$B$4:$B$122,0,0,1)</f>
        <v>25062000</v>
      </c>
      <c r="G75" t="b">
        <f>A75=Table6[[#This Row],[Column1]]</f>
        <v>0</v>
      </c>
      <c r="H75" s="274">
        <v>6000000</v>
      </c>
      <c r="I75" s="276">
        <f t="shared" si="1"/>
        <v>0</v>
      </c>
    </row>
    <row r="76" spans="1:9" x14ac:dyDescent="0.3">
      <c r="A76" s="275" t="s">
        <v>2747</v>
      </c>
      <c r="B76" s="274">
        <v>1000000</v>
      </c>
      <c r="D76" t="s">
        <v>6235</v>
      </c>
      <c r="E76" s="274">
        <f>_xlfn.XLOOKUP(Table6[[#This Row],[Column1]],$A$4:$A$122,$B$4:$B$122,0,0,1)</f>
        <v>0</v>
      </c>
      <c r="G76" t="b">
        <f>A76=Table6[[#This Row],[Column1]]</f>
        <v>0</v>
      </c>
      <c r="H76" s="274">
        <v>1000000</v>
      </c>
      <c r="I76" s="276">
        <f t="shared" si="1"/>
        <v>0</v>
      </c>
    </row>
    <row r="77" spans="1:9" x14ac:dyDescent="0.3">
      <c r="A77" s="275" t="s">
        <v>2750</v>
      </c>
      <c r="B77" s="274">
        <v>10000000</v>
      </c>
      <c r="D77" t="s">
        <v>6236</v>
      </c>
      <c r="E77" s="274">
        <f>_xlfn.XLOOKUP(Table6[[#This Row],[Column1]],$A$4:$A$122,$B$4:$B$122,0,0,1)</f>
        <v>0</v>
      </c>
      <c r="G77" t="b">
        <f>A77=Table6[[#This Row],[Column1]]</f>
        <v>0</v>
      </c>
      <c r="H77" s="274">
        <v>10000000</v>
      </c>
      <c r="I77" s="276">
        <f t="shared" si="1"/>
        <v>0</v>
      </c>
    </row>
    <row r="78" spans="1:9" x14ac:dyDescent="0.3">
      <c r="A78" s="275" t="s">
        <v>2753</v>
      </c>
      <c r="B78" s="274">
        <v>5164000</v>
      </c>
      <c r="D78" t="s">
        <v>6239</v>
      </c>
      <c r="E78" s="274">
        <f>_xlfn.XLOOKUP(Table6[[#This Row],[Column1]],$A$4:$A$122,$B$4:$B$122,0,0,1)</f>
        <v>0</v>
      </c>
      <c r="G78" t="b">
        <f>A78=Table6[[#This Row],[Column1]]</f>
        <v>0</v>
      </c>
      <c r="H78" s="274">
        <v>5164000</v>
      </c>
      <c r="I78" s="276">
        <f t="shared" si="1"/>
        <v>0</v>
      </c>
    </row>
    <row r="79" spans="1:9" x14ac:dyDescent="0.3">
      <c r="A79" s="275" t="s">
        <v>2757</v>
      </c>
      <c r="B79" s="274">
        <v>12000000</v>
      </c>
      <c r="D79" t="s">
        <v>6240</v>
      </c>
      <c r="E79" s="274">
        <f>_xlfn.XLOOKUP(Table6[[#This Row],[Column1]],$A$4:$A$122,$B$4:$B$122,0,0,1)</f>
        <v>0</v>
      </c>
      <c r="G79" t="b">
        <f>A79=Table6[[#This Row],[Column1]]</f>
        <v>0</v>
      </c>
      <c r="H79" s="274">
        <v>12000000</v>
      </c>
      <c r="I79" s="276">
        <f t="shared" si="1"/>
        <v>0</v>
      </c>
    </row>
    <row r="80" spans="1:9" x14ac:dyDescent="0.3">
      <c r="A80" s="275" t="s">
        <v>2761</v>
      </c>
      <c r="B80" s="274">
        <v>1000000</v>
      </c>
      <c r="D80" t="s">
        <v>6241</v>
      </c>
      <c r="E80" s="274">
        <f>_xlfn.XLOOKUP(Table6[[#This Row],[Column1]],$A$4:$A$122,$B$4:$B$122,0,0,1)</f>
        <v>0</v>
      </c>
      <c r="G80" t="b">
        <f>A80=Table6[[#This Row],[Column1]]</f>
        <v>0</v>
      </c>
      <c r="H80" s="274">
        <v>1000000</v>
      </c>
      <c r="I80" s="276">
        <f t="shared" si="1"/>
        <v>0</v>
      </c>
    </row>
    <row r="81" spans="1:9" x14ac:dyDescent="0.3">
      <c r="A81" s="275" t="s">
        <v>2763</v>
      </c>
      <c r="B81" s="274">
        <v>20000000</v>
      </c>
      <c r="D81" t="s">
        <v>6242</v>
      </c>
      <c r="E81" s="274">
        <f>_xlfn.XLOOKUP(Table6[[#This Row],[Column1]],$A$4:$A$122,$B$4:$B$122,0,0,1)</f>
        <v>0</v>
      </c>
      <c r="G81" t="b">
        <f>A81=Table6[[#This Row],[Column1]]</f>
        <v>0</v>
      </c>
      <c r="H81" s="274">
        <v>20000000</v>
      </c>
      <c r="I81" s="276">
        <f t="shared" si="1"/>
        <v>0</v>
      </c>
    </row>
    <row r="82" spans="1:9" x14ac:dyDescent="0.3">
      <c r="A82" s="275" t="s">
        <v>2768</v>
      </c>
      <c r="B82" s="274">
        <v>45000000</v>
      </c>
      <c r="D82" t="s">
        <v>6243</v>
      </c>
      <c r="E82" s="274">
        <f>_xlfn.XLOOKUP(Table6[[#This Row],[Column1]],$A$4:$A$122,$B$4:$B$122,0,0,1)</f>
        <v>0</v>
      </c>
      <c r="G82" t="b">
        <f>A82=Table6[[#This Row],[Column1]]</f>
        <v>0</v>
      </c>
      <c r="H82" s="274">
        <v>45000000</v>
      </c>
      <c r="I82" s="276">
        <f t="shared" si="1"/>
        <v>0</v>
      </c>
    </row>
    <row r="83" spans="1:9" x14ac:dyDescent="0.3">
      <c r="A83" s="275" t="s">
        <v>2772</v>
      </c>
      <c r="B83" s="274">
        <v>21000000</v>
      </c>
      <c r="D83" t="s">
        <v>6244</v>
      </c>
      <c r="E83" s="274">
        <f>_xlfn.XLOOKUP(Table6[[#This Row],[Column1]],$A$4:$A$122,$B$4:$B$122,0,0,1)</f>
        <v>0</v>
      </c>
      <c r="G83" t="b">
        <f>A83=Table6[[#This Row],[Column1]]</f>
        <v>0</v>
      </c>
      <c r="H83" s="274">
        <v>21000000</v>
      </c>
      <c r="I83" s="276">
        <f t="shared" si="1"/>
        <v>0</v>
      </c>
    </row>
    <row r="84" spans="1:9" x14ac:dyDescent="0.3">
      <c r="A84" s="275" t="s">
        <v>2776</v>
      </c>
      <c r="B84" s="274">
        <v>17500000</v>
      </c>
      <c r="D84" t="s">
        <v>6245</v>
      </c>
      <c r="E84" s="274">
        <f>_xlfn.XLOOKUP(Table6[[#This Row],[Column1]],$A$4:$A$122,$B$4:$B$122,0,0,1)</f>
        <v>0</v>
      </c>
      <c r="G84" t="b">
        <f>A84=Table6[[#This Row],[Column1]]</f>
        <v>0</v>
      </c>
      <c r="H84" s="274">
        <v>17500000</v>
      </c>
      <c r="I84" s="276">
        <f t="shared" si="1"/>
        <v>0</v>
      </c>
    </row>
    <row r="85" spans="1:9" x14ac:dyDescent="0.3">
      <c r="A85" s="275" t="s">
        <v>2781</v>
      </c>
      <c r="B85" s="274">
        <v>41908000</v>
      </c>
      <c r="D85" t="s">
        <v>6246</v>
      </c>
      <c r="E85" s="274">
        <f>_xlfn.XLOOKUP(Table6[[#This Row],[Column1]],$A$4:$A$122,$B$4:$B$122,0,0,1)</f>
        <v>0</v>
      </c>
      <c r="G85" t="b">
        <f>A85=Table6[[#This Row],[Column1]]</f>
        <v>0</v>
      </c>
      <c r="H85" s="274">
        <v>41908000</v>
      </c>
      <c r="I85" s="276">
        <f t="shared" si="1"/>
        <v>0</v>
      </c>
    </row>
    <row r="86" spans="1:9" x14ac:dyDescent="0.3">
      <c r="A86" s="275" t="s">
        <v>3055</v>
      </c>
      <c r="B86" s="274">
        <v>23250000</v>
      </c>
      <c r="D86" t="s">
        <v>6247</v>
      </c>
      <c r="E86" s="274">
        <f>_xlfn.XLOOKUP(Table6[[#This Row],[Column1]],$A$4:$A$122,$B$4:$B$122,0,0,1)</f>
        <v>0</v>
      </c>
      <c r="G86" t="b">
        <f>A86=Table6[[#This Row],[Column1]]</f>
        <v>0</v>
      </c>
      <c r="H86" s="274">
        <v>23250000</v>
      </c>
      <c r="I86" s="276">
        <f t="shared" si="1"/>
        <v>0</v>
      </c>
    </row>
    <row r="87" spans="1:9" x14ac:dyDescent="0.3">
      <c r="A87" s="275" t="s">
        <v>3061</v>
      </c>
      <c r="B87" s="274">
        <v>2000000</v>
      </c>
      <c r="D87" t="s">
        <v>2293</v>
      </c>
      <c r="E87" s="274">
        <f>_xlfn.XLOOKUP(Table6[[#This Row],[Column1]],$A$4:$A$122,$B$4:$B$122,0,0,1)</f>
        <v>540000000</v>
      </c>
      <c r="G87" t="b">
        <f>A87=Table6[[#This Row],[Column1]]</f>
        <v>0</v>
      </c>
      <c r="H87" s="274">
        <v>2000000</v>
      </c>
      <c r="I87" s="276">
        <f t="shared" si="1"/>
        <v>0</v>
      </c>
    </row>
    <row r="88" spans="1:9" x14ac:dyDescent="0.3">
      <c r="A88" s="275" t="s">
        <v>3064</v>
      </c>
      <c r="B88" s="274">
        <v>18539000</v>
      </c>
      <c r="D88" t="s">
        <v>2742</v>
      </c>
      <c r="E88" s="274">
        <f>_xlfn.XLOOKUP(Table6[[#This Row],[Column1]],$A$4:$A$122,$B$4:$B$122,0,0,1)</f>
        <v>6000000</v>
      </c>
      <c r="G88" t="b">
        <f>A88=Table6[[#This Row],[Column1]]</f>
        <v>0</v>
      </c>
      <c r="H88" s="274">
        <v>18539000</v>
      </c>
      <c r="I88" s="276">
        <f t="shared" si="1"/>
        <v>0</v>
      </c>
    </row>
    <row r="89" spans="1:9" x14ac:dyDescent="0.3">
      <c r="A89" s="275" t="s">
        <v>3068</v>
      </c>
      <c r="B89" s="274">
        <v>13525000</v>
      </c>
      <c r="D89" t="s">
        <v>2747</v>
      </c>
      <c r="E89" s="274">
        <f>_xlfn.XLOOKUP(Table6[[#This Row],[Column1]],$A$4:$A$122,$B$4:$B$122,0,0,1)</f>
        <v>1000000</v>
      </c>
      <c r="G89" t="b">
        <f>A89=Table6[[#This Row],[Column1]]</f>
        <v>0</v>
      </c>
      <c r="H89" s="274">
        <v>13525000</v>
      </c>
      <c r="I89" s="276">
        <f t="shared" si="1"/>
        <v>0</v>
      </c>
    </row>
    <row r="90" spans="1:9" x14ac:dyDescent="0.3">
      <c r="A90" s="275" t="s">
        <v>3077</v>
      </c>
      <c r="B90" s="274">
        <v>2000000</v>
      </c>
      <c r="D90" t="s">
        <v>2750</v>
      </c>
      <c r="E90" s="274">
        <f>_xlfn.XLOOKUP(Table6[[#This Row],[Column1]],$A$4:$A$122,$B$4:$B$122,0,0,1)</f>
        <v>10000000</v>
      </c>
      <c r="G90" t="b">
        <f>A90=Table6[[#This Row],[Column1]]</f>
        <v>0</v>
      </c>
      <c r="H90" s="274">
        <v>2000000</v>
      </c>
      <c r="I90" s="276">
        <f t="shared" si="1"/>
        <v>0</v>
      </c>
    </row>
    <row r="91" spans="1:9" x14ac:dyDescent="0.3">
      <c r="A91" s="275" t="s">
        <v>3084</v>
      </c>
      <c r="B91" s="274">
        <v>60415000</v>
      </c>
      <c r="D91" t="s">
        <v>2753</v>
      </c>
      <c r="E91" s="274">
        <f>_xlfn.XLOOKUP(Table6[[#This Row],[Column1]],$A$4:$A$122,$B$4:$B$122,0,0,1)</f>
        <v>5164000</v>
      </c>
      <c r="G91" t="b">
        <f>A91=Table6[[#This Row],[Column1]]</f>
        <v>0</v>
      </c>
      <c r="H91" s="274">
        <v>60415000</v>
      </c>
      <c r="I91" s="276">
        <f t="shared" si="1"/>
        <v>0</v>
      </c>
    </row>
    <row r="92" spans="1:9" x14ac:dyDescent="0.3">
      <c r="A92" s="275" t="s">
        <v>3093</v>
      </c>
      <c r="B92" s="274">
        <v>17900000</v>
      </c>
      <c r="D92" t="s">
        <v>2757</v>
      </c>
      <c r="E92" s="274">
        <f>_xlfn.XLOOKUP(Table6[[#This Row],[Column1]],$A$4:$A$122,$B$4:$B$122,0,0,1)</f>
        <v>12000000</v>
      </c>
      <c r="G92" t="b">
        <f>A92=Table6[[#This Row],[Column1]]</f>
        <v>0</v>
      </c>
      <c r="H92" s="274">
        <v>17900000</v>
      </c>
      <c r="I92" s="276">
        <f t="shared" si="1"/>
        <v>0</v>
      </c>
    </row>
    <row r="93" spans="1:9" x14ac:dyDescent="0.3">
      <c r="A93" s="275" t="s">
        <v>3100</v>
      </c>
      <c r="B93" s="274">
        <v>2000000</v>
      </c>
      <c r="D93" t="s">
        <v>2761</v>
      </c>
      <c r="E93" s="274">
        <f>_xlfn.XLOOKUP(Table6[[#This Row],[Column1]],$A$4:$A$122,$B$4:$B$122,0,0,1)</f>
        <v>1000000</v>
      </c>
      <c r="G93" t="b">
        <f>A93=Table6[[#This Row],[Column1]]</f>
        <v>0</v>
      </c>
      <c r="H93" s="274">
        <v>2000000</v>
      </c>
      <c r="I93" s="276">
        <f t="shared" si="1"/>
        <v>0</v>
      </c>
    </row>
    <row r="94" spans="1:9" x14ac:dyDescent="0.3">
      <c r="A94" s="275" t="s">
        <v>3102</v>
      </c>
      <c r="B94" s="274">
        <v>30169000</v>
      </c>
      <c r="D94" t="s">
        <v>2763</v>
      </c>
      <c r="E94" s="274">
        <f>_xlfn.XLOOKUP(Table6[[#This Row],[Column1]],$A$4:$A$122,$B$4:$B$122,0,0,1)</f>
        <v>20000000</v>
      </c>
      <c r="G94" t="b">
        <f>A94=Table6[[#This Row],[Column1]]</f>
        <v>0</v>
      </c>
      <c r="H94" s="274">
        <v>30169000</v>
      </c>
      <c r="I94" s="276">
        <f t="shared" si="1"/>
        <v>0</v>
      </c>
    </row>
    <row r="95" spans="1:9" x14ac:dyDescent="0.3">
      <c r="A95" s="275" t="s">
        <v>3321</v>
      </c>
      <c r="B95" s="274">
        <v>18400000</v>
      </c>
      <c r="D95" t="s">
        <v>2766</v>
      </c>
      <c r="E95" s="274">
        <f>_xlfn.XLOOKUP(Table6[[#This Row],[Column1]],$A$4:$A$122,$B$4:$B$122,0,0,1)</f>
        <v>0</v>
      </c>
      <c r="G95" t="b">
        <f>A95=Table6[[#This Row],[Column1]]</f>
        <v>0</v>
      </c>
      <c r="H95" s="274">
        <v>18400000</v>
      </c>
      <c r="I95" s="276">
        <f t="shared" si="1"/>
        <v>0</v>
      </c>
    </row>
    <row r="96" spans="1:9" x14ac:dyDescent="0.3">
      <c r="A96" s="275" t="s">
        <v>3326</v>
      </c>
      <c r="B96" s="274">
        <v>8702000</v>
      </c>
      <c r="D96" t="s">
        <v>2768</v>
      </c>
      <c r="E96" s="274">
        <f>_xlfn.XLOOKUP(Table6[[#This Row],[Column1]],$A$4:$A$122,$B$4:$B$122,0,0,1)</f>
        <v>45000000</v>
      </c>
      <c r="G96" t="b">
        <f>A96=Table6[[#This Row],[Column1]]</f>
        <v>0</v>
      </c>
      <c r="H96" s="274">
        <v>8702000</v>
      </c>
      <c r="I96" s="276">
        <f t="shared" si="1"/>
        <v>0</v>
      </c>
    </row>
    <row r="97" spans="1:9" x14ac:dyDescent="0.3">
      <c r="A97" s="275" t="s">
        <v>3332</v>
      </c>
      <c r="B97" s="274">
        <v>7500000</v>
      </c>
      <c r="D97" t="s">
        <v>2772</v>
      </c>
      <c r="E97" s="274">
        <f>_xlfn.XLOOKUP(Table6[[#This Row],[Column1]],$A$4:$A$122,$B$4:$B$122,0,0,1)</f>
        <v>21000000</v>
      </c>
      <c r="G97" t="b">
        <f>A97=Table6[[#This Row],[Column1]]</f>
        <v>0</v>
      </c>
      <c r="H97" s="274">
        <v>7500000</v>
      </c>
      <c r="I97" s="276">
        <f t="shared" si="1"/>
        <v>0</v>
      </c>
    </row>
    <row r="98" spans="1:9" x14ac:dyDescent="0.3">
      <c r="A98" s="275" t="s">
        <v>3336</v>
      </c>
      <c r="B98" s="274">
        <v>5350000</v>
      </c>
      <c r="D98" t="s">
        <v>2776</v>
      </c>
      <c r="E98" s="274">
        <f>_xlfn.XLOOKUP(Table6[[#This Row],[Column1]],$A$4:$A$122,$B$4:$B$122,0,0,1)</f>
        <v>17500000</v>
      </c>
      <c r="G98" t="b">
        <f>A98=Table6[[#This Row],[Column1]]</f>
        <v>0</v>
      </c>
      <c r="H98" s="274">
        <v>5350000</v>
      </c>
      <c r="I98" s="276">
        <f t="shared" si="1"/>
        <v>0</v>
      </c>
    </row>
    <row r="99" spans="1:9" x14ac:dyDescent="0.3">
      <c r="A99" s="275" t="s">
        <v>3341</v>
      </c>
      <c r="B99" s="274">
        <v>7500000</v>
      </c>
      <c r="D99" t="s">
        <v>2779</v>
      </c>
      <c r="E99" s="274">
        <f>_xlfn.XLOOKUP(Table6[[#This Row],[Column1]],$A$4:$A$122,$B$4:$B$122,0,0,1)</f>
        <v>0</v>
      </c>
      <c r="G99" t="b">
        <f>A99=Table6[[#This Row],[Column1]]</f>
        <v>0</v>
      </c>
      <c r="H99" s="274">
        <v>7500000</v>
      </c>
      <c r="I99" s="276">
        <f t="shared" si="1"/>
        <v>0</v>
      </c>
    </row>
    <row r="100" spans="1:9" x14ac:dyDescent="0.3">
      <c r="A100" s="275" t="s">
        <v>3351</v>
      </c>
      <c r="B100" s="274">
        <v>14000000</v>
      </c>
      <c r="D100" t="s">
        <v>2781</v>
      </c>
      <c r="E100" s="274">
        <f>_xlfn.XLOOKUP(Table6[[#This Row],[Column1]],$A$4:$A$122,$B$4:$B$122,0,0,1)</f>
        <v>41908000</v>
      </c>
      <c r="G100" t="b">
        <f>A100=Table6[[#This Row],[Column1]]</f>
        <v>0</v>
      </c>
      <c r="H100" s="274">
        <v>14000000</v>
      </c>
      <c r="I100" s="276">
        <f t="shared" si="1"/>
        <v>0</v>
      </c>
    </row>
    <row r="101" spans="1:9" x14ac:dyDescent="0.3">
      <c r="A101" s="275" t="s">
        <v>3361</v>
      </c>
      <c r="B101" s="274">
        <v>20635000</v>
      </c>
      <c r="D101" t="s">
        <v>3055</v>
      </c>
      <c r="E101" s="274">
        <f>_xlfn.XLOOKUP(Table6[[#This Row],[Column1]],$A$4:$A$122,$B$4:$B$122,0,0,1)</f>
        <v>23250000</v>
      </c>
      <c r="G101" t="b">
        <f>A101=Table6[[#This Row],[Column1]]</f>
        <v>0</v>
      </c>
      <c r="H101" s="274">
        <v>20635000</v>
      </c>
      <c r="I101" s="276">
        <f t="shared" si="1"/>
        <v>0</v>
      </c>
    </row>
    <row r="102" spans="1:9" x14ac:dyDescent="0.3">
      <c r="A102" s="275" t="s">
        <v>3368</v>
      </c>
      <c r="B102" s="274">
        <v>7500000</v>
      </c>
      <c r="D102" t="s">
        <v>3061</v>
      </c>
      <c r="E102" s="274">
        <f>_xlfn.XLOOKUP(Table6[[#This Row],[Column1]],$A$4:$A$122,$B$4:$B$122,0,0,1)</f>
        <v>2000000</v>
      </c>
      <c r="G102" t="b">
        <f>A102=Table6[[#This Row],[Column1]]</f>
        <v>0</v>
      </c>
      <c r="H102" s="274">
        <v>7500000</v>
      </c>
      <c r="I102" s="276">
        <f t="shared" si="1"/>
        <v>0</v>
      </c>
    </row>
    <row r="103" spans="1:9" x14ac:dyDescent="0.3">
      <c r="A103" s="275" t="s">
        <v>3378</v>
      </c>
      <c r="B103" s="274">
        <v>4800000</v>
      </c>
      <c r="D103" t="s">
        <v>3064</v>
      </c>
      <c r="E103" s="274">
        <f>_xlfn.XLOOKUP(Table6[[#This Row],[Column1]],$A$4:$A$122,$B$4:$B$122,0,0,1)</f>
        <v>18539000</v>
      </c>
      <c r="G103" t="b">
        <f>A103=Table6[[#This Row],[Column1]]</f>
        <v>0</v>
      </c>
      <c r="H103" s="274">
        <v>4800000</v>
      </c>
      <c r="I103" s="276">
        <f t="shared" si="1"/>
        <v>0</v>
      </c>
    </row>
    <row r="104" spans="1:9" x14ac:dyDescent="0.3">
      <c r="A104" s="275" t="s">
        <v>3381</v>
      </c>
      <c r="B104" s="274">
        <v>27500000</v>
      </c>
      <c r="D104" t="s">
        <v>3068</v>
      </c>
      <c r="E104" s="274">
        <f>_xlfn.XLOOKUP(Table6[[#This Row],[Column1]],$A$4:$A$122,$B$4:$B$122,0,0,1)</f>
        <v>13525000</v>
      </c>
      <c r="G104" t="b">
        <f>A104=Table6[[#This Row],[Column1]]</f>
        <v>0</v>
      </c>
      <c r="H104" s="274">
        <v>27500000</v>
      </c>
      <c r="I104" s="276">
        <f t="shared" si="1"/>
        <v>0</v>
      </c>
    </row>
    <row r="105" spans="1:9" x14ac:dyDescent="0.3">
      <c r="A105" s="275" t="s">
        <v>3384</v>
      </c>
      <c r="B105" s="274">
        <v>76033000</v>
      </c>
      <c r="D105" t="s">
        <v>3077</v>
      </c>
      <c r="E105" s="274">
        <f>_xlfn.XLOOKUP(Table6[[#This Row],[Column1]],$A$4:$A$122,$B$4:$B$122,0,0,1)</f>
        <v>2000000</v>
      </c>
      <c r="G105" t="b">
        <f>A105=Table6[[#This Row],[Column1]]</f>
        <v>0</v>
      </c>
      <c r="H105" s="274">
        <v>76033000</v>
      </c>
      <c r="I105" s="276">
        <f t="shared" si="1"/>
        <v>0</v>
      </c>
    </row>
    <row r="106" spans="1:9" x14ac:dyDescent="0.3">
      <c r="A106" s="275" t="s">
        <v>3480</v>
      </c>
      <c r="B106" s="274">
        <v>99100000</v>
      </c>
      <c r="D106" t="s">
        <v>3082</v>
      </c>
      <c r="E106" s="274">
        <f>_xlfn.XLOOKUP(Table6[[#This Row],[Column1]],$A$4:$A$122,$B$4:$B$122,0,0,1)</f>
        <v>0</v>
      </c>
      <c r="G106" t="b">
        <f>A106=Table6[[#This Row],[Column1]]</f>
        <v>0</v>
      </c>
      <c r="H106" s="274">
        <v>99100000</v>
      </c>
      <c r="I106" s="276">
        <f t="shared" si="1"/>
        <v>0</v>
      </c>
    </row>
    <row r="107" spans="1:9" x14ac:dyDescent="0.3">
      <c r="A107" s="275" t="s">
        <v>3488</v>
      </c>
      <c r="B107" s="274">
        <v>1333864000</v>
      </c>
      <c r="D107" t="s">
        <v>3084</v>
      </c>
      <c r="E107" s="274">
        <f>_xlfn.XLOOKUP(Table6[[#This Row],[Column1]],$A$4:$A$122,$B$4:$B$122,0,0,1)</f>
        <v>60415000</v>
      </c>
      <c r="G107" t="b">
        <f>A107=Table6[[#This Row],[Column1]]</f>
        <v>0</v>
      </c>
      <c r="H107" s="274">
        <v>1333864000</v>
      </c>
      <c r="I107" s="276">
        <f t="shared" si="1"/>
        <v>0</v>
      </c>
    </row>
    <row r="108" spans="1:9" x14ac:dyDescent="0.3">
      <c r="A108" s="275" t="s">
        <v>3492</v>
      </c>
      <c r="B108" s="274">
        <v>25000000</v>
      </c>
      <c r="D108" t="s">
        <v>3087</v>
      </c>
      <c r="E108" s="274">
        <f>_xlfn.XLOOKUP(Table6[[#This Row],[Column1]],$A$4:$A$122,$B$4:$B$122,0,0,1)</f>
        <v>0</v>
      </c>
      <c r="G108" t="b">
        <f>A108=Table6[[#This Row],[Column1]]</f>
        <v>0</v>
      </c>
      <c r="H108" s="274">
        <v>25000000</v>
      </c>
      <c r="I108" s="276">
        <f t="shared" si="1"/>
        <v>0</v>
      </c>
    </row>
    <row r="109" spans="1:9" x14ac:dyDescent="0.3">
      <c r="A109" s="275" t="s">
        <v>3495</v>
      </c>
      <c r="B109" s="274">
        <v>15000000</v>
      </c>
      <c r="D109" t="s">
        <v>3093</v>
      </c>
      <c r="E109" s="274">
        <f>_xlfn.XLOOKUP(Table6[[#This Row],[Column1]],$A$4:$A$122,$B$4:$B$122,0,0,1)</f>
        <v>17900000</v>
      </c>
      <c r="G109" t="b">
        <f>A109=Table6[[#This Row],[Column1]]</f>
        <v>0</v>
      </c>
      <c r="H109" s="274">
        <v>15000000</v>
      </c>
      <c r="I109" s="276">
        <f t="shared" si="1"/>
        <v>0</v>
      </c>
    </row>
    <row r="110" spans="1:9" x14ac:dyDescent="0.3">
      <c r="A110" s="275" t="s">
        <v>3497</v>
      </c>
      <c r="B110" s="274">
        <v>102600000</v>
      </c>
      <c r="D110" t="s">
        <v>3100</v>
      </c>
      <c r="E110" s="274">
        <f>_xlfn.XLOOKUP(Table6[[#This Row],[Column1]],$A$4:$A$122,$B$4:$B$122,0,0,1)</f>
        <v>2000000</v>
      </c>
      <c r="G110" t="b">
        <f>A110=Table6[[#This Row],[Column1]]</f>
        <v>0</v>
      </c>
      <c r="H110" s="274">
        <v>102600000</v>
      </c>
      <c r="I110" s="276">
        <f t="shared" si="1"/>
        <v>0</v>
      </c>
    </row>
    <row r="111" spans="1:9" x14ac:dyDescent="0.3">
      <c r="A111" s="275" t="s">
        <v>3500</v>
      </c>
      <c r="B111" s="274">
        <v>138000000</v>
      </c>
      <c r="D111" t="s">
        <v>3102</v>
      </c>
      <c r="E111" s="274">
        <f>_xlfn.XLOOKUP(Table6[[#This Row],[Column1]],$A$4:$A$122,$B$4:$B$122,0,0,1)</f>
        <v>30169000</v>
      </c>
      <c r="G111" t="b">
        <f>A111=Table6[[#This Row],[Column1]]</f>
        <v>0</v>
      </c>
      <c r="H111" s="274">
        <v>138000000</v>
      </c>
      <c r="I111" s="276">
        <f t="shared" si="1"/>
        <v>0</v>
      </c>
    </row>
    <row r="112" spans="1:9" x14ac:dyDescent="0.3">
      <c r="A112" s="275" t="s">
        <v>3506</v>
      </c>
      <c r="B112" s="274">
        <v>25000000</v>
      </c>
      <c r="D112" t="s">
        <v>3321</v>
      </c>
      <c r="E112" s="274">
        <f>_xlfn.XLOOKUP(Table6[[#This Row],[Column1]],$A$4:$A$122,$B$4:$B$122,0,0,1)</f>
        <v>18400000</v>
      </c>
      <c r="G112" t="b">
        <f>A112=Table6[[#This Row],[Column1]]</f>
        <v>0</v>
      </c>
      <c r="H112" s="274">
        <v>25000000</v>
      </c>
      <c r="I112" s="276">
        <f t="shared" si="1"/>
        <v>0</v>
      </c>
    </row>
    <row r="113" spans="1:9" x14ac:dyDescent="0.3">
      <c r="A113" s="275" t="s">
        <v>3509</v>
      </c>
      <c r="B113" s="274">
        <v>3808695000</v>
      </c>
      <c r="D113" t="s">
        <v>3326</v>
      </c>
      <c r="E113" s="274">
        <f>_xlfn.XLOOKUP(Table6[[#This Row],[Column1]],$A$4:$A$122,$B$4:$B$122,0,0,1)</f>
        <v>8702000</v>
      </c>
      <c r="G113" t="b">
        <f>A113=Table6[[#This Row],[Column1]]</f>
        <v>0</v>
      </c>
      <c r="H113" s="274">
        <v>3808695000</v>
      </c>
      <c r="I113" s="276">
        <f t="shared" si="1"/>
        <v>0</v>
      </c>
    </row>
    <row r="114" spans="1:9" x14ac:dyDescent="0.3">
      <c r="A114" s="275" t="s">
        <v>3514</v>
      </c>
      <c r="B114" s="274">
        <v>30000000</v>
      </c>
      <c r="D114" t="s">
        <v>3332</v>
      </c>
      <c r="E114" s="274">
        <f>_xlfn.XLOOKUP(Table6[[#This Row],[Column1]],$A$4:$A$122,$B$4:$B$122,0,0,1)</f>
        <v>7500000</v>
      </c>
      <c r="G114" t="b">
        <f>A114=Table6[[#This Row],[Column1]]</f>
        <v>0</v>
      </c>
      <c r="H114" s="274">
        <v>30000000</v>
      </c>
      <c r="I114" s="276">
        <f t="shared" si="1"/>
        <v>0</v>
      </c>
    </row>
    <row r="115" spans="1:9" x14ac:dyDescent="0.3">
      <c r="A115" s="275" t="s">
        <v>3517</v>
      </c>
      <c r="B115" s="274">
        <v>6000000</v>
      </c>
      <c r="D115" t="s">
        <v>3336</v>
      </c>
      <c r="E115" s="274">
        <f>_xlfn.XLOOKUP(Table6[[#This Row],[Column1]],$A$4:$A$122,$B$4:$B$122,0,0,1)</f>
        <v>5350000</v>
      </c>
      <c r="G115" t="b">
        <f>A115=Table6[[#This Row],[Column1]]</f>
        <v>0</v>
      </c>
      <c r="H115" s="274">
        <v>6000000</v>
      </c>
      <c r="I115" s="276">
        <f t="shared" si="1"/>
        <v>0</v>
      </c>
    </row>
    <row r="116" spans="1:9" x14ac:dyDescent="0.3">
      <c r="A116" s="275" t="s">
        <v>3519</v>
      </c>
      <c r="B116" s="274">
        <v>216000000</v>
      </c>
      <c r="D116" t="s">
        <v>3341</v>
      </c>
      <c r="E116" s="274">
        <f>_xlfn.XLOOKUP(Table6[[#This Row],[Column1]],$A$4:$A$122,$B$4:$B$122,0,0,1)</f>
        <v>7500000</v>
      </c>
      <c r="G116" t="b">
        <f>A116=Table6[[#This Row],[Column1]]</f>
        <v>0</v>
      </c>
      <c r="H116" s="274">
        <v>216000000</v>
      </c>
      <c r="I116" s="276">
        <f t="shared" si="1"/>
        <v>0</v>
      </c>
    </row>
    <row r="117" spans="1:9" x14ac:dyDescent="0.3">
      <c r="A117" s="275" t="s">
        <v>3523</v>
      </c>
      <c r="B117" s="274">
        <v>12000000</v>
      </c>
      <c r="D117" t="s">
        <v>3344</v>
      </c>
      <c r="E117" s="274">
        <f>_xlfn.XLOOKUP(Table6[[#This Row],[Column1]],$A$4:$A$122,$B$4:$B$122,0,0,1)</f>
        <v>0</v>
      </c>
      <c r="G117" t="b">
        <f>A117=Table6[[#This Row],[Column1]]</f>
        <v>0</v>
      </c>
      <c r="H117" s="274">
        <v>12000000</v>
      </c>
      <c r="I117" s="276">
        <f t="shared" si="1"/>
        <v>0</v>
      </c>
    </row>
    <row r="118" spans="1:9" x14ac:dyDescent="0.3">
      <c r="A118" s="275" t="s">
        <v>3527</v>
      </c>
      <c r="B118" s="274">
        <v>20000000</v>
      </c>
      <c r="D118" t="s">
        <v>3351</v>
      </c>
      <c r="E118" s="274">
        <f>_xlfn.XLOOKUP(Table6[[#This Row],[Column1]],$A$4:$A$122,$B$4:$B$122,0,0,1)</f>
        <v>14000000</v>
      </c>
      <c r="G118" t="b">
        <f>A118=Table6[[#This Row],[Column1]]</f>
        <v>0</v>
      </c>
      <c r="H118" s="274">
        <v>20000000</v>
      </c>
      <c r="I118" s="276">
        <f t="shared" si="1"/>
        <v>0</v>
      </c>
    </row>
    <row r="119" spans="1:9" x14ac:dyDescent="0.3">
      <c r="A119" s="275" t="s">
        <v>3530</v>
      </c>
      <c r="B119" s="274">
        <v>142041000</v>
      </c>
      <c r="D119" t="s">
        <v>3359</v>
      </c>
      <c r="E119" s="274">
        <f>_xlfn.XLOOKUP(Table6[[#This Row],[Column1]],$A$4:$A$122,$B$4:$B$122,0,0,1)</f>
        <v>0</v>
      </c>
      <c r="G119" t="b">
        <f>A119=Table6[[#This Row],[Column1]]</f>
        <v>0</v>
      </c>
      <c r="H119" s="274">
        <v>142041000</v>
      </c>
      <c r="I119" s="276">
        <f t="shared" si="1"/>
        <v>0</v>
      </c>
    </row>
    <row r="120" spans="1:9" x14ac:dyDescent="0.3">
      <c r="A120" s="275" t="s">
        <v>3540</v>
      </c>
      <c r="B120" s="274">
        <v>25000000</v>
      </c>
      <c r="D120" t="s">
        <v>3361</v>
      </c>
      <c r="E120" s="274">
        <f>_xlfn.XLOOKUP(Table6[[#This Row],[Column1]],$A$4:$A$122,$B$4:$B$122,0,0,1)</f>
        <v>20635000</v>
      </c>
      <c r="G120" t="b">
        <f>A120=Table6[[#This Row],[Column1]]</f>
        <v>0</v>
      </c>
      <c r="H120" s="274">
        <v>25000000</v>
      </c>
      <c r="I120" s="276">
        <f t="shared" si="1"/>
        <v>0</v>
      </c>
    </row>
    <row r="121" spans="1:9" x14ac:dyDescent="0.3">
      <c r="A121" s="275" t="s">
        <v>3543</v>
      </c>
      <c r="B121" s="274">
        <v>30000000</v>
      </c>
      <c r="D121" t="s">
        <v>3368</v>
      </c>
      <c r="E121" s="274">
        <f>_xlfn.XLOOKUP(Table6[[#This Row],[Column1]],$A$4:$A$122,$B$4:$B$122,0,0,1)</f>
        <v>7500000</v>
      </c>
      <c r="G121" t="b">
        <f>A121=Table6[[#This Row],[Column1]]</f>
        <v>0</v>
      </c>
      <c r="H121" s="274">
        <v>30000000</v>
      </c>
      <c r="I121" s="276">
        <f t="shared" si="1"/>
        <v>0</v>
      </c>
    </row>
    <row r="122" spans="1:9" x14ac:dyDescent="0.3">
      <c r="A122" s="275" t="s">
        <v>3546</v>
      </c>
      <c r="B122" s="274">
        <v>54200000</v>
      </c>
      <c r="D122" t="s">
        <v>3371</v>
      </c>
      <c r="E122" s="274">
        <f>_xlfn.XLOOKUP(Table6[[#This Row],[Column1]],$A$4:$A$122,$B$4:$B$122,0,0,1)</f>
        <v>0</v>
      </c>
      <c r="G122" t="b">
        <f>A122=Table6[[#This Row],[Column1]]</f>
        <v>0</v>
      </c>
      <c r="H122" s="274">
        <v>54200000</v>
      </c>
      <c r="I122" s="276">
        <f t="shared" si="1"/>
        <v>0</v>
      </c>
    </row>
    <row r="123" spans="1:9" x14ac:dyDescent="0.3">
      <c r="D123" t="s">
        <v>3378</v>
      </c>
      <c r="E123" s="274">
        <f>_xlfn.XLOOKUP(Table6[[#This Row],[Column1]],$A$4:$A$122,$B$4:$B$122,0,0,1)</f>
        <v>4800000</v>
      </c>
      <c r="G123" t="b">
        <f>A123=Table6[[#This Row],[Column1]]</f>
        <v>0</v>
      </c>
      <c r="I123" s="276">
        <f t="shared" si="1"/>
        <v>0</v>
      </c>
    </row>
    <row r="124" spans="1:9" x14ac:dyDescent="0.3">
      <c r="D124" t="s">
        <v>3381</v>
      </c>
      <c r="E124" s="274">
        <f>_xlfn.XLOOKUP(Table6[[#This Row],[Column1]],$A$4:$A$122,$B$4:$B$122,0,0,1)</f>
        <v>27500000</v>
      </c>
      <c r="G124" t="b">
        <f>A124=Table6[[#This Row],[Column1]]</f>
        <v>0</v>
      </c>
      <c r="I124" s="276">
        <f t="shared" si="1"/>
        <v>0</v>
      </c>
    </row>
    <row r="125" spans="1:9" x14ac:dyDescent="0.3">
      <c r="D125" t="s">
        <v>3384</v>
      </c>
      <c r="E125" s="274">
        <f>_xlfn.XLOOKUP(Table6[[#This Row],[Column1]],$A$4:$A$122,$B$4:$B$122,0,0,1)</f>
        <v>76033000</v>
      </c>
      <c r="G125" t="b">
        <f>A125=Table6[[#This Row],[Column1]]</f>
        <v>0</v>
      </c>
      <c r="I125" s="276">
        <f t="shared" si="1"/>
        <v>0</v>
      </c>
    </row>
    <row r="126" spans="1:9" x14ac:dyDescent="0.3">
      <c r="D126" t="s">
        <v>3480</v>
      </c>
      <c r="E126" s="274">
        <f>_xlfn.XLOOKUP(Table6[[#This Row],[Column1]],$A$4:$A$122,$B$4:$B$122,0,0,1)</f>
        <v>99100000</v>
      </c>
      <c r="G126" t="b">
        <f>A126=Table6[[#This Row],[Column1]]</f>
        <v>0</v>
      </c>
      <c r="I126" s="276">
        <f t="shared" si="1"/>
        <v>0</v>
      </c>
    </row>
    <row r="127" spans="1:9" x14ac:dyDescent="0.3">
      <c r="D127" t="s">
        <v>3488</v>
      </c>
      <c r="E127" s="274">
        <f>_xlfn.XLOOKUP(Table6[[#This Row],[Column1]],$A$4:$A$122,$B$4:$B$122,0,0,1)</f>
        <v>1333864000</v>
      </c>
      <c r="G127" t="b">
        <f>A127=Table6[[#This Row],[Column1]]</f>
        <v>0</v>
      </c>
      <c r="I127" s="276">
        <f t="shared" si="1"/>
        <v>0</v>
      </c>
    </row>
    <row r="128" spans="1:9" x14ac:dyDescent="0.3">
      <c r="D128" t="s">
        <v>3492</v>
      </c>
      <c r="E128" s="274">
        <f>_xlfn.XLOOKUP(Table6[[#This Row],[Column1]],$A$4:$A$122,$B$4:$B$122,0,0,1)</f>
        <v>25000000</v>
      </c>
      <c r="G128" t="b">
        <f>A128=Table6[[#This Row],[Column1]]</f>
        <v>0</v>
      </c>
      <c r="I128" s="276">
        <f t="shared" si="1"/>
        <v>0</v>
      </c>
    </row>
    <row r="129" spans="4:9" x14ac:dyDescent="0.3">
      <c r="D129" t="s">
        <v>3495</v>
      </c>
      <c r="E129" s="274">
        <f>_xlfn.XLOOKUP(Table6[[#This Row],[Column1]],$A$4:$A$122,$B$4:$B$122,0,0,1)</f>
        <v>15000000</v>
      </c>
      <c r="G129" t="b">
        <f>A129=Table6[[#This Row],[Column1]]</f>
        <v>0</v>
      </c>
      <c r="I129" s="276">
        <f t="shared" si="1"/>
        <v>0</v>
      </c>
    </row>
    <row r="130" spans="4:9" x14ac:dyDescent="0.3">
      <c r="D130" t="s">
        <v>3497</v>
      </c>
      <c r="E130" s="274">
        <f>_xlfn.XLOOKUP(Table6[[#This Row],[Column1]],$A$4:$A$122,$B$4:$B$122,0,0,1)</f>
        <v>102600000</v>
      </c>
      <c r="G130" t="b">
        <f>A130=Table6[[#This Row],[Column1]]</f>
        <v>0</v>
      </c>
      <c r="I130" s="276">
        <f t="shared" si="1"/>
        <v>0</v>
      </c>
    </row>
    <row r="131" spans="4:9" x14ac:dyDescent="0.3">
      <c r="D131" t="s">
        <v>3500</v>
      </c>
      <c r="E131" s="274">
        <f>_xlfn.XLOOKUP(Table6[[#This Row],[Column1]],$A$4:$A$122,$B$4:$B$122,0,0,1)</f>
        <v>138000000</v>
      </c>
      <c r="G131" t="b">
        <f>A131=Table6[[#This Row],[Column1]]</f>
        <v>0</v>
      </c>
      <c r="I131" s="276">
        <f t="shared" si="1"/>
        <v>0</v>
      </c>
    </row>
    <row r="132" spans="4:9" x14ac:dyDescent="0.3">
      <c r="D132" t="s">
        <v>3506</v>
      </c>
      <c r="E132" s="274">
        <f>_xlfn.XLOOKUP(Table6[[#This Row],[Column1]],$A$4:$A$122,$B$4:$B$122,0,0,1)</f>
        <v>25000000</v>
      </c>
      <c r="G132" t="b">
        <f>A132=Table6[[#This Row],[Column1]]</f>
        <v>0</v>
      </c>
      <c r="I132" s="276">
        <f t="shared" si="1"/>
        <v>0</v>
      </c>
    </row>
    <row r="133" spans="4:9" x14ac:dyDescent="0.3">
      <c r="D133" t="s">
        <v>3509</v>
      </c>
      <c r="E133" s="274">
        <f>_xlfn.XLOOKUP(Table6[[#This Row],[Column1]],$A$4:$A$122,$B$4:$B$122,0,0,1)</f>
        <v>3808695000</v>
      </c>
      <c r="G133" t="b">
        <f>A133=Table6[[#This Row],[Column1]]</f>
        <v>0</v>
      </c>
      <c r="I133" s="276">
        <f t="shared" si="1"/>
        <v>0</v>
      </c>
    </row>
    <row r="134" spans="4:9" x14ac:dyDescent="0.3">
      <c r="D134" t="s">
        <v>3514</v>
      </c>
      <c r="E134" s="274">
        <f>_xlfn.XLOOKUP(Table6[[#This Row],[Column1]],$A$4:$A$122,$B$4:$B$122,0,0,1)</f>
        <v>30000000</v>
      </c>
      <c r="G134" t="b">
        <f>A134=Table6[[#This Row],[Column1]]</f>
        <v>0</v>
      </c>
      <c r="I134" s="276">
        <f t="shared" si="1"/>
        <v>0</v>
      </c>
    </row>
    <row r="135" spans="4:9" x14ac:dyDescent="0.3">
      <c r="D135" t="s">
        <v>3517</v>
      </c>
      <c r="E135" s="274">
        <f>_xlfn.XLOOKUP(Table6[[#This Row],[Column1]],$A$4:$A$122,$B$4:$B$122,0,0,1)</f>
        <v>6000000</v>
      </c>
      <c r="G135" t="b">
        <f>A135=Table6[[#This Row],[Column1]]</f>
        <v>0</v>
      </c>
      <c r="I135" s="276">
        <f t="shared" si="1"/>
        <v>0</v>
      </c>
    </row>
    <row r="136" spans="4:9" x14ac:dyDescent="0.3">
      <c r="D136" t="s">
        <v>3519</v>
      </c>
      <c r="E136" s="274">
        <f>_xlfn.XLOOKUP(Table6[[#This Row],[Column1]],$A$4:$A$122,$B$4:$B$122,0,0,1)</f>
        <v>216000000</v>
      </c>
      <c r="G136" t="b">
        <f>A136=Table6[[#This Row],[Column1]]</f>
        <v>0</v>
      </c>
      <c r="I136" s="276">
        <f t="shared" si="1"/>
        <v>0</v>
      </c>
    </row>
    <row r="137" spans="4:9" x14ac:dyDescent="0.3">
      <c r="D137" t="s">
        <v>3523</v>
      </c>
      <c r="E137" s="274">
        <f>_xlfn.XLOOKUP(Table6[[#This Row],[Column1]],$A$4:$A$122,$B$4:$B$122,0,0,1)</f>
        <v>12000000</v>
      </c>
      <c r="G137" t="b">
        <f>A137=Table6[[#This Row],[Column1]]</f>
        <v>0</v>
      </c>
      <c r="I137" s="276">
        <f t="shared" si="1"/>
        <v>0</v>
      </c>
    </row>
    <row r="138" spans="4:9" x14ac:dyDescent="0.3">
      <c r="D138" t="s">
        <v>3527</v>
      </c>
      <c r="E138" s="274">
        <f>_xlfn.XLOOKUP(Table6[[#This Row],[Column1]],$A$4:$A$122,$B$4:$B$122,0,0,1)</f>
        <v>20000000</v>
      </c>
      <c r="G138" t="b">
        <f>A138=Table6[[#This Row],[Column1]]</f>
        <v>0</v>
      </c>
      <c r="I138" s="276">
        <f t="shared" ref="I138:I201" si="2">B138-H138</f>
        <v>0</v>
      </c>
    </row>
    <row r="139" spans="4:9" x14ac:dyDescent="0.3">
      <c r="D139" t="s">
        <v>3530</v>
      </c>
      <c r="E139" s="274">
        <f>_xlfn.XLOOKUP(Table6[[#This Row],[Column1]],$A$4:$A$122,$B$4:$B$122,0,0,1)</f>
        <v>142041000</v>
      </c>
      <c r="G139" t="b">
        <f>A139=Table6[[#This Row],[Column1]]</f>
        <v>0</v>
      </c>
      <c r="I139" s="276">
        <f t="shared" si="2"/>
        <v>0</v>
      </c>
    </row>
    <row r="140" spans="4:9" x14ac:dyDescent="0.3">
      <c r="D140" t="s">
        <v>3535</v>
      </c>
      <c r="E140" s="274">
        <f>_xlfn.XLOOKUP(Table6[[#This Row],[Column1]],$A$4:$A$122,$B$4:$B$122,0,0,1)</f>
        <v>0</v>
      </c>
      <c r="G140" t="b">
        <f>A140=Table6[[#This Row],[Column1]]</f>
        <v>0</v>
      </c>
      <c r="I140" s="276">
        <f t="shared" si="2"/>
        <v>0</v>
      </c>
    </row>
    <row r="141" spans="4:9" x14ac:dyDescent="0.3">
      <c r="D141" t="s">
        <v>3540</v>
      </c>
      <c r="E141" s="274">
        <f>_xlfn.XLOOKUP(Table6[[#This Row],[Column1]],$A$4:$A$122,$B$4:$B$122,0,0,1)</f>
        <v>25000000</v>
      </c>
      <c r="G141" t="b">
        <f>A141=Table6[[#This Row],[Column1]]</f>
        <v>0</v>
      </c>
      <c r="I141" s="276">
        <f t="shared" si="2"/>
        <v>0</v>
      </c>
    </row>
    <row r="142" spans="4:9" x14ac:dyDescent="0.3">
      <c r="D142" t="s">
        <v>3543</v>
      </c>
      <c r="E142" s="274">
        <f>_xlfn.XLOOKUP(Table6[[#This Row],[Column1]],$A$4:$A$122,$B$4:$B$122,0,0,1)</f>
        <v>30000000</v>
      </c>
      <c r="G142" t="b">
        <f>A142=Table6[[#This Row],[Column1]]</f>
        <v>0</v>
      </c>
      <c r="I142" s="276">
        <f t="shared" si="2"/>
        <v>0</v>
      </c>
    </row>
    <row r="143" spans="4:9" x14ac:dyDescent="0.3">
      <c r="D143" t="s">
        <v>3546</v>
      </c>
      <c r="E143" s="274">
        <f>_xlfn.XLOOKUP(Table6[[#This Row],[Column1]],$A$4:$A$122,$B$4:$B$122,0,0,1)</f>
        <v>54200000</v>
      </c>
      <c r="G143" t="b">
        <f>A143=Table6[[#This Row],[Column1]]</f>
        <v>0</v>
      </c>
      <c r="I143" s="276">
        <f t="shared" si="2"/>
        <v>0</v>
      </c>
    </row>
    <row r="144" spans="4:9" x14ac:dyDescent="0.3">
      <c r="E144" s="274">
        <f>_xlfn.XLOOKUP(Table6[[#This Row],[Column1]],$A$4:$A$122,$B$4:$B$122,0,0,1)</f>
        <v>0</v>
      </c>
      <c r="G144" t="b">
        <f>A144=Table6[[#This Row],[Column1]]</f>
        <v>1</v>
      </c>
      <c r="I144" s="276">
        <f t="shared" si="2"/>
        <v>0</v>
      </c>
    </row>
    <row r="145" spans="5:9" x14ac:dyDescent="0.3">
      <c r="E145" s="412">
        <f>SUBTOTAL(109,Table6[Column2])</f>
        <v>9280146000</v>
      </c>
      <c r="G145" t="e">
        <f>A145=Table6[[#This Row],[Column1]]</f>
        <v>#VALUE!</v>
      </c>
      <c r="I145" s="276">
        <f t="shared" si="2"/>
        <v>0</v>
      </c>
    </row>
    <row r="146" spans="5:9" x14ac:dyDescent="0.3">
      <c r="G146" t="e">
        <f>A146=Table6[[#This Row],[Column1]]</f>
        <v>#VALUE!</v>
      </c>
      <c r="I146" s="276">
        <f t="shared" si="2"/>
        <v>0</v>
      </c>
    </row>
    <row r="147" spans="5:9" x14ac:dyDescent="0.3">
      <c r="G147" t="e">
        <f>A147=Table6[[#This Row],[Column1]]</f>
        <v>#VALUE!</v>
      </c>
      <c r="I147" s="276">
        <f t="shared" si="2"/>
        <v>0</v>
      </c>
    </row>
    <row r="148" spans="5:9" x14ac:dyDescent="0.3">
      <c r="G148" t="e">
        <f>A148=Table6[[#This Row],[Column1]]</f>
        <v>#VALUE!</v>
      </c>
      <c r="I148" s="276">
        <f t="shared" si="2"/>
        <v>0</v>
      </c>
    </row>
    <row r="149" spans="5:9" x14ac:dyDescent="0.3">
      <c r="G149" t="e">
        <f>A149=Table6[[#This Row],[Column1]]</f>
        <v>#VALUE!</v>
      </c>
      <c r="I149" s="276">
        <f t="shared" si="2"/>
        <v>0</v>
      </c>
    </row>
    <row r="150" spans="5:9" x14ac:dyDescent="0.3">
      <c r="G150" t="e">
        <f>A150=Table6[[#This Row],[Column1]]</f>
        <v>#VALUE!</v>
      </c>
      <c r="I150" s="276">
        <f t="shared" si="2"/>
        <v>0</v>
      </c>
    </row>
    <row r="151" spans="5:9" x14ac:dyDescent="0.3">
      <c r="G151" t="e">
        <f>A151=Table6[[#This Row],[Column1]]</f>
        <v>#VALUE!</v>
      </c>
      <c r="I151" s="276">
        <f t="shared" si="2"/>
        <v>0</v>
      </c>
    </row>
    <row r="152" spans="5:9" x14ac:dyDescent="0.3">
      <c r="G152" t="e">
        <f>A152=Table6[[#This Row],[Column1]]</f>
        <v>#VALUE!</v>
      </c>
      <c r="I152" s="276">
        <f t="shared" si="2"/>
        <v>0</v>
      </c>
    </row>
    <row r="153" spans="5:9" x14ac:dyDescent="0.3">
      <c r="G153" t="e">
        <f>A153=Table6[[#This Row],[Column1]]</f>
        <v>#VALUE!</v>
      </c>
      <c r="I153" s="276">
        <f t="shared" si="2"/>
        <v>0</v>
      </c>
    </row>
    <row r="154" spans="5:9" x14ac:dyDescent="0.3">
      <c r="G154" t="e">
        <f>A154=Table6[[#This Row],[Column1]]</f>
        <v>#VALUE!</v>
      </c>
      <c r="I154" s="276">
        <f t="shared" si="2"/>
        <v>0</v>
      </c>
    </row>
    <row r="155" spans="5:9" x14ac:dyDescent="0.3">
      <c r="G155" t="e">
        <f>A155=Table6[[#This Row],[Column1]]</f>
        <v>#VALUE!</v>
      </c>
      <c r="I155" s="276">
        <f t="shared" si="2"/>
        <v>0</v>
      </c>
    </row>
    <row r="156" spans="5:9" x14ac:dyDescent="0.3">
      <c r="G156" t="e">
        <f>A156=Table6[[#This Row],[Column1]]</f>
        <v>#VALUE!</v>
      </c>
      <c r="I156" s="276">
        <f t="shared" si="2"/>
        <v>0</v>
      </c>
    </row>
    <row r="157" spans="5:9" x14ac:dyDescent="0.3">
      <c r="G157" t="e">
        <f>A157=Table6[[#This Row],[Column1]]</f>
        <v>#VALUE!</v>
      </c>
      <c r="I157" s="276">
        <f t="shared" si="2"/>
        <v>0</v>
      </c>
    </row>
    <row r="158" spans="5:9" x14ac:dyDescent="0.3">
      <c r="G158" t="e">
        <f>A158=Table6[[#This Row],[Column1]]</f>
        <v>#VALUE!</v>
      </c>
      <c r="I158" s="276">
        <f t="shared" si="2"/>
        <v>0</v>
      </c>
    </row>
    <row r="159" spans="5:9" x14ac:dyDescent="0.3">
      <c r="G159" t="e">
        <f>A159=Table6[[#This Row],[Column1]]</f>
        <v>#VALUE!</v>
      </c>
      <c r="I159" s="276">
        <f t="shared" si="2"/>
        <v>0</v>
      </c>
    </row>
    <row r="160" spans="5:9" x14ac:dyDescent="0.3">
      <c r="G160" t="e">
        <f>A160=Table6[[#This Row],[Column1]]</f>
        <v>#VALUE!</v>
      </c>
      <c r="I160" s="276">
        <f t="shared" si="2"/>
        <v>0</v>
      </c>
    </row>
    <row r="161" spans="7:9" x14ac:dyDescent="0.3">
      <c r="G161" t="e">
        <f>A161=Table6[[#This Row],[Column1]]</f>
        <v>#VALUE!</v>
      </c>
      <c r="I161" s="276">
        <f t="shared" si="2"/>
        <v>0</v>
      </c>
    </row>
    <row r="162" spans="7:9" x14ac:dyDescent="0.3">
      <c r="G162" t="e">
        <f>A162=Table6[[#This Row],[Column1]]</f>
        <v>#VALUE!</v>
      </c>
      <c r="I162" s="276">
        <f t="shared" si="2"/>
        <v>0</v>
      </c>
    </row>
    <row r="163" spans="7:9" x14ac:dyDescent="0.3">
      <c r="G163" t="e">
        <f>A163=Table6[[#This Row],[Column1]]</f>
        <v>#VALUE!</v>
      </c>
      <c r="I163" s="276">
        <f t="shared" si="2"/>
        <v>0</v>
      </c>
    </row>
    <row r="164" spans="7:9" x14ac:dyDescent="0.3">
      <c r="G164" t="e">
        <f>A164=Table6[[#This Row],[Column1]]</f>
        <v>#VALUE!</v>
      </c>
      <c r="I164" s="276">
        <f t="shared" si="2"/>
        <v>0</v>
      </c>
    </row>
    <row r="165" spans="7:9" x14ac:dyDescent="0.3">
      <c r="G165" t="e">
        <f>A165=Table6[[#This Row],[Column1]]</f>
        <v>#VALUE!</v>
      </c>
      <c r="I165" s="276">
        <f t="shared" si="2"/>
        <v>0</v>
      </c>
    </row>
    <row r="166" spans="7:9" x14ac:dyDescent="0.3">
      <c r="G166" t="e">
        <f>A166=Table6[[#This Row],[Column1]]</f>
        <v>#VALUE!</v>
      </c>
      <c r="I166" s="276">
        <f t="shared" si="2"/>
        <v>0</v>
      </c>
    </row>
    <row r="167" spans="7:9" x14ac:dyDescent="0.3">
      <c r="G167" t="e">
        <f>A167=Table6[[#This Row],[Column1]]</f>
        <v>#VALUE!</v>
      </c>
      <c r="I167" s="276">
        <f t="shared" si="2"/>
        <v>0</v>
      </c>
    </row>
    <row r="168" spans="7:9" x14ac:dyDescent="0.3">
      <c r="G168" t="e">
        <f>A168=Table6[[#This Row],[Column1]]</f>
        <v>#VALUE!</v>
      </c>
      <c r="I168" s="276">
        <f t="shared" si="2"/>
        <v>0</v>
      </c>
    </row>
    <row r="169" spans="7:9" x14ac:dyDescent="0.3">
      <c r="G169" t="e">
        <f>A169=Table6[[#This Row],[Column1]]</f>
        <v>#VALUE!</v>
      </c>
      <c r="I169" s="276">
        <f t="shared" si="2"/>
        <v>0</v>
      </c>
    </row>
    <row r="170" spans="7:9" x14ac:dyDescent="0.3">
      <c r="G170" t="e">
        <f>A170=Table6[[#This Row],[Column1]]</f>
        <v>#VALUE!</v>
      </c>
      <c r="I170" s="276">
        <f t="shared" si="2"/>
        <v>0</v>
      </c>
    </row>
    <row r="171" spans="7:9" x14ac:dyDescent="0.3">
      <c r="G171" t="e">
        <f>A171=Table6[[#This Row],[Column1]]</f>
        <v>#VALUE!</v>
      </c>
      <c r="I171" s="276">
        <f t="shared" si="2"/>
        <v>0</v>
      </c>
    </row>
    <row r="172" spans="7:9" x14ac:dyDescent="0.3">
      <c r="G172" t="e">
        <f>A172=Table6[[#This Row],[Column1]]</f>
        <v>#VALUE!</v>
      </c>
      <c r="I172" s="276">
        <f t="shared" si="2"/>
        <v>0</v>
      </c>
    </row>
    <row r="173" spans="7:9" x14ac:dyDescent="0.3">
      <c r="G173" t="e">
        <f>A173=Table6[[#This Row],[Column1]]</f>
        <v>#VALUE!</v>
      </c>
      <c r="I173" s="276">
        <f t="shared" si="2"/>
        <v>0</v>
      </c>
    </row>
    <row r="174" spans="7:9" x14ac:dyDescent="0.3">
      <c r="G174" t="e">
        <f>A174=Table6[[#This Row],[Column1]]</f>
        <v>#VALUE!</v>
      </c>
      <c r="I174" s="276">
        <f t="shared" si="2"/>
        <v>0</v>
      </c>
    </row>
    <row r="175" spans="7:9" x14ac:dyDescent="0.3">
      <c r="G175" t="e">
        <f>A175=Table6[[#This Row],[Column1]]</f>
        <v>#VALUE!</v>
      </c>
      <c r="I175" s="276">
        <f t="shared" si="2"/>
        <v>0</v>
      </c>
    </row>
    <row r="176" spans="7:9" x14ac:dyDescent="0.3">
      <c r="G176" t="e">
        <f>A176=Table6[[#This Row],[Column1]]</f>
        <v>#VALUE!</v>
      </c>
      <c r="I176" s="276">
        <f t="shared" si="2"/>
        <v>0</v>
      </c>
    </row>
    <row r="177" spans="7:9" x14ac:dyDescent="0.3">
      <c r="G177" t="e">
        <f>A177=Table6[[#This Row],[Column1]]</f>
        <v>#VALUE!</v>
      </c>
      <c r="I177" s="276">
        <f t="shared" si="2"/>
        <v>0</v>
      </c>
    </row>
    <row r="178" spans="7:9" x14ac:dyDescent="0.3">
      <c r="G178" t="e">
        <f>A178=Table6[[#This Row],[Column1]]</f>
        <v>#VALUE!</v>
      </c>
      <c r="I178" s="276">
        <f t="shared" si="2"/>
        <v>0</v>
      </c>
    </row>
    <row r="179" spans="7:9" x14ac:dyDescent="0.3">
      <c r="G179" t="e">
        <f>A179=Table6[[#This Row],[Column1]]</f>
        <v>#VALUE!</v>
      </c>
      <c r="I179" s="276">
        <f t="shared" si="2"/>
        <v>0</v>
      </c>
    </row>
    <row r="180" spans="7:9" x14ac:dyDescent="0.3">
      <c r="G180" t="e">
        <f>A180=Table6[[#This Row],[Column1]]</f>
        <v>#VALUE!</v>
      </c>
      <c r="I180" s="276">
        <f t="shared" si="2"/>
        <v>0</v>
      </c>
    </row>
    <row r="181" spans="7:9" x14ac:dyDescent="0.3">
      <c r="G181" t="e">
        <f>A181=Table6[[#This Row],[Column1]]</f>
        <v>#VALUE!</v>
      </c>
      <c r="I181" s="276">
        <f t="shared" si="2"/>
        <v>0</v>
      </c>
    </row>
    <row r="182" spans="7:9" x14ac:dyDescent="0.3">
      <c r="G182" t="e">
        <f>A182=Table6[[#This Row],[Column1]]</f>
        <v>#VALUE!</v>
      </c>
      <c r="I182" s="276">
        <f t="shared" si="2"/>
        <v>0</v>
      </c>
    </row>
    <row r="183" spans="7:9" x14ac:dyDescent="0.3">
      <c r="G183" t="e">
        <f>A183=Table6[[#This Row],[Column1]]</f>
        <v>#VALUE!</v>
      </c>
      <c r="I183" s="276">
        <f t="shared" si="2"/>
        <v>0</v>
      </c>
    </row>
    <row r="184" spans="7:9" x14ac:dyDescent="0.3">
      <c r="G184" t="e">
        <f>A184=Table6[[#This Row],[Column1]]</f>
        <v>#VALUE!</v>
      </c>
      <c r="I184" s="276">
        <f t="shared" si="2"/>
        <v>0</v>
      </c>
    </row>
    <row r="185" spans="7:9" x14ac:dyDescent="0.3">
      <c r="G185" t="e">
        <f>A185=Table6[[#This Row],[Column1]]</f>
        <v>#VALUE!</v>
      </c>
      <c r="I185" s="276">
        <f t="shared" si="2"/>
        <v>0</v>
      </c>
    </row>
    <row r="186" spans="7:9" x14ac:dyDescent="0.3">
      <c r="G186" t="e">
        <f>A186=Table6[[#This Row],[Column1]]</f>
        <v>#VALUE!</v>
      </c>
      <c r="I186" s="276">
        <f t="shared" si="2"/>
        <v>0</v>
      </c>
    </row>
    <row r="187" spans="7:9" x14ac:dyDescent="0.3">
      <c r="G187" t="e">
        <f>A187=Table6[[#This Row],[Column1]]</f>
        <v>#VALUE!</v>
      </c>
      <c r="I187" s="276">
        <f t="shared" si="2"/>
        <v>0</v>
      </c>
    </row>
    <row r="188" spans="7:9" x14ac:dyDescent="0.3">
      <c r="G188" t="e">
        <f>A188=Table6[[#This Row],[Column1]]</f>
        <v>#VALUE!</v>
      </c>
      <c r="I188" s="276">
        <f t="shared" si="2"/>
        <v>0</v>
      </c>
    </row>
    <row r="189" spans="7:9" x14ac:dyDescent="0.3">
      <c r="G189" t="e">
        <f>A189=Table6[[#This Row],[Column1]]</f>
        <v>#VALUE!</v>
      </c>
      <c r="I189" s="276">
        <f t="shared" si="2"/>
        <v>0</v>
      </c>
    </row>
    <row r="190" spans="7:9" x14ac:dyDescent="0.3">
      <c r="G190" t="e">
        <f>A190=Table6[[#This Row],[Column1]]</f>
        <v>#VALUE!</v>
      </c>
      <c r="I190" s="276">
        <f t="shared" si="2"/>
        <v>0</v>
      </c>
    </row>
    <row r="191" spans="7:9" x14ac:dyDescent="0.3">
      <c r="G191" t="e">
        <f>A191=Table6[[#This Row],[Column1]]</f>
        <v>#VALUE!</v>
      </c>
      <c r="I191" s="276">
        <f t="shared" si="2"/>
        <v>0</v>
      </c>
    </row>
    <row r="192" spans="7:9" x14ac:dyDescent="0.3">
      <c r="G192" t="e">
        <f>A192=Table6[[#This Row],[Column1]]</f>
        <v>#VALUE!</v>
      </c>
      <c r="I192" s="276">
        <f t="shared" si="2"/>
        <v>0</v>
      </c>
    </row>
    <row r="193" spans="7:9" x14ac:dyDescent="0.3">
      <c r="G193" t="e">
        <f>A193=Table6[[#This Row],[Column1]]</f>
        <v>#VALUE!</v>
      </c>
      <c r="I193" s="276">
        <f t="shared" si="2"/>
        <v>0</v>
      </c>
    </row>
    <row r="194" spans="7:9" x14ac:dyDescent="0.3">
      <c r="G194" t="e">
        <f>A194=Table6[[#This Row],[Column1]]</f>
        <v>#VALUE!</v>
      </c>
      <c r="I194" s="276">
        <f t="shared" si="2"/>
        <v>0</v>
      </c>
    </row>
    <row r="195" spans="7:9" x14ac:dyDescent="0.3">
      <c r="G195" t="e">
        <f>A195=Table6[[#This Row],[Column1]]</f>
        <v>#VALUE!</v>
      </c>
      <c r="I195" s="276">
        <f t="shared" si="2"/>
        <v>0</v>
      </c>
    </row>
    <row r="196" spans="7:9" x14ac:dyDescent="0.3">
      <c r="G196" t="e">
        <f>A196=Table6[[#This Row],[Column1]]</f>
        <v>#VALUE!</v>
      </c>
      <c r="I196" s="276">
        <f t="shared" si="2"/>
        <v>0</v>
      </c>
    </row>
    <row r="197" spans="7:9" x14ac:dyDescent="0.3">
      <c r="G197" t="e">
        <f>A197=Table6[[#This Row],[Column1]]</f>
        <v>#VALUE!</v>
      </c>
      <c r="I197" s="276">
        <f t="shared" si="2"/>
        <v>0</v>
      </c>
    </row>
    <row r="198" spans="7:9" x14ac:dyDescent="0.3">
      <c r="G198" t="e">
        <f>A198=Table6[[#This Row],[Column1]]</f>
        <v>#VALUE!</v>
      </c>
      <c r="I198" s="276">
        <f t="shared" si="2"/>
        <v>0</v>
      </c>
    </row>
    <row r="199" spans="7:9" x14ac:dyDescent="0.3">
      <c r="G199" t="e">
        <f>A199=Table6[[#This Row],[Column1]]</f>
        <v>#VALUE!</v>
      </c>
      <c r="I199" s="276">
        <f t="shared" si="2"/>
        <v>0</v>
      </c>
    </row>
    <row r="200" spans="7:9" x14ac:dyDescent="0.3">
      <c r="G200" t="e">
        <f>A200=Table6[[#This Row],[Column1]]</f>
        <v>#VALUE!</v>
      </c>
      <c r="I200" s="276">
        <f t="shared" si="2"/>
        <v>0</v>
      </c>
    </row>
    <row r="201" spans="7:9" x14ac:dyDescent="0.3">
      <c r="G201" t="e">
        <f>A201=Table6[[#This Row],[Column1]]</f>
        <v>#VALUE!</v>
      </c>
      <c r="I201" s="276">
        <f t="shared" si="2"/>
        <v>0</v>
      </c>
    </row>
    <row r="202" spans="7:9" x14ac:dyDescent="0.3">
      <c r="G202" t="e">
        <f>A202=Table6[[#This Row],[Column1]]</f>
        <v>#VALUE!</v>
      </c>
      <c r="I202" s="276">
        <f t="shared" ref="I202:I232" si="3">B202-H202</f>
        <v>0</v>
      </c>
    </row>
    <row r="203" spans="7:9" x14ac:dyDescent="0.3">
      <c r="G203" t="e">
        <f>A203=Table6[[#This Row],[Column1]]</f>
        <v>#VALUE!</v>
      </c>
      <c r="I203" s="276">
        <f t="shared" si="3"/>
        <v>0</v>
      </c>
    </row>
    <row r="204" spans="7:9" x14ac:dyDescent="0.3">
      <c r="G204" t="e">
        <f>A204=Table6[[#This Row],[Column1]]</f>
        <v>#VALUE!</v>
      </c>
      <c r="I204" s="276">
        <f t="shared" si="3"/>
        <v>0</v>
      </c>
    </row>
    <row r="205" spans="7:9" x14ac:dyDescent="0.3">
      <c r="G205" t="e">
        <f>A205=Table6[[#This Row],[Column1]]</f>
        <v>#VALUE!</v>
      </c>
      <c r="I205" s="276">
        <f t="shared" si="3"/>
        <v>0</v>
      </c>
    </row>
    <row r="206" spans="7:9" x14ac:dyDescent="0.3">
      <c r="G206" t="e">
        <f>A206=Table6[[#This Row],[Column1]]</f>
        <v>#VALUE!</v>
      </c>
      <c r="I206" s="276">
        <f t="shared" si="3"/>
        <v>0</v>
      </c>
    </row>
    <row r="207" spans="7:9" x14ac:dyDescent="0.3">
      <c r="G207" t="e">
        <f>A207=Table6[[#This Row],[Column1]]</f>
        <v>#VALUE!</v>
      </c>
      <c r="I207" s="276">
        <f t="shared" si="3"/>
        <v>0</v>
      </c>
    </row>
    <row r="208" spans="7:9" x14ac:dyDescent="0.3">
      <c r="G208" t="e">
        <f>A208=Table6[[#This Row],[Column1]]</f>
        <v>#VALUE!</v>
      </c>
      <c r="I208" s="276">
        <f t="shared" si="3"/>
        <v>0</v>
      </c>
    </row>
    <row r="209" spans="7:9" x14ac:dyDescent="0.3">
      <c r="G209" t="e">
        <f>A209=Table6[[#This Row],[Column1]]</f>
        <v>#VALUE!</v>
      </c>
      <c r="I209" s="276">
        <f t="shared" si="3"/>
        <v>0</v>
      </c>
    </row>
    <row r="210" spans="7:9" x14ac:dyDescent="0.3">
      <c r="G210" t="e">
        <f>A210=Table6[[#This Row],[Column1]]</f>
        <v>#VALUE!</v>
      </c>
      <c r="I210" s="276">
        <f t="shared" si="3"/>
        <v>0</v>
      </c>
    </row>
    <row r="211" spans="7:9" x14ac:dyDescent="0.3">
      <c r="G211" t="e">
        <f>A211=Table6[[#This Row],[Column1]]</f>
        <v>#VALUE!</v>
      </c>
      <c r="I211" s="276">
        <f t="shared" si="3"/>
        <v>0</v>
      </c>
    </row>
    <row r="212" spans="7:9" x14ac:dyDescent="0.3">
      <c r="G212" t="e">
        <f>A212=Table6[[#This Row],[Column1]]</f>
        <v>#VALUE!</v>
      </c>
      <c r="I212" s="276">
        <f t="shared" si="3"/>
        <v>0</v>
      </c>
    </row>
    <row r="213" spans="7:9" x14ac:dyDescent="0.3">
      <c r="G213" t="e">
        <f>A213=Table6[[#This Row],[Column1]]</f>
        <v>#VALUE!</v>
      </c>
      <c r="I213" s="276">
        <f t="shared" si="3"/>
        <v>0</v>
      </c>
    </row>
    <row r="214" spans="7:9" x14ac:dyDescent="0.3">
      <c r="G214" t="e">
        <f>A214=Table6[[#This Row],[Column1]]</f>
        <v>#VALUE!</v>
      </c>
      <c r="I214" s="276">
        <f t="shared" si="3"/>
        <v>0</v>
      </c>
    </row>
    <row r="215" spans="7:9" x14ac:dyDescent="0.3">
      <c r="G215" t="e">
        <f>A215=Table6[[#This Row],[Column1]]</f>
        <v>#VALUE!</v>
      </c>
      <c r="I215" s="276">
        <f t="shared" si="3"/>
        <v>0</v>
      </c>
    </row>
    <row r="216" spans="7:9" x14ac:dyDescent="0.3">
      <c r="G216" t="e">
        <f>A216=Table6[[#This Row],[Column1]]</f>
        <v>#VALUE!</v>
      </c>
      <c r="I216" s="276">
        <f t="shared" si="3"/>
        <v>0</v>
      </c>
    </row>
    <row r="217" spans="7:9" x14ac:dyDescent="0.3">
      <c r="G217" t="e">
        <f>A217=Table6[[#This Row],[Column1]]</f>
        <v>#VALUE!</v>
      </c>
      <c r="I217" s="276">
        <f t="shared" si="3"/>
        <v>0</v>
      </c>
    </row>
    <row r="218" spans="7:9" x14ac:dyDescent="0.3">
      <c r="G218" t="e">
        <f>A218=Table6[[#This Row],[Column1]]</f>
        <v>#VALUE!</v>
      </c>
      <c r="I218" s="276">
        <f t="shared" si="3"/>
        <v>0</v>
      </c>
    </row>
    <row r="219" spans="7:9" x14ac:dyDescent="0.3">
      <c r="G219" t="e">
        <f>A219=Table6[[#This Row],[Column1]]</f>
        <v>#VALUE!</v>
      </c>
      <c r="I219" s="276">
        <f t="shared" si="3"/>
        <v>0</v>
      </c>
    </row>
    <row r="220" spans="7:9" x14ac:dyDescent="0.3">
      <c r="G220" t="e">
        <f>A220=Table6[[#This Row],[Column1]]</f>
        <v>#VALUE!</v>
      </c>
      <c r="I220" s="276">
        <f t="shared" si="3"/>
        <v>0</v>
      </c>
    </row>
    <row r="221" spans="7:9" x14ac:dyDescent="0.3">
      <c r="G221" t="e">
        <f>A221=Table6[[#This Row],[Column1]]</f>
        <v>#VALUE!</v>
      </c>
      <c r="I221" s="276">
        <f t="shared" si="3"/>
        <v>0</v>
      </c>
    </row>
    <row r="222" spans="7:9" x14ac:dyDescent="0.3">
      <c r="G222" t="e">
        <f>A222=Table6[[#This Row],[Column1]]</f>
        <v>#VALUE!</v>
      </c>
      <c r="I222" s="276">
        <f t="shared" si="3"/>
        <v>0</v>
      </c>
    </row>
    <row r="223" spans="7:9" x14ac:dyDescent="0.3">
      <c r="G223" t="e">
        <f>A223=Table6[[#This Row],[Column1]]</f>
        <v>#VALUE!</v>
      </c>
      <c r="I223" s="276">
        <f t="shared" si="3"/>
        <v>0</v>
      </c>
    </row>
    <row r="224" spans="7:9" x14ac:dyDescent="0.3">
      <c r="G224" t="e">
        <f>A224=Table6[[#This Row],[Column1]]</f>
        <v>#VALUE!</v>
      </c>
      <c r="I224" s="276">
        <f t="shared" si="3"/>
        <v>0</v>
      </c>
    </row>
    <row r="225" spans="9:9" x14ac:dyDescent="0.3">
      <c r="I225" s="276">
        <f t="shared" si="3"/>
        <v>0</v>
      </c>
    </row>
    <row r="226" spans="9:9" x14ac:dyDescent="0.3">
      <c r="I226" s="276">
        <f t="shared" si="3"/>
        <v>0</v>
      </c>
    </row>
    <row r="227" spans="9:9" x14ac:dyDescent="0.3">
      <c r="I227" s="276">
        <f t="shared" si="3"/>
        <v>0</v>
      </c>
    </row>
    <row r="228" spans="9:9" x14ac:dyDescent="0.3">
      <c r="I228" s="276">
        <f t="shared" si="3"/>
        <v>0</v>
      </c>
    </row>
    <row r="229" spans="9:9" x14ac:dyDescent="0.3">
      <c r="I229" s="276">
        <f t="shared" si="3"/>
        <v>0</v>
      </c>
    </row>
    <row r="230" spans="9:9" x14ac:dyDescent="0.3">
      <c r="I230" s="276">
        <f t="shared" si="3"/>
        <v>0</v>
      </c>
    </row>
    <row r="231" spans="9:9" x14ac:dyDescent="0.3">
      <c r="I231" s="276">
        <f t="shared" si="3"/>
        <v>0</v>
      </c>
    </row>
    <row r="232" spans="9:9" x14ac:dyDescent="0.3">
      <c r="I232" s="276">
        <f t="shared" si="3"/>
        <v>0</v>
      </c>
    </row>
  </sheetData>
  <conditionalFormatting sqref="D4:D1048576 D1:D2">
    <cfRule type="duplicateValues" dxfId="5" priority="3"/>
    <cfRule type="duplicateValues" dxfId="4" priority="4"/>
  </conditionalFormatting>
  <conditionalFormatting sqref="D3">
    <cfRule type="duplicateValues" dxfId="3" priority="1"/>
    <cfRule type="duplicateValues" dxfId="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J15" sqref="J15"/>
    </sheetView>
  </sheetViews>
  <sheetFormatPr defaultRowHeight="14.4" x14ac:dyDescent="0.3"/>
  <cols>
    <col min="1" max="1" width="16.5546875" customWidth="1"/>
    <col min="2" max="2" width="56.88671875" bestFit="1" customWidth="1"/>
    <col min="3" max="3" width="15.33203125" bestFit="1" customWidth="1"/>
    <col min="4" max="4" width="14.33203125" bestFit="1" customWidth="1"/>
    <col min="6" max="6" width="15.33203125" bestFit="1" customWidth="1"/>
    <col min="7" max="7" width="10.6640625" style="312" customWidth="1"/>
    <col min="9" max="9" width="29.44140625" style="274" customWidth="1"/>
    <col min="10" max="10" width="24.44140625" customWidth="1"/>
  </cols>
  <sheetData>
    <row r="1" spans="1:10" ht="15.6" x14ac:dyDescent="0.3">
      <c r="A1" s="469" t="s">
        <v>5152</v>
      </c>
      <c r="B1" s="469"/>
      <c r="C1" s="469"/>
      <c r="D1" s="469"/>
      <c r="E1" s="469"/>
      <c r="F1" s="469"/>
      <c r="G1" s="469"/>
    </row>
    <row r="2" spans="1:10" ht="15.6" x14ac:dyDescent="0.3">
      <c r="A2" s="469" t="str">
        <f>'PER BULAN'!B5</f>
        <v>Berdasarkan DIPA Revisi 2 POK 2 TA. 2022 (Tanggal 22 Maret 2022)</v>
      </c>
      <c r="B2" s="469"/>
      <c r="C2" s="469"/>
      <c r="D2" s="469"/>
      <c r="E2" s="469"/>
      <c r="F2" s="469"/>
      <c r="G2" s="469"/>
    </row>
    <row r="3" spans="1:10" ht="15.6" x14ac:dyDescent="0.3">
      <c r="A3" s="469" t="s">
        <v>5426</v>
      </c>
      <c r="B3" s="469"/>
      <c r="C3" s="469"/>
      <c r="D3" s="469"/>
      <c r="E3" s="469"/>
      <c r="F3" s="469"/>
      <c r="G3" s="469"/>
    </row>
    <row r="4" spans="1:10" x14ac:dyDescent="0.3">
      <c r="A4" s="259"/>
      <c r="B4" s="259"/>
      <c r="C4" s="259"/>
      <c r="D4" s="259"/>
      <c r="E4" s="259"/>
      <c r="F4" s="259"/>
      <c r="G4" s="313"/>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74" t="s">
        <v>576</v>
      </c>
      <c r="B7" s="282" t="s">
        <v>560</v>
      </c>
      <c r="C7" s="225" cm="1">
        <f t="array" ref="C7">SUM(_xlfn._xlws.FILTER(SP2D[Pagu],SP2D[Subkoordinator]=B7,0))-SUM(C8:C10)</f>
        <v>570684000</v>
      </c>
      <c r="D7" s="225" cm="1">
        <f t="array" ref="D7">SUM(_xlfn._xlws.FILTER(SP2D[Realisasi],SP2D[Subkoordinator]=B7,0))-SUM(D8:D10)</f>
        <v>390447219</v>
      </c>
      <c r="E7" s="224">
        <f>IFERROR(D7/C7*100,0)</f>
        <v>68.417411211808982</v>
      </c>
      <c r="F7" s="225">
        <f t="shared" ref="F7:F13" si="0">C7-D7</f>
        <v>180236781</v>
      </c>
      <c r="G7" s="323">
        <f>IFERROR(F7/C7*100,0)</f>
        <v>31.582588788191014</v>
      </c>
    </row>
    <row r="8" spans="1:10" x14ac:dyDescent="0.3">
      <c r="A8" s="475"/>
      <c r="B8" s="251" t="s">
        <v>4654</v>
      </c>
      <c r="C8" s="225" cm="1">
        <f t="array" ref="C8">SUM(_xlfn._xlws.FILTER(SP2D[Pagu],SP2D[Komponen]=B8,0))</f>
        <v>2095658000</v>
      </c>
      <c r="D8" s="225" cm="1">
        <f t="array" ref="D8">SUM(_xlfn._xlws.FILTER(SP2D[Realisasi],SP2D[Komponen]=B8,0))</f>
        <v>663321641</v>
      </c>
      <c r="E8" s="224">
        <f t="shared" ref="E8:E11" si="1">IFERROR(D8/C8*100,0)</f>
        <v>31.652189479390241</v>
      </c>
      <c r="F8" s="225">
        <f t="shared" si="0"/>
        <v>1432336359</v>
      </c>
      <c r="G8" s="323">
        <f t="shared" ref="G8:G11" si="2">IFERROR(F8/C8*100,0)</f>
        <v>68.347810520609755</v>
      </c>
    </row>
    <row r="9" spans="1:10" x14ac:dyDescent="0.3">
      <c r="A9" s="475"/>
      <c r="B9" s="251" t="s">
        <v>4660</v>
      </c>
      <c r="C9" s="225">
        <f>SUM('PER BULAN'!F137)</f>
        <v>100000000</v>
      </c>
      <c r="D9" s="225">
        <f>SUM('PER BULAN'!AT137)</f>
        <v>0</v>
      </c>
      <c r="E9" s="221">
        <f t="shared" si="1"/>
        <v>0</v>
      </c>
      <c r="F9" s="225">
        <f t="shared" si="0"/>
        <v>100000000</v>
      </c>
      <c r="G9" s="417">
        <f t="shared" si="2"/>
        <v>100</v>
      </c>
    </row>
    <row r="10" spans="1:10" x14ac:dyDescent="0.3">
      <c r="A10" s="475"/>
      <c r="B10" s="251" t="s">
        <v>43</v>
      </c>
      <c r="C10" s="225" cm="1">
        <f t="array" ref="C10">SUM(_xlfn._xlws.FILTER(SP2D[Pagu],SP2D[Jenis Belanja]="Belanja Modal",0))</f>
        <v>654200000</v>
      </c>
      <c r="D10" s="225" cm="1">
        <f t="array" ref="D10">SUM(_xlfn._xlws.FILTER(SP2D[Realisasi],SP2D[Jenis Belanja]="Belanja Modal",0))</f>
        <v>654200000</v>
      </c>
      <c r="E10" s="224">
        <f t="shared" si="1"/>
        <v>100</v>
      </c>
      <c r="F10" s="225">
        <f t="shared" si="0"/>
        <v>0</v>
      </c>
      <c r="G10" s="417">
        <f t="shared" si="2"/>
        <v>0</v>
      </c>
    </row>
    <row r="11" spans="1:10" x14ac:dyDescent="0.3">
      <c r="A11" s="475"/>
      <c r="B11" s="282" t="s">
        <v>546</v>
      </c>
      <c r="C11" s="225" cm="1">
        <f t="array" ref="C11">SUM(_xlfn._xlws.FILTER(SP2D[Pagu],SP2D[Subkoordinator]=B11,0))</f>
        <v>197920000</v>
      </c>
      <c r="D11" s="225" cm="1">
        <f t="array" ref="D11">SUM(_xlfn._xlws.FILTER(SP2D[Realisasi],SP2D[Subkoordinator]=B11,0))</f>
        <v>136548520</v>
      </c>
      <c r="E11" s="224">
        <f t="shared" si="1"/>
        <v>68.991774454324982</v>
      </c>
      <c r="F11" s="225">
        <f t="shared" si="0"/>
        <v>61371480</v>
      </c>
      <c r="G11" s="323">
        <f t="shared" si="2"/>
        <v>31.008225545675021</v>
      </c>
    </row>
    <row r="12" spans="1:10" x14ac:dyDescent="0.3">
      <c r="A12" s="476"/>
      <c r="B12" s="247" t="s">
        <v>4653</v>
      </c>
      <c r="C12" s="250">
        <f>SUM(C7:C11)</f>
        <v>3618462000</v>
      </c>
      <c r="D12" s="250">
        <f>SUM(D7:D11)</f>
        <v>1844517380</v>
      </c>
      <c r="E12" s="249">
        <f t="shared" ref="E12:E13" si="3">D12/C12*100</f>
        <v>50.97517619364249</v>
      </c>
      <c r="F12" s="250">
        <f t="shared" si="0"/>
        <v>1773944620</v>
      </c>
      <c r="G12" s="324">
        <f t="shared" ref="G12:G13" si="4">F12/C12*100</f>
        <v>49.02482380635751</v>
      </c>
      <c r="H12" s="245"/>
    </row>
    <row r="13" spans="1:10" ht="15" customHeight="1" x14ac:dyDescent="0.3">
      <c r="A13" s="474" t="s">
        <v>542</v>
      </c>
      <c r="B13" s="282" t="s">
        <v>543</v>
      </c>
      <c r="C13" s="225" cm="1">
        <f t="array" ref="C13">SUM(_xlfn._xlws.FILTER(SP2D[Pagu],SP2D[Subkoordinator]=B13,0))-C14</f>
        <v>293918000</v>
      </c>
      <c r="D13" s="225" cm="1">
        <f t="array" ref="D13">SUM(_xlfn._xlws.FILTER(SP2D[Realisasi],SP2D[Subkoordinator]=B13,0))-D14</f>
        <v>130677295</v>
      </c>
      <c r="E13" s="224">
        <f t="shared" si="3"/>
        <v>44.460460060288924</v>
      </c>
      <c r="F13" s="225">
        <f t="shared" si="0"/>
        <v>163240705</v>
      </c>
      <c r="G13" s="323">
        <f t="shared" si="4"/>
        <v>55.539539939711076</v>
      </c>
    </row>
    <row r="14" spans="1:10" x14ac:dyDescent="0.3">
      <c r="A14" s="475"/>
      <c r="B14" s="251" t="s">
        <v>4728</v>
      </c>
      <c r="C14" s="225" cm="1">
        <f t="array" ref="C14">SUM(_xlfn._xlws.FILTER(SP2D[Pagu],SP2D[Kegiatan]=B14,0))</f>
        <v>6082500000</v>
      </c>
      <c r="D14" s="225" cm="1">
        <f t="array" ref="D14">SUM(_xlfn._xlws.FILTER(SP2D[Realisasi],SP2D[Kegiatan]=B14,0))</f>
        <v>3476713912</v>
      </c>
      <c r="E14" s="224">
        <f>D14/C14*100</f>
        <v>57.159291607069463</v>
      </c>
      <c r="F14" s="225">
        <f>C14-D14</f>
        <v>2605786088</v>
      </c>
      <c r="G14" s="323">
        <f>F14/C14*100</f>
        <v>42.840708392930537</v>
      </c>
      <c r="J14" s="276"/>
    </row>
    <row r="15" spans="1:10" x14ac:dyDescent="0.3">
      <c r="A15" s="475"/>
      <c r="B15" s="282" t="s">
        <v>591</v>
      </c>
      <c r="C15" s="225" cm="1">
        <f t="array" ref="C15">SUM(_xlfn._xlws.FILTER(SP2D[Pagu],SP2D[Subkoordinator]=B15,0))</f>
        <v>169798000</v>
      </c>
      <c r="D15" s="225" cm="1">
        <f t="array" ref="D15">SUM(_xlfn._xlws.FILTER(SP2D[Realisasi],SP2D[Subkoordinator]=B15,0))</f>
        <v>105796297</v>
      </c>
      <c r="E15" s="224">
        <f t="shared" ref="E15:E23" si="5">D15/C15*100</f>
        <v>62.307151438768415</v>
      </c>
      <c r="F15" s="225">
        <f t="shared" ref="F15:F23" si="6">C15-D15</f>
        <v>64001703</v>
      </c>
      <c r="G15" s="323">
        <f t="shared" ref="G15:G23" si="7">F15/C15*100</f>
        <v>37.692848561231578</v>
      </c>
    </row>
    <row r="16" spans="1:10" x14ac:dyDescent="0.3">
      <c r="A16" s="476"/>
      <c r="B16" s="247" t="s">
        <v>4657</v>
      </c>
      <c r="C16" s="250">
        <f>SUM(C13:C15)</f>
        <v>6546216000</v>
      </c>
      <c r="D16" s="250">
        <f>SUM(D13:D15)</f>
        <v>3713187504</v>
      </c>
      <c r="E16" s="249">
        <f t="shared" si="5"/>
        <v>56.722654797825186</v>
      </c>
      <c r="F16" s="250">
        <f t="shared" si="6"/>
        <v>2833028496</v>
      </c>
      <c r="G16" s="324">
        <f t="shared" si="7"/>
        <v>43.277345202174814</v>
      </c>
    </row>
    <row r="17" spans="1:10" ht="15" customHeight="1" x14ac:dyDescent="0.3">
      <c r="A17" s="474" t="s">
        <v>531</v>
      </c>
      <c r="B17" s="282" t="s">
        <v>532</v>
      </c>
      <c r="C17" s="225" cm="1">
        <f t="array" ref="C17">SUM(_xlfn._xlws.FILTER(SP2D[Pagu],SP2D[Subkoordinator]=B17,0))</f>
        <v>207606000</v>
      </c>
      <c r="D17" s="225" cm="1">
        <f t="array" ref="D17">SUM(_xlfn._xlws.FILTER(SP2D[Realisasi],SP2D[Subkoordinator]=B17,0))</f>
        <v>133815590</v>
      </c>
      <c r="E17" s="224">
        <f t="shared" si="5"/>
        <v>64.456513780911919</v>
      </c>
      <c r="F17" s="225">
        <f t="shared" si="6"/>
        <v>73790410</v>
      </c>
      <c r="G17" s="323">
        <f t="shared" si="7"/>
        <v>35.543486219088081</v>
      </c>
    </row>
    <row r="18" spans="1:10" x14ac:dyDescent="0.3">
      <c r="A18" s="475"/>
      <c r="B18" s="282" t="s">
        <v>534</v>
      </c>
      <c r="C18" s="225" cm="1">
        <f t="array" ref="C18">SUM(_xlfn._xlws.FILTER(SP2D[Pagu],SP2D[Subkoordinator]=B18,0))</f>
        <v>164763000</v>
      </c>
      <c r="D18" s="225" cm="1">
        <f t="array" ref="D18">SUM(_xlfn._xlws.FILTER(SP2D[Realisasi],SP2D[Subkoordinator]=B18,0))</f>
        <v>73365500</v>
      </c>
      <c r="E18" s="224">
        <f t="shared" si="5"/>
        <v>44.527897646923151</v>
      </c>
      <c r="F18" s="225">
        <f t="shared" si="6"/>
        <v>91397500</v>
      </c>
      <c r="G18" s="323">
        <f t="shared" si="7"/>
        <v>55.472102353076849</v>
      </c>
      <c r="J18" s="276"/>
    </row>
    <row r="19" spans="1:10" x14ac:dyDescent="0.3">
      <c r="A19" s="476"/>
      <c r="B19" s="247" t="s">
        <v>4658</v>
      </c>
      <c r="C19" s="250">
        <f>SUM(C17:C18)</f>
        <v>372369000</v>
      </c>
      <c r="D19" s="250">
        <f>SUM(D17:D18)</f>
        <v>207181090</v>
      </c>
      <c r="E19" s="249">
        <f t="shared" si="5"/>
        <v>55.638651445206236</v>
      </c>
      <c r="F19" s="250">
        <f t="shared" si="6"/>
        <v>165187910</v>
      </c>
      <c r="G19" s="324">
        <f t="shared" si="7"/>
        <v>44.361348554793764</v>
      </c>
    </row>
    <row r="20" spans="1:10" ht="15" customHeight="1" x14ac:dyDescent="0.3">
      <c r="A20" s="474" t="s">
        <v>535</v>
      </c>
      <c r="B20" s="282" t="s">
        <v>536</v>
      </c>
      <c r="C20" s="225" cm="1">
        <f t="array" ref="C20">SUM(_xlfn._xlws.FILTER(SP2D[Pagu],SP2D[Subkoordinator]=B20,0))</f>
        <v>686300000</v>
      </c>
      <c r="D20" s="225" cm="1">
        <f t="array" ref="D20">SUM(_xlfn._xlws.FILTER(SP2D[Realisasi],SP2D[Subkoordinator]=B20,0))</f>
        <v>214180240</v>
      </c>
      <c r="E20" s="224">
        <f t="shared" si="5"/>
        <v>31.207961532857354</v>
      </c>
      <c r="F20" s="225">
        <f t="shared" si="6"/>
        <v>472119760</v>
      </c>
      <c r="G20" s="323">
        <f t="shared" si="7"/>
        <v>68.792038467142646</v>
      </c>
    </row>
    <row r="21" spans="1:10" x14ac:dyDescent="0.3">
      <c r="A21" s="475"/>
      <c r="B21" s="282" t="s">
        <v>538</v>
      </c>
      <c r="C21" s="225" cm="1">
        <f t="array" ref="C21">SUM(_xlfn._xlws.FILTER(SP2D[Pagu],SP2D[Subkoordinator]=B21,0))</f>
        <v>152457000</v>
      </c>
      <c r="D21" s="225" cm="1">
        <f t="array" ref="D21">SUM(_xlfn._xlws.FILTER(SP2D[Realisasi],SP2D[Subkoordinator]=B21,0))</f>
        <v>88256718</v>
      </c>
      <c r="E21" s="224">
        <f t="shared" si="5"/>
        <v>57.889580668647554</v>
      </c>
      <c r="F21" s="225">
        <f t="shared" si="6"/>
        <v>64200282</v>
      </c>
      <c r="G21" s="323">
        <f t="shared" si="7"/>
        <v>42.110419331352446</v>
      </c>
    </row>
    <row r="22" spans="1:10" x14ac:dyDescent="0.3">
      <c r="A22" s="476"/>
      <c r="B22" s="247" t="s">
        <v>4659</v>
      </c>
      <c r="C22" s="250">
        <f>SUM(C20:C21)</f>
        <v>838757000</v>
      </c>
      <c r="D22" s="250">
        <f>SUM(D20:D21)</f>
        <v>302436958</v>
      </c>
      <c r="E22" s="249">
        <f t="shared" si="5"/>
        <v>36.057756656576338</v>
      </c>
      <c r="F22" s="250">
        <f t="shared" si="6"/>
        <v>536320042</v>
      </c>
      <c r="G22" s="324">
        <f t="shared" si="7"/>
        <v>63.942243343423669</v>
      </c>
    </row>
    <row r="23" spans="1:10" x14ac:dyDescent="0.3">
      <c r="A23" s="473" t="s">
        <v>4655</v>
      </c>
      <c r="B23" s="473"/>
      <c r="C23" s="232">
        <f>C12++C16+C19+C22</f>
        <v>11375804000</v>
      </c>
      <c r="D23" s="232">
        <f>D12++D16+D19+D22</f>
        <v>6067322932</v>
      </c>
      <c r="E23" s="231">
        <f t="shared" si="5"/>
        <v>53.33533288724032</v>
      </c>
      <c r="F23" s="232">
        <f t="shared" si="6"/>
        <v>5308481068</v>
      </c>
      <c r="G23" s="325">
        <f t="shared" si="7"/>
        <v>46.66466711275968</v>
      </c>
      <c r="J23" s="274"/>
    </row>
    <row r="24" spans="1:10" x14ac:dyDescent="0.3">
      <c r="A24" s="473" t="s">
        <v>4656</v>
      </c>
      <c r="B24" s="473"/>
      <c r="C24" s="473"/>
      <c r="D24" s="232">
        <f>D23</f>
        <v>6067322932</v>
      </c>
      <c r="E24" s="231">
        <f>D24/C23*100</f>
        <v>53.33533288724032</v>
      </c>
      <c r="F24" s="232">
        <f>C23-D24</f>
        <v>5308481068</v>
      </c>
      <c r="G24" s="325">
        <f>F24/C23*100</f>
        <v>46.66466711275968</v>
      </c>
      <c r="J24" s="276"/>
    </row>
    <row r="26" spans="1:10" x14ac:dyDescent="0.3">
      <c r="A26" s="260" t="s">
        <v>4815</v>
      </c>
    </row>
    <row r="27" spans="1:10" x14ac:dyDescent="0.3">
      <c r="A27" s="477" t="s">
        <v>4796</v>
      </c>
      <c r="B27" s="477" t="s">
        <v>4797</v>
      </c>
      <c r="C27" s="477" t="s">
        <v>4798</v>
      </c>
      <c r="D27" s="468" t="s">
        <v>4647</v>
      </c>
      <c r="E27" s="468"/>
      <c r="F27" s="468" t="s">
        <v>4799</v>
      </c>
      <c r="G27" s="468"/>
    </row>
    <row r="28" spans="1:10" x14ac:dyDescent="0.3">
      <c r="A28" s="478"/>
      <c r="B28" s="478"/>
      <c r="C28" s="478"/>
      <c r="D28" s="271" t="s">
        <v>4800</v>
      </c>
      <c r="E28" s="281" t="s">
        <v>4648</v>
      </c>
      <c r="F28" s="271" t="s">
        <v>4800</v>
      </c>
      <c r="G28" s="271" t="s">
        <v>4648</v>
      </c>
    </row>
    <row r="29" spans="1:10" x14ac:dyDescent="0.3">
      <c r="A29" s="261">
        <v>1</v>
      </c>
      <c r="B29" s="262" t="s">
        <v>4801</v>
      </c>
      <c r="C29" s="263">
        <f>SUM(C30:C32)</f>
        <v>10721604000</v>
      </c>
      <c r="D29" s="263">
        <f>SUM(D30:D32)</f>
        <v>5413122932</v>
      </c>
      <c r="E29" s="264">
        <f>IFERROR(D29/C29*100,0)</f>
        <v>50.487995378303474</v>
      </c>
      <c r="F29" s="265">
        <f>C29-D29</f>
        <v>5308481068</v>
      </c>
      <c r="G29" s="264">
        <f>IFERROR(F29/C29*100,0)</f>
        <v>49.512004621696533</v>
      </c>
    </row>
    <row r="30" spans="1:10" x14ac:dyDescent="0.3">
      <c r="A30" s="270"/>
      <c r="B30" s="266" t="s">
        <v>4802</v>
      </c>
      <c r="C30" s="267" cm="1">
        <f t="array" ref="C30">SUM(_xlfn._xlws.FILTER(SP2D[Pagu],SP2D[Jenis Belanja]="Belanja Barang Operasional",0))</f>
        <v>2095658000</v>
      </c>
      <c r="D30" s="267" cm="1">
        <f t="array" ref="D30">SUM(_xlfn._xlws.FILTER(SP2D[Realisasi],SP2D[Jenis Belanja]="Belanja Barang Operasional",0))</f>
        <v>663321641</v>
      </c>
      <c r="E30" s="268">
        <f t="shared" ref="E30:E33" si="8">IFERROR(D30/C30*100,0)</f>
        <v>31.652189479390241</v>
      </c>
      <c r="F30" s="269">
        <f>C30-D30</f>
        <v>1432336359</v>
      </c>
      <c r="G30" s="268">
        <f t="shared" ref="G30:G33" si="9">IFERROR(F30/C30*100,0)</f>
        <v>68.347810520609755</v>
      </c>
    </row>
    <row r="31" spans="1:10" x14ac:dyDescent="0.3">
      <c r="A31" s="270"/>
      <c r="B31" s="266" t="s">
        <v>4807</v>
      </c>
      <c r="C31" s="267">
        <v>0</v>
      </c>
      <c r="D31" s="267">
        <f>D9</f>
        <v>0</v>
      </c>
      <c r="E31" s="418">
        <f t="shared" si="8"/>
        <v>0</v>
      </c>
      <c r="F31" s="269">
        <f>C31-D31</f>
        <v>0</v>
      </c>
      <c r="G31" s="418">
        <f t="shared" si="9"/>
        <v>0</v>
      </c>
    </row>
    <row r="32" spans="1:10" x14ac:dyDescent="0.3">
      <c r="A32" s="270"/>
      <c r="B32" s="266" t="s">
        <v>4808</v>
      </c>
      <c r="C32" s="267" cm="1">
        <f t="array" ref="C32">SUM(_xlfn._xlws.FILTER(SP2D[Pagu],SP2D[Jenis Belanja]="Belanja Barang Non Operasional",0))</f>
        <v>8625946000</v>
      </c>
      <c r="D32" s="267">
        <f>D11+D13+D14+D15+D17+D18+D20+D21+D7</f>
        <v>4749801291</v>
      </c>
      <c r="E32" s="268">
        <f t="shared" si="8"/>
        <v>55.064120399084345</v>
      </c>
      <c r="F32" s="269">
        <f>C32-D32</f>
        <v>3876144709</v>
      </c>
      <c r="G32" s="268">
        <f t="shared" si="9"/>
        <v>44.935879600915655</v>
      </c>
    </row>
    <row r="33" spans="1:7" x14ac:dyDescent="0.3">
      <c r="A33" s="261">
        <v>2</v>
      </c>
      <c r="B33" s="262" t="s">
        <v>4803</v>
      </c>
      <c r="C33" s="263">
        <f>C10</f>
        <v>654200000</v>
      </c>
      <c r="D33" s="263" cm="1">
        <f t="array" ref="D33">SUM(_xlfn._xlws.FILTER(SP2D[Realisasi],SP2D[Jenis Belanja]="Belanja Modal",0))</f>
        <v>654200000</v>
      </c>
      <c r="E33" s="264">
        <f t="shared" si="8"/>
        <v>100</v>
      </c>
      <c r="F33" s="265">
        <f>C33-D33</f>
        <v>0</v>
      </c>
      <c r="G33" s="264">
        <f t="shared" si="9"/>
        <v>0</v>
      </c>
    </row>
    <row r="34" spans="1:7" x14ac:dyDescent="0.3">
      <c r="A34" s="261"/>
      <c r="B34" s="262"/>
      <c r="C34" s="263"/>
      <c r="D34" s="263"/>
      <c r="E34" s="264"/>
      <c r="F34" s="265"/>
      <c r="G34" s="264"/>
    </row>
    <row r="35" spans="1:7" x14ac:dyDescent="0.3">
      <c r="A35" s="471" t="s">
        <v>611</v>
      </c>
      <c r="B35" s="472"/>
      <c r="C35" s="272">
        <f>SUM(C29,C33)</f>
        <v>11375804000</v>
      </c>
      <c r="D35" s="272">
        <f>SUM(D29,D33)</f>
        <v>6067322932</v>
      </c>
      <c r="E35" s="273">
        <f>D35/C35*100</f>
        <v>53.33533288724032</v>
      </c>
      <c r="F35" s="272">
        <f>SUM(F29,F33)</f>
        <v>5308481068</v>
      </c>
      <c r="G35" s="273">
        <f>F35/C35*100</f>
        <v>46.66466711275968</v>
      </c>
    </row>
    <row r="36" spans="1:7" x14ac:dyDescent="0.3">
      <c r="A36" s="471" t="s">
        <v>4804</v>
      </c>
      <c r="B36" s="472"/>
      <c r="C36" s="272"/>
      <c r="D36" s="272"/>
      <c r="E36" s="273"/>
      <c r="F36" s="272"/>
      <c r="G36" s="273"/>
    </row>
    <row r="37" spans="1:7" x14ac:dyDescent="0.3">
      <c r="A37" s="471" t="s">
        <v>4805</v>
      </c>
      <c r="B37" s="472"/>
      <c r="C37" s="272">
        <f>C35</f>
        <v>11375804000</v>
      </c>
      <c r="D37" s="272">
        <f>D35-D36</f>
        <v>6067322932</v>
      </c>
      <c r="E37" s="273">
        <f>D37/C37*100</f>
        <v>53.33533288724032</v>
      </c>
      <c r="F37" s="272">
        <f>C37-D37</f>
        <v>5308481068</v>
      </c>
      <c r="G37" s="273">
        <f>F37/C37*100</f>
        <v>46.66466711275968</v>
      </c>
    </row>
    <row r="39" spans="1:7" x14ac:dyDescent="0.3">
      <c r="A39" s="280" t="s">
        <v>4813</v>
      </c>
    </row>
    <row r="40" spans="1:7" x14ac:dyDescent="0.3">
      <c r="A40" s="252" t="s">
        <v>592</v>
      </c>
      <c r="B40" s="252" t="s">
        <v>500</v>
      </c>
      <c r="C40" s="252" t="s">
        <v>4650</v>
      </c>
      <c r="D40" s="252" t="s">
        <v>4651</v>
      </c>
      <c r="E40" s="252" t="s">
        <v>4648</v>
      </c>
      <c r="F40" s="252" t="s">
        <v>4652</v>
      </c>
      <c r="G40" s="252" t="s">
        <v>4648</v>
      </c>
    </row>
    <row r="41" spans="1:7" x14ac:dyDescent="0.3">
      <c r="A41" s="470" t="s">
        <v>576</v>
      </c>
      <c r="B41" s="220" t="s">
        <v>560</v>
      </c>
      <c r="C41" s="225" cm="1">
        <f t="array" ref="C41">SUM(_xlfn._xlws.FILTER(SP2D[Pagu],(SP2D[Subkoordinator]=B41)*(SP2D[Status Covid]="COVID"),0))</f>
        <v>88811000</v>
      </c>
      <c r="D41" s="225" cm="1">
        <f t="array" ref="D41">SUM(_xlfn._xlws.FILTER(SP2D[Realisasi],(SP2D[Subkoordinator]=B41)*(SP2D[Status Covid]="COVID"),0))</f>
        <v>73441280</v>
      </c>
      <c r="E41" s="283">
        <f>IFERROR(D41/C41*100,0)</f>
        <v>82.693900530339718</v>
      </c>
      <c r="F41" s="225">
        <f t="shared" ref="F41:F46" si="10">C41-D41</f>
        <v>15369720</v>
      </c>
      <c r="G41" s="323">
        <f>IFERROR(F41/C41*100,0)</f>
        <v>17.306099469660293</v>
      </c>
    </row>
    <row r="42" spans="1:7" x14ac:dyDescent="0.3">
      <c r="A42" s="470"/>
      <c r="B42" s="220" t="s">
        <v>546</v>
      </c>
      <c r="C42" s="225" cm="1">
        <f t="array" ref="C42">SUM(_xlfn._xlws.FILTER(SP2D[Pagu],(SP2D[Subkoordinator]=B42)*(SP2D[Status Covid]="COVID"),0))</f>
        <v>0</v>
      </c>
      <c r="D42" s="225" cm="1">
        <f t="array" ref="D42">SUM(_xlfn._xlws.FILTER(SP2D[Realisasi],(SP2D[Subkoordinator]=B42)*(SP2D[Status Covid]="COVID"),0))</f>
        <v>0</v>
      </c>
      <c r="E42" s="283">
        <f>IFERROR(D42/C42*100,0)</f>
        <v>0</v>
      </c>
      <c r="F42" s="225">
        <f t="shared" si="10"/>
        <v>0</v>
      </c>
      <c r="G42" s="326">
        <f t="shared" ref="G42:G53" si="11">IFERROR(F42/C42*100,0)</f>
        <v>0</v>
      </c>
    </row>
    <row r="43" spans="1:7" x14ac:dyDescent="0.3">
      <c r="A43" s="470"/>
      <c r="B43" s="247" t="s">
        <v>4653</v>
      </c>
      <c r="C43" s="250">
        <v>88811000</v>
      </c>
      <c r="D43" s="250">
        <f>SUM(D41:D42)</f>
        <v>73441280</v>
      </c>
      <c r="E43" s="284">
        <f t="shared" ref="E43:E53" si="12">IFERROR(D43/C43*100,0)</f>
        <v>82.693900530339718</v>
      </c>
      <c r="F43" s="250">
        <f t="shared" si="10"/>
        <v>15369720</v>
      </c>
      <c r="G43" s="324">
        <f t="shared" si="11"/>
        <v>17.306099469660293</v>
      </c>
    </row>
    <row r="44" spans="1:7" x14ac:dyDescent="0.3">
      <c r="A44" s="470" t="s">
        <v>542</v>
      </c>
      <c r="B44" s="220" t="s">
        <v>543</v>
      </c>
      <c r="C44" s="225" cm="1">
        <f t="array" ref="C44">SUM(_xlfn._xlws.FILTER(SP2D[Pagu],(SP2D[Subkoordinator]=B44)*(SP2D[Status Covid]="COVID"),0))</f>
        <v>0</v>
      </c>
      <c r="D44" s="225" cm="1">
        <f t="array" ref="D44">SUM(_xlfn._xlws.FILTER(SP2D[Realisasi],(SP2D[Subkoordinator]=B44)*(SP2D[Status Covid]="COVID"),0))</f>
        <v>0</v>
      </c>
      <c r="E44" s="283">
        <f t="shared" si="12"/>
        <v>0</v>
      </c>
      <c r="F44" s="225">
        <f t="shared" si="10"/>
        <v>0</v>
      </c>
      <c r="G44" s="326">
        <f t="shared" si="11"/>
        <v>0</v>
      </c>
    </row>
    <row r="45" spans="1:7" x14ac:dyDescent="0.3">
      <c r="A45" s="470"/>
      <c r="B45" s="220" t="s">
        <v>591</v>
      </c>
      <c r="C45" s="225" cm="1">
        <f t="array" ref="C45">SUM(_xlfn._xlws.FILTER(SP2D[Pagu],(SP2D[Subkoordinator]=B45)*(SP2D[Status Covid]="COVID"),0))</f>
        <v>0</v>
      </c>
      <c r="D45" s="225" cm="1">
        <f t="array" ref="D45">SUM(_xlfn._xlws.FILTER(SP2D[Realisasi],(SP2D[Subkoordinator]=B45)*(SP2D[Status Covid]="COVID"),0))</f>
        <v>0</v>
      </c>
      <c r="E45" s="283">
        <f t="shared" si="12"/>
        <v>0</v>
      </c>
      <c r="F45" s="225">
        <f t="shared" si="10"/>
        <v>0</v>
      </c>
      <c r="G45" s="326">
        <f t="shared" si="11"/>
        <v>0</v>
      </c>
    </row>
    <row r="46" spans="1:7" x14ac:dyDescent="0.3">
      <c r="A46" s="470"/>
      <c r="B46" s="247" t="s">
        <v>4657</v>
      </c>
      <c r="C46" s="250">
        <f>SUM(C44:C45)</f>
        <v>0</v>
      </c>
      <c r="D46" s="250">
        <f>SUM(D44:D45)</f>
        <v>0</v>
      </c>
      <c r="E46" s="285">
        <f t="shared" si="12"/>
        <v>0</v>
      </c>
      <c r="F46" s="250">
        <f t="shared" si="10"/>
        <v>0</v>
      </c>
      <c r="G46" s="419">
        <f t="shared" si="11"/>
        <v>0</v>
      </c>
    </row>
    <row r="47" spans="1:7" x14ac:dyDescent="0.3">
      <c r="A47" s="470" t="s">
        <v>531</v>
      </c>
      <c r="B47" s="220" t="s">
        <v>532</v>
      </c>
      <c r="C47" s="225" cm="1">
        <f t="array" ref="C47">SUM(_xlfn._xlws.FILTER(SP2D[Pagu],(SP2D[Subkoordinator]=B47)*(SP2D[Status Covid]="COVID"),0))</f>
        <v>0</v>
      </c>
      <c r="D47" s="225" cm="1">
        <f t="array" ref="D47">SUM(_xlfn._xlws.FILTER(SP2D[Realisasi],(SP2D[Subkoordinator]=B47)*(SP2D[Status Covid]="COVID"),0))</f>
        <v>0</v>
      </c>
      <c r="E47" s="283">
        <f t="shared" si="12"/>
        <v>0</v>
      </c>
      <c r="F47" s="225">
        <f t="shared" ref="F47:F53" si="13">C47-D47</f>
        <v>0</v>
      </c>
      <c r="G47" s="326">
        <f t="shared" si="11"/>
        <v>0</v>
      </c>
    </row>
    <row r="48" spans="1:7" x14ac:dyDescent="0.3">
      <c r="A48" s="470"/>
      <c r="B48" s="220" t="s">
        <v>534</v>
      </c>
      <c r="C48" s="225" cm="1">
        <f t="array" ref="C48">SUM(_xlfn._xlws.FILTER(SP2D[Pagu],(SP2D[Subkoordinator]=B48)*(SP2D[Status Covid]="COVID"),0))</f>
        <v>0</v>
      </c>
      <c r="D48" s="225" cm="1">
        <f t="array" ref="D48">SUM(_xlfn._xlws.FILTER(SP2D[Realisasi],(SP2D[Subkoordinator]=B48)*(SP2D[Status Covid]="COVID"),0))</f>
        <v>0</v>
      </c>
      <c r="E48" s="283">
        <f t="shared" si="12"/>
        <v>0</v>
      </c>
      <c r="F48" s="225">
        <f t="shared" si="13"/>
        <v>0</v>
      </c>
      <c r="G48" s="326">
        <f t="shared" si="11"/>
        <v>0</v>
      </c>
    </row>
    <row r="49" spans="1:7" x14ac:dyDescent="0.3">
      <c r="A49" s="470"/>
      <c r="B49" s="247" t="s">
        <v>4658</v>
      </c>
      <c r="C49" s="250">
        <f>SUM(C47:C48)</f>
        <v>0</v>
      </c>
      <c r="D49" s="250">
        <f>SUM(D47:D48)</f>
        <v>0</v>
      </c>
      <c r="E49" s="284">
        <f t="shared" si="12"/>
        <v>0</v>
      </c>
      <c r="F49" s="250">
        <f t="shared" si="13"/>
        <v>0</v>
      </c>
      <c r="G49" s="327">
        <f t="shared" si="11"/>
        <v>0</v>
      </c>
    </row>
    <row r="50" spans="1:7" x14ac:dyDescent="0.3">
      <c r="A50" s="470" t="s">
        <v>535</v>
      </c>
      <c r="B50" s="220" t="s">
        <v>536</v>
      </c>
      <c r="C50" s="225" cm="1">
        <f t="array" ref="C50">SUM(_xlfn._xlws.FILTER(SP2D[Pagu],(SP2D[Subkoordinator]=B50)*(SP2D[Status Covid]="COVID"),0))</f>
        <v>8000000</v>
      </c>
      <c r="D50" s="225" cm="1">
        <f t="array" ref="D50">SUM(_xlfn._xlws.FILTER(SP2D[Realisasi],(SP2D[Subkoordinator]=B50)*(SP2D[Status Covid]="COVID"),0))</f>
        <v>365000</v>
      </c>
      <c r="E50" s="283">
        <f t="shared" si="12"/>
        <v>4.5625</v>
      </c>
      <c r="F50" s="225">
        <f t="shared" si="13"/>
        <v>7635000</v>
      </c>
      <c r="G50" s="323">
        <f t="shared" si="11"/>
        <v>95.4375</v>
      </c>
    </row>
    <row r="51" spans="1:7" x14ac:dyDescent="0.3">
      <c r="A51" s="470"/>
      <c r="B51" s="220" t="s">
        <v>538</v>
      </c>
      <c r="C51" s="225" cm="1">
        <f t="array" ref="C51">SUM(_xlfn._xlws.FILTER(SP2D[Pagu],(SP2D[Subkoordinator]=B51)*(SP2D[Status Covid]="COVID"),0))</f>
        <v>5000000</v>
      </c>
      <c r="D51" s="225" cm="1">
        <f t="array" ref="D51">SUM(_xlfn._xlws.FILTER(SP2D[Realisasi],(SP2D[Subkoordinator]=B51)*(SP2D[Status Covid]="COVID"),0))</f>
        <v>0</v>
      </c>
      <c r="E51" s="283">
        <f t="shared" si="12"/>
        <v>0</v>
      </c>
      <c r="F51" s="225">
        <f t="shared" si="13"/>
        <v>5000000</v>
      </c>
      <c r="G51" s="323">
        <f t="shared" si="11"/>
        <v>100</v>
      </c>
    </row>
    <row r="52" spans="1:7" x14ac:dyDescent="0.3">
      <c r="A52" s="470"/>
      <c r="B52" s="247" t="s">
        <v>4659</v>
      </c>
      <c r="C52" s="250">
        <f>SUM(C50:C51)</f>
        <v>13000000</v>
      </c>
      <c r="D52" s="250">
        <f>SUM(D50:D51)</f>
        <v>365000</v>
      </c>
      <c r="E52" s="285">
        <f t="shared" si="12"/>
        <v>2.8076923076923075</v>
      </c>
      <c r="F52" s="250">
        <f t="shared" si="13"/>
        <v>12635000</v>
      </c>
      <c r="G52" s="324">
        <f t="shared" si="11"/>
        <v>97.192307692307693</v>
      </c>
    </row>
    <row r="53" spans="1:7" x14ac:dyDescent="0.3">
      <c r="A53" s="473" t="s">
        <v>4655</v>
      </c>
      <c r="B53" s="473"/>
      <c r="C53" s="232">
        <f>C43+C46+C49+C52</f>
        <v>101811000</v>
      </c>
      <c r="D53" s="232">
        <f>D43+D46+D49+D52</f>
        <v>73806280</v>
      </c>
      <c r="E53" s="286">
        <f t="shared" si="12"/>
        <v>72.493424089734901</v>
      </c>
      <c r="F53" s="232">
        <f t="shared" si="13"/>
        <v>28004720</v>
      </c>
      <c r="G53" s="325">
        <f t="shared" si="11"/>
        <v>27.506575910265095</v>
      </c>
    </row>
    <row r="54" spans="1:7" x14ac:dyDescent="0.3">
      <c r="A54" s="473" t="s">
        <v>4656</v>
      </c>
      <c r="B54" s="473"/>
      <c r="C54" s="473"/>
      <c r="D54" s="232">
        <f>D53</f>
        <v>73806280</v>
      </c>
      <c r="E54" s="286">
        <f>E53</f>
        <v>72.493424089734901</v>
      </c>
      <c r="F54" s="232">
        <f>F53</f>
        <v>28004720</v>
      </c>
      <c r="G54" s="325">
        <f>G53</f>
        <v>27.506575910265095</v>
      </c>
    </row>
  </sheetData>
  <mergeCells count="23">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 ref="D27:E27"/>
    <mergeCell ref="F27:G27"/>
    <mergeCell ref="A1:G1"/>
    <mergeCell ref="A3:G3"/>
    <mergeCell ref="A50:A52"/>
    <mergeCell ref="A36:B36"/>
    <mergeCell ref="A37:B37"/>
  </mergeCells>
  <pageMargins left="0.7" right="0.7" top="0.75" bottom="0.75" header="0.3" footer="0.3"/>
  <pageSetup paperSize="9" scale="63" fitToHeight="0" orientation="portrait" horizontalDpi="0" verticalDpi="0" r:id="rId1"/>
  <ignoredErrors>
    <ignoredError sqref="E42 E35" formula="1"/>
    <ignoredError sqref="C29" formulaRange="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AB34" sqref="AB34"/>
    </sheetView>
  </sheetViews>
  <sheetFormatPr defaultRowHeight="14.4" x14ac:dyDescent="0.3"/>
  <sheetData>
    <row r="1" spans="2:16" x14ac:dyDescent="0.3">
      <c r="B1" s="479" t="str">
        <f>PERSUBBID!A1</f>
        <v>REALISASI TANPA GAJI</v>
      </c>
      <c r="C1" s="479"/>
      <c r="D1" s="479"/>
      <c r="E1" s="479"/>
      <c r="F1" s="479"/>
      <c r="G1" s="479"/>
      <c r="H1" s="479"/>
      <c r="I1" s="479"/>
      <c r="J1" s="479"/>
      <c r="K1" s="479"/>
      <c r="L1" s="479"/>
      <c r="M1" s="479"/>
      <c r="N1" s="479"/>
      <c r="O1" s="479"/>
      <c r="P1" s="479"/>
    </row>
    <row r="2" spans="2:16" ht="15.6" x14ac:dyDescent="0.3">
      <c r="B2" s="469" t="str">
        <f>PERSUBBID!A2</f>
        <v>Berdasarkan DIPA Revisi 2 POK 2 TA. 2022 (Tanggal 22 Maret 2022)</v>
      </c>
      <c r="C2" s="469"/>
      <c r="D2" s="469"/>
      <c r="E2" s="469"/>
      <c r="F2" s="469"/>
      <c r="G2" s="469"/>
      <c r="H2" s="469"/>
      <c r="I2" s="469"/>
      <c r="J2" s="469"/>
      <c r="K2" s="469"/>
      <c r="L2" s="469"/>
      <c r="M2" s="469"/>
      <c r="N2" s="469"/>
      <c r="O2" s="469"/>
      <c r="P2" s="469"/>
    </row>
    <row r="3" spans="2:16" ht="15.6" x14ac:dyDescent="0.3">
      <c r="B3" s="469" t="str">
        <f>PERSUBBID!A3</f>
        <v>SAMPAI DENGAN 15 JUNI 2022</v>
      </c>
      <c r="C3" s="469"/>
      <c r="D3" s="469"/>
      <c r="E3" s="469"/>
      <c r="F3" s="469"/>
      <c r="G3" s="469"/>
      <c r="H3" s="469"/>
      <c r="I3" s="469"/>
      <c r="J3" s="469"/>
      <c r="K3" s="469"/>
      <c r="L3" s="469"/>
      <c r="M3" s="469"/>
      <c r="N3" s="469"/>
      <c r="O3" s="469"/>
      <c r="P3" s="469"/>
    </row>
  </sheetData>
  <mergeCells count="3">
    <mergeCell ref="B1:P1"/>
    <mergeCell ref="B2:P2"/>
    <mergeCell ref="B3:P3"/>
  </mergeCells>
  <pageMargins left="0.7" right="0.7" top="0.75" bottom="0.75" header="0.3" footer="0.3"/>
  <pageSetup paperSize="9" scale="67"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20C29-052C-41C2-863C-648B25EFFEC4}">
  <sheetPr codeName="Sheet17">
    <pageSetUpPr fitToPage="1"/>
  </sheetPr>
  <dimension ref="A1:J59"/>
  <sheetViews>
    <sheetView showGridLines="0" zoomScale="85" zoomScaleNormal="85" workbookViewId="0">
      <selection activeCell="J39" sqref="J39"/>
    </sheetView>
  </sheetViews>
  <sheetFormatPr defaultRowHeight="14.4" x14ac:dyDescent="0.3"/>
  <cols>
    <col min="1" max="1" width="16.5546875" customWidth="1"/>
    <col min="2" max="2" width="58" customWidth="1"/>
    <col min="3" max="3" width="15.33203125" bestFit="1" customWidth="1"/>
    <col min="4" max="4" width="14.33203125" bestFit="1" customWidth="1"/>
    <col min="5" max="5" width="9.77734375" bestFit="1" customWidth="1"/>
    <col min="6" max="6" width="15.33203125" bestFit="1" customWidth="1"/>
    <col min="7" max="7" width="10.6640625" style="338" customWidth="1"/>
    <col min="9" max="9" width="29.44140625" style="274" customWidth="1"/>
    <col min="10" max="10" width="24.44140625" customWidth="1"/>
  </cols>
  <sheetData>
    <row r="1" spans="1:10" ht="15.6" x14ac:dyDescent="0.3">
      <c r="A1" s="469" t="s">
        <v>5151</v>
      </c>
      <c r="B1" s="469"/>
      <c r="C1" s="469"/>
      <c r="D1" s="469"/>
      <c r="E1" s="469"/>
      <c r="F1" s="469"/>
      <c r="G1" s="469"/>
    </row>
    <row r="2" spans="1:10" ht="15.6" x14ac:dyDescent="0.3">
      <c r="A2" s="469" t="str">
        <f>'PER BULAN'!B5</f>
        <v>Berdasarkan DIPA Revisi 2 POK 2 TA. 2022 (Tanggal 22 Maret 2022)</v>
      </c>
      <c r="B2" s="469"/>
      <c r="C2" s="469"/>
      <c r="D2" s="469"/>
      <c r="E2" s="469"/>
      <c r="F2" s="469"/>
      <c r="G2" s="469"/>
    </row>
    <row r="3" spans="1:10" ht="15.6" x14ac:dyDescent="0.3">
      <c r="A3" s="469" t="s">
        <v>5426</v>
      </c>
      <c r="B3" s="469"/>
      <c r="C3" s="469"/>
      <c r="D3" s="469"/>
      <c r="E3" s="469"/>
      <c r="F3" s="469"/>
      <c r="G3" s="469"/>
    </row>
    <row r="4" spans="1:10" x14ac:dyDescent="0.3">
      <c r="A4" s="439"/>
      <c r="B4" s="439"/>
      <c r="C4" s="439"/>
      <c r="D4" s="439"/>
      <c r="E4" s="439"/>
      <c r="F4" s="439"/>
      <c r="G4" s="439"/>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74" t="s">
        <v>576</v>
      </c>
      <c r="B7" s="282" t="s">
        <v>560</v>
      </c>
      <c r="C7" s="225" cm="1">
        <f t="array" ref="C7">SUM(_xlfn._xlws.FILTER(SP2D[Pagu],SP2D[Subkoordinator]=B7,0))-SUM(C8:C10)</f>
        <v>570684000</v>
      </c>
      <c r="D7" s="225" cm="1">
        <f t="array" ref="D7">SUM(_xlfn._xlws.FILTER(SP2D[Realisasi],SP2D[Subkoordinator]=B7,0))-SUM(D8:D10)</f>
        <v>390447219</v>
      </c>
      <c r="E7" s="224">
        <f>IFERROR(D7/C7*100,0)</f>
        <v>68.417411211808982</v>
      </c>
      <c r="F7" s="225">
        <f t="shared" ref="F7:F15" si="0">C7-D7</f>
        <v>180236781</v>
      </c>
      <c r="G7" s="323">
        <f>IFERROR(F7/C7*100,0)</f>
        <v>31.582588788191014</v>
      </c>
    </row>
    <row r="8" spans="1:10" x14ac:dyDescent="0.3">
      <c r="A8" s="475"/>
      <c r="B8" s="251" t="s">
        <v>4654</v>
      </c>
      <c r="C8" s="225" cm="1">
        <f t="array" ref="C8">SUM(_xlfn._xlws.FILTER(SP2D[Pagu],SP2D[Komponen]=B8,0))</f>
        <v>2095658000</v>
      </c>
      <c r="D8" s="225" cm="1">
        <f t="array" ref="D8">SUM(_xlfn._xlws.FILTER(SP2D[Realisasi],SP2D[Komponen]=B8,0))</f>
        <v>663321641</v>
      </c>
      <c r="E8" s="224">
        <f t="shared" ref="E8:E13" si="1">IFERROR(D8/C8*100,0)</f>
        <v>31.652189479390241</v>
      </c>
      <c r="F8" s="225">
        <f t="shared" si="0"/>
        <v>1432336359</v>
      </c>
      <c r="G8" s="323">
        <f t="shared" ref="G8:G13" si="2">IFERROR(F8/C8*100,0)</f>
        <v>68.347810520609755</v>
      </c>
    </row>
    <row r="9" spans="1:10" x14ac:dyDescent="0.3">
      <c r="A9" s="475"/>
      <c r="B9" s="251" t="s">
        <v>4660</v>
      </c>
      <c r="C9" s="225">
        <f>SUM('PER BULAN'!F137)</f>
        <v>100000000</v>
      </c>
      <c r="D9" s="225">
        <f>SUM('PER BULAN'!AT137)</f>
        <v>0</v>
      </c>
      <c r="E9" s="221">
        <f t="shared" si="1"/>
        <v>0</v>
      </c>
      <c r="F9" s="225">
        <f t="shared" si="0"/>
        <v>100000000</v>
      </c>
      <c r="G9" s="417">
        <f t="shared" si="2"/>
        <v>100</v>
      </c>
    </row>
    <row r="10" spans="1:10" x14ac:dyDescent="0.3">
      <c r="A10" s="475"/>
      <c r="B10" s="251" t="s">
        <v>43</v>
      </c>
      <c r="C10" s="225" cm="1">
        <f t="array" ref="C10">SUM(_xlfn._xlws.FILTER(SP2D[Pagu],SP2D[Jenis Belanja]="Belanja Modal",0))</f>
        <v>654200000</v>
      </c>
      <c r="D10" s="225" cm="1">
        <f t="array" ref="D10">SUM(_xlfn._xlws.FILTER(SP2D[Realisasi],SP2D[Jenis Belanja]="Belanja Modal",0))</f>
        <v>654200000</v>
      </c>
      <c r="E10" s="224">
        <f t="shared" si="1"/>
        <v>100</v>
      </c>
      <c r="F10" s="225">
        <f t="shared" si="0"/>
        <v>0</v>
      </c>
      <c r="G10" s="417">
        <f t="shared" si="2"/>
        <v>0</v>
      </c>
    </row>
    <row r="11" spans="1:10" x14ac:dyDescent="0.3">
      <c r="A11" s="475"/>
      <c r="B11" s="282" t="s">
        <v>546</v>
      </c>
      <c r="C11" s="225" cm="1">
        <f t="array" ref="C11">SUM(_xlfn._xlws.FILTER(SP2D[Pagu],SP2D[Subkoordinator]=B11,0))</f>
        <v>197920000</v>
      </c>
      <c r="D11" s="225" cm="1">
        <f t="array" ref="D11">SUM(_xlfn._xlws.FILTER(SP2D[Realisasi],SP2D[Subkoordinator]=B11,0))</f>
        <v>136548520</v>
      </c>
      <c r="E11" s="224">
        <f t="shared" si="1"/>
        <v>68.991774454324982</v>
      </c>
      <c r="F11" s="225">
        <f t="shared" si="0"/>
        <v>61371480</v>
      </c>
      <c r="G11" s="323">
        <f t="shared" si="2"/>
        <v>31.008225545675021</v>
      </c>
    </row>
    <row r="12" spans="1:10" x14ac:dyDescent="0.3">
      <c r="A12" s="475"/>
      <c r="B12" s="342" t="s">
        <v>5000</v>
      </c>
      <c r="C12" s="225" cm="1">
        <f t="array" ref="C12">SUM(_xlfn._xlws.FILTER(Gaji[Pagu],Gaji[Komponen]=B12,0))</f>
        <v>6155047000</v>
      </c>
      <c r="D12" s="225" cm="1">
        <f t="array" ref="D12">SUM(_xlfn._xlws.FILTER(Gaji[Realisasi],Gaji[Komponen]=B12,0))</f>
        <v>2939763957</v>
      </c>
      <c r="E12" s="224">
        <f t="shared" si="1"/>
        <v>47.761844174382425</v>
      </c>
      <c r="F12" s="225">
        <f t="shared" si="0"/>
        <v>3215283043</v>
      </c>
      <c r="G12" s="323">
        <f t="shared" si="2"/>
        <v>52.238155825617582</v>
      </c>
    </row>
    <row r="13" spans="1:10" x14ac:dyDescent="0.3">
      <c r="A13" s="475"/>
      <c r="B13" s="342" t="s">
        <v>5001</v>
      </c>
      <c r="C13" s="225">
        <v>0</v>
      </c>
      <c r="D13" s="225">
        <v>0</v>
      </c>
      <c r="E13" s="221">
        <f t="shared" si="1"/>
        <v>0</v>
      </c>
      <c r="F13" s="225">
        <v>0</v>
      </c>
      <c r="G13" s="417">
        <f t="shared" si="2"/>
        <v>0</v>
      </c>
    </row>
    <row r="14" spans="1:10" x14ac:dyDescent="0.3">
      <c r="A14" s="476"/>
      <c r="B14" s="247" t="s">
        <v>4653</v>
      </c>
      <c r="C14" s="250">
        <f>SUM(C7:C13)</f>
        <v>9773509000</v>
      </c>
      <c r="D14" s="250">
        <f>SUM(D7:D13)</f>
        <v>4784281337</v>
      </c>
      <c r="E14" s="249">
        <f t="shared" ref="E14:E15" si="3">D14/C14*100</f>
        <v>48.951521270405543</v>
      </c>
      <c r="F14" s="250">
        <f>SUM(F7:F13)</f>
        <v>4989227663</v>
      </c>
      <c r="G14" s="324">
        <f t="shared" ref="G14:G15" si="4">F14/C14*100</f>
        <v>51.048478729594457</v>
      </c>
      <c r="H14" s="245"/>
    </row>
    <row r="15" spans="1:10" ht="15" customHeight="1" x14ac:dyDescent="0.3">
      <c r="A15" s="474" t="s">
        <v>542</v>
      </c>
      <c r="B15" s="282" t="s">
        <v>543</v>
      </c>
      <c r="C15" s="225" cm="1">
        <f t="array" ref="C15">SUM(_xlfn._xlws.FILTER(SP2D[Pagu],SP2D[Subkoordinator]=B15,0))-C16</f>
        <v>293918000</v>
      </c>
      <c r="D15" s="225" cm="1">
        <f t="array" ref="D15">SUM(_xlfn._xlws.FILTER(SP2D[Realisasi],SP2D[Subkoordinator]=B15,0))-D16</f>
        <v>130677295</v>
      </c>
      <c r="E15" s="224">
        <f t="shared" si="3"/>
        <v>44.460460060288924</v>
      </c>
      <c r="F15" s="225">
        <f t="shared" si="0"/>
        <v>163240705</v>
      </c>
      <c r="G15" s="323">
        <f t="shared" si="4"/>
        <v>55.539539939711076</v>
      </c>
    </row>
    <row r="16" spans="1:10" x14ac:dyDescent="0.3">
      <c r="A16" s="475"/>
      <c r="B16" s="251" t="s">
        <v>4728</v>
      </c>
      <c r="C16" s="225" cm="1">
        <f t="array" ref="C16">SUM(_xlfn._xlws.FILTER(SP2D[Pagu],SP2D[Kegiatan]=B16,0))</f>
        <v>6082500000</v>
      </c>
      <c r="D16" s="225" cm="1">
        <f t="array" ref="D16">SUM(_xlfn._xlws.FILTER(SP2D[Realisasi],SP2D[Kegiatan]=B16,0))</f>
        <v>3476713912</v>
      </c>
      <c r="E16" s="224">
        <f>D16/C16*100</f>
        <v>57.159291607069463</v>
      </c>
      <c r="F16" s="225">
        <f>C16-D16</f>
        <v>2605786088</v>
      </c>
      <c r="G16" s="323">
        <f>F16/C16*100</f>
        <v>42.840708392930537</v>
      </c>
      <c r="J16" s="276"/>
    </row>
    <row r="17" spans="1:10" x14ac:dyDescent="0.3">
      <c r="A17" s="475"/>
      <c r="B17" s="282" t="s">
        <v>591</v>
      </c>
      <c r="C17" s="225" cm="1">
        <f t="array" ref="C17">SUM(_xlfn._xlws.FILTER(SP2D[Pagu],SP2D[Subkoordinator]=B17,0))</f>
        <v>169798000</v>
      </c>
      <c r="D17" s="225" cm="1">
        <f t="array" ref="D17">SUM(_xlfn._xlws.FILTER(SP2D[Realisasi],SP2D[Subkoordinator]=B17,0))</f>
        <v>105796297</v>
      </c>
      <c r="E17" s="224">
        <f t="shared" ref="E17:E25" si="5">D17/C17*100</f>
        <v>62.307151438768415</v>
      </c>
      <c r="F17" s="225">
        <f t="shared" ref="F17:F25" si="6">C17-D17</f>
        <v>64001703</v>
      </c>
      <c r="G17" s="323">
        <f t="shared" ref="G17:G25" si="7">F17/C17*100</f>
        <v>37.692848561231578</v>
      </c>
    </row>
    <row r="18" spans="1:10" x14ac:dyDescent="0.3">
      <c r="A18" s="476"/>
      <c r="B18" s="247" t="s">
        <v>4657</v>
      </c>
      <c r="C18" s="250">
        <f>SUM(C15:C17)</f>
        <v>6546216000</v>
      </c>
      <c r="D18" s="250">
        <f>SUM(D15:D17)</f>
        <v>3713187504</v>
      </c>
      <c r="E18" s="249">
        <f t="shared" si="5"/>
        <v>56.722654797825186</v>
      </c>
      <c r="F18" s="250">
        <f t="shared" si="6"/>
        <v>2833028496</v>
      </c>
      <c r="G18" s="324">
        <f t="shared" si="7"/>
        <v>43.277345202174814</v>
      </c>
    </row>
    <row r="19" spans="1:10" ht="15" customHeight="1" x14ac:dyDescent="0.3">
      <c r="A19" s="474" t="s">
        <v>531</v>
      </c>
      <c r="B19" s="282" t="s">
        <v>532</v>
      </c>
      <c r="C19" s="225" cm="1">
        <f t="array" ref="C19">SUM(_xlfn._xlws.FILTER(SP2D[Pagu],SP2D[Subkoordinator]=B19,0))</f>
        <v>207606000</v>
      </c>
      <c r="D19" s="225" cm="1">
        <f t="array" ref="D19">SUM(_xlfn._xlws.FILTER(SP2D[Realisasi],SP2D[Subkoordinator]=B19,0))</f>
        <v>133815590</v>
      </c>
      <c r="E19" s="224">
        <f t="shared" si="5"/>
        <v>64.456513780911919</v>
      </c>
      <c r="F19" s="225">
        <f t="shared" si="6"/>
        <v>73790410</v>
      </c>
      <c r="G19" s="323">
        <f t="shared" si="7"/>
        <v>35.543486219088081</v>
      </c>
    </row>
    <row r="20" spans="1:10" x14ac:dyDescent="0.3">
      <c r="A20" s="475"/>
      <c r="B20" s="282" t="s">
        <v>534</v>
      </c>
      <c r="C20" s="225" cm="1">
        <f t="array" ref="C20">SUM(_xlfn._xlws.FILTER(SP2D[Pagu],SP2D[Subkoordinator]=B20,0))</f>
        <v>164763000</v>
      </c>
      <c r="D20" s="225" cm="1">
        <f t="array" ref="D20">SUM(_xlfn._xlws.FILTER(SP2D[Realisasi],SP2D[Subkoordinator]=B20,0))</f>
        <v>73365500</v>
      </c>
      <c r="E20" s="224">
        <f t="shared" si="5"/>
        <v>44.527897646923151</v>
      </c>
      <c r="F20" s="225">
        <f t="shared" si="6"/>
        <v>91397500</v>
      </c>
      <c r="G20" s="323">
        <f t="shared" si="7"/>
        <v>55.472102353076849</v>
      </c>
      <c r="J20" s="276"/>
    </row>
    <row r="21" spans="1:10" x14ac:dyDescent="0.3">
      <c r="A21" s="476"/>
      <c r="B21" s="247" t="s">
        <v>4658</v>
      </c>
      <c r="C21" s="250">
        <f>SUM(C19:C20)</f>
        <v>372369000</v>
      </c>
      <c r="D21" s="250">
        <f>SUM(D19:D20)</f>
        <v>207181090</v>
      </c>
      <c r="E21" s="249">
        <f t="shared" si="5"/>
        <v>55.638651445206236</v>
      </c>
      <c r="F21" s="250">
        <f t="shared" si="6"/>
        <v>165187910</v>
      </c>
      <c r="G21" s="324">
        <f t="shared" si="7"/>
        <v>44.361348554793764</v>
      </c>
    </row>
    <row r="22" spans="1:10" ht="15" customHeight="1" x14ac:dyDescent="0.3">
      <c r="A22" s="474" t="s">
        <v>535</v>
      </c>
      <c r="B22" s="282" t="s">
        <v>536</v>
      </c>
      <c r="C22" s="225" cm="1">
        <f t="array" ref="C22">SUM(_xlfn._xlws.FILTER(SP2D[Pagu],SP2D[Subkoordinator]=B22,0))</f>
        <v>686300000</v>
      </c>
      <c r="D22" s="225" cm="1">
        <f t="array" ref="D22">SUM(_xlfn._xlws.FILTER(SP2D[Realisasi],SP2D[Subkoordinator]=B22,0))</f>
        <v>214180240</v>
      </c>
      <c r="E22" s="224">
        <f t="shared" si="5"/>
        <v>31.207961532857354</v>
      </c>
      <c r="F22" s="225">
        <f t="shared" si="6"/>
        <v>472119760</v>
      </c>
      <c r="G22" s="323">
        <f t="shared" si="7"/>
        <v>68.792038467142646</v>
      </c>
    </row>
    <row r="23" spans="1:10" x14ac:dyDescent="0.3">
      <c r="A23" s="475"/>
      <c r="B23" s="282" t="s">
        <v>538</v>
      </c>
      <c r="C23" s="225" cm="1">
        <f t="array" ref="C23">SUM(_xlfn._xlws.FILTER(SP2D[Pagu],SP2D[Subkoordinator]=B23,0))</f>
        <v>152457000</v>
      </c>
      <c r="D23" s="225" cm="1">
        <f t="array" ref="D23">SUM(_xlfn._xlws.FILTER(SP2D[Realisasi],SP2D[Subkoordinator]=B23,0))</f>
        <v>88256718</v>
      </c>
      <c r="E23" s="224">
        <f t="shared" si="5"/>
        <v>57.889580668647554</v>
      </c>
      <c r="F23" s="225">
        <f t="shared" si="6"/>
        <v>64200282</v>
      </c>
      <c r="G23" s="323">
        <f t="shared" si="7"/>
        <v>42.110419331352446</v>
      </c>
    </row>
    <row r="24" spans="1:10" x14ac:dyDescent="0.3">
      <c r="A24" s="476"/>
      <c r="B24" s="247" t="s">
        <v>4659</v>
      </c>
      <c r="C24" s="250">
        <f>SUM(C22:C23)</f>
        <v>838757000</v>
      </c>
      <c r="D24" s="250">
        <f>SUM(D22:D23)</f>
        <v>302436958</v>
      </c>
      <c r="E24" s="249">
        <f t="shared" si="5"/>
        <v>36.057756656576338</v>
      </c>
      <c r="F24" s="250">
        <f t="shared" si="6"/>
        <v>536320042</v>
      </c>
      <c r="G24" s="324">
        <f t="shared" si="7"/>
        <v>63.942243343423669</v>
      </c>
    </row>
    <row r="25" spans="1:10" x14ac:dyDescent="0.3">
      <c r="A25" s="473" t="s">
        <v>4655</v>
      </c>
      <c r="B25" s="473"/>
      <c r="C25" s="232">
        <f>C14++C18+C21+C24</f>
        <v>17530851000</v>
      </c>
      <c r="D25" s="232">
        <f>D14++D18+D21+D24</f>
        <v>9007086889</v>
      </c>
      <c r="E25" s="231">
        <f t="shared" si="5"/>
        <v>51.378492059512681</v>
      </c>
      <c r="F25" s="232">
        <f t="shared" si="6"/>
        <v>8523764111</v>
      </c>
      <c r="G25" s="325">
        <f t="shared" si="7"/>
        <v>48.621507940487319</v>
      </c>
      <c r="J25" s="274"/>
    </row>
    <row r="26" spans="1:10" x14ac:dyDescent="0.3">
      <c r="A26" s="473" t="s">
        <v>4656</v>
      </c>
      <c r="B26" s="473"/>
      <c r="C26" s="473"/>
      <c r="D26" s="232">
        <f>D25</f>
        <v>9007086889</v>
      </c>
      <c r="E26" s="231">
        <f>D26/C25*100</f>
        <v>51.378492059512681</v>
      </c>
      <c r="F26" s="232">
        <f>C25-D26</f>
        <v>8523764111</v>
      </c>
      <c r="G26" s="325">
        <f>F26/C25*100</f>
        <v>48.621507940487319</v>
      </c>
      <c r="J26" s="276"/>
    </row>
    <row r="28" spans="1:10" x14ac:dyDescent="0.3">
      <c r="A28" s="260" t="s">
        <v>4815</v>
      </c>
    </row>
    <row r="29" spans="1:10" x14ac:dyDescent="0.3">
      <c r="A29" s="477" t="s">
        <v>4796</v>
      </c>
      <c r="B29" s="477" t="s">
        <v>4797</v>
      </c>
      <c r="C29" s="477" t="s">
        <v>4798</v>
      </c>
      <c r="D29" s="468" t="s">
        <v>4647</v>
      </c>
      <c r="E29" s="468"/>
      <c r="F29" s="468" t="s">
        <v>4799</v>
      </c>
      <c r="G29" s="468"/>
    </row>
    <row r="30" spans="1:10" x14ac:dyDescent="0.3">
      <c r="A30" s="478"/>
      <c r="B30" s="478"/>
      <c r="C30" s="478"/>
      <c r="D30" s="271" t="s">
        <v>4800</v>
      </c>
      <c r="E30" s="438" t="s">
        <v>4648</v>
      </c>
      <c r="F30" s="271" t="s">
        <v>4800</v>
      </c>
      <c r="G30" s="271" t="s">
        <v>4648</v>
      </c>
    </row>
    <row r="31" spans="1:10" s="499" customFormat="1" x14ac:dyDescent="0.3">
      <c r="A31" s="503">
        <v>1</v>
      </c>
      <c r="B31" s="343" t="s">
        <v>5002</v>
      </c>
      <c r="C31" s="504">
        <f>SUM(C32:C33)</f>
        <v>6155047000</v>
      </c>
      <c r="D31" s="504">
        <f>SUM(D32:D33)</f>
        <v>2939763957</v>
      </c>
      <c r="E31" s="505">
        <f t="shared" ref="E31:E33" si="8">IFERROR(D31/C31*100,0)</f>
        <v>47.761844174382425</v>
      </c>
      <c r="F31" s="508">
        <f t="shared" ref="F31:F33" si="9">C31-D31</f>
        <v>3215283043</v>
      </c>
      <c r="G31" s="510">
        <f t="shared" ref="G31:G33" si="10">IFERROR(F31/C31*100,0)</f>
        <v>52.238155825617582</v>
      </c>
      <c r="I31" s="484"/>
    </row>
    <row r="32" spans="1:10" s="499" customFormat="1" x14ac:dyDescent="0.3">
      <c r="A32" s="498"/>
      <c r="B32" s="266" t="s">
        <v>5003</v>
      </c>
      <c r="C32" s="500">
        <f>C12</f>
        <v>6155047000</v>
      </c>
      <c r="D32" s="502">
        <f>D12</f>
        <v>2939763957</v>
      </c>
      <c r="E32" s="506">
        <f t="shared" si="8"/>
        <v>47.761844174382425</v>
      </c>
      <c r="F32" s="509">
        <f t="shared" si="9"/>
        <v>3215283043</v>
      </c>
      <c r="G32" s="511">
        <f t="shared" si="10"/>
        <v>52.238155825617582</v>
      </c>
      <c r="I32" s="484"/>
    </row>
    <row r="33" spans="1:9" s="499" customFormat="1" x14ac:dyDescent="0.3">
      <c r="A33" s="498"/>
      <c r="B33" s="266" t="s">
        <v>5004</v>
      </c>
      <c r="C33" s="501">
        <v>0</v>
      </c>
      <c r="D33" s="501">
        <v>0</v>
      </c>
      <c r="E33" s="507">
        <f t="shared" si="8"/>
        <v>0</v>
      </c>
      <c r="F33" s="501">
        <v>0</v>
      </c>
      <c r="G33" s="509">
        <f t="shared" si="10"/>
        <v>0</v>
      </c>
      <c r="I33" s="484"/>
    </row>
    <row r="34" spans="1:9" x14ac:dyDescent="0.3">
      <c r="A34" s="261">
        <v>2</v>
      </c>
      <c r="B34" s="262" t="s">
        <v>4801</v>
      </c>
      <c r="C34" s="263">
        <f>SUM(C35:C37)</f>
        <v>10721604000</v>
      </c>
      <c r="D34" s="263">
        <f>SUM(D35:D37)</f>
        <v>5413122932</v>
      </c>
      <c r="E34" s="264">
        <f>IFERROR(D34/C34*100,0)</f>
        <v>50.487995378303474</v>
      </c>
      <c r="F34" s="265">
        <f>C34-D34</f>
        <v>5308481068</v>
      </c>
      <c r="G34" s="264">
        <f>IFERROR(F34/C34*100,0)</f>
        <v>49.512004621696533</v>
      </c>
    </row>
    <row r="35" spans="1:9" x14ac:dyDescent="0.3">
      <c r="A35" s="270"/>
      <c r="B35" s="266" t="s">
        <v>4802</v>
      </c>
      <c r="C35" s="267" cm="1">
        <f t="array" ref="C35">SUM(_xlfn._xlws.FILTER(SP2D[Pagu],SP2D[Jenis Belanja]="Belanja Barang Operasional",0))</f>
        <v>2095658000</v>
      </c>
      <c r="D35" s="267" cm="1">
        <f t="array" ref="D35">SUM(_xlfn._xlws.FILTER(SP2D[Realisasi],SP2D[Jenis Belanja]="Belanja Barang Operasional",0))</f>
        <v>663321641</v>
      </c>
      <c r="E35" s="268">
        <f t="shared" ref="E35:E38" si="11">IFERROR(D35/C35*100,0)</f>
        <v>31.652189479390241</v>
      </c>
      <c r="F35" s="269">
        <f>C35-D35</f>
        <v>1432336359</v>
      </c>
      <c r="G35" s="268">
        <f t="shared" ref="G35:G38" si="12">IFERROR(F35/C35*100,0)</f>
        <v>68.347810520609755</v>
      </c>
    </row>
    <row r="36" spans="1:9" x14ac:dyDescent="0.3">
      <c r="A36" s="270"/>
      <c r="B36" s="266" t="s">
        <v>4807</v>
      </c>
      <c r="C36" s="267">
        <v>0</v>
      </c>
      <c r="D36" s="267">
        <f>D9</f>
        <v>0</v>
      </c>
      <c r="E36" s="418">
        <f t="shared" si="11"/>
        <v>0</v>
      </c>
      <c r="F36" s="269">
        <f>C36-D36</f>
        <v>0</v>
      </c>
      <c r="G36" s="418">
        <f t="shared" si="12"/>
        <v>0</v>
      </c>
    </row>
    <row r="37" spans="1:9" x14ac:dyDescent="0.3">
      <c r="A37" s="270"/>
      <c r="B37" s="266" t="s">
        <v>4808</v>
      </c>
      <c r="C37" s="267" cm="1">
        <f t="array" ref="C37">SUM(_xlfn._xlws.FILTER(SP2D[Pagu],SP2D[Jenis Belanja]="Belanja Barang Non Operasional",0))</f>
        <v>8625946000</v>
      </c>
      <c r="D37" s="267">
        <f>D11+D15+D16+D17+D19+D20+D22+D23+D7</f>
        <v>4749801291</v>
      </c>
      <c r="E37" s="268">
        <f t="shared" si="11"/>
        <v>55.064120399084345</v>
      </c>
      <c r="F37" s="269">
        <f>C37-D37</f>
        <v>3876144709</v>
      </c>
      <c r="G37" s="268">
        <f t="shared" si="12"/>
        <v>44.935879600915655</v>
      </c>
    </row>
    <row r="38" spans="1:9" x14ac:dyDescent="0.3">
      <c r="A38" s="261">
        <v>3</v>
      </c>
      <c r="B38" s="262" t="s">
        <v>4803</v>
      </c>
      <c r="C38" s="263">
        <f>C10</f>
        <v>654200000</v>
      </c>
      <c r="D38" s="263" cm="1">
        <f t="array" ref="D38">SUM(_xlfn._xlws.FILTER(SP2D[Realisasi],SP2D[Jenis Belanja]="Belanja Modal",0))</f>
        <v>654200000</v>
      </c>
      <c r="E38" s="264">
        <f t="shared" si="11"/>
        <v>100</v>
      </c>
      <c r="F38" s="265">
        <f>C38-D38</f>
        <v>0</v>
      </c>
      <c r="G38" s="264">
        <f t="shared" si="12"/>
        <v>0</v>
      </c>
    </row>
    <row r="39" spans="1:9" x14ac:dyDescent="0.3">
      <c r="A39" s="261"/>
      <c r="B39" s="262"/>
      <c r="C39" s="263"/>
      <c r="D39" s="263"/>
      <c r="E39" s="264"/>
      <c r="F39" s="265"/>
      <c r="G39" s="264"/>
    </row>
    <row r="40" spans="1:9" x14ac:dyDescent="0.3">
      <c r="A40" s="471" t="s">
        <v>611</v>
      </c>
      <c r="B40" s="472"/>
      <c r="C40" s="272">
        <f>SUM(C31,C34,C38)</f>
        <v>17530851000</v>
      </c>
      <c r="D40" s="272">
        <f>SUM(D31,D34,D38)</f>
        <v>9007086889</v>
      </c>
      <c r="E40" s="273">
        <f>D40/C40*100</f>
        <v>51.378492059512681</v>
      </c>
      <c r="F40" s="272">
        <f>SUM(F31,F34,F38)</f>
        <v>8523764111</v>
      </c>
      <c r="G40" s="273">
        <f>F40/C40*100</f>
        <v>48.621507940487319</v>
      </c>
    </row>
    <row r="41" spans="1:9" x14ac:dyDescent="0.3">
      <c r="A41" s="471" t="s">
        <v>4804</v>
      </c>
      <c r="B41" s="472"/>
      <c r="C41" s="272"/>
      <c r="D41" s="272"/>
      <c r="E41" s="273"/>
      <c r="F41" s="272"/>
      <c r="G41" s="273"/>
    </row>
    <row r="42" spans="1:9" x14ac:dyDescent="0.3">
      <c r="A42" s="471" t="s">
        <v>4805</v>
      </c>
      <c r="B42" s="472"/>
      <c r="C42" s="272">
        <f>C40</f>
        <v>17530851000</v>
      </c>
      <c r="D42" s="272">
        <f>D40-D41</f>
        <v>9007086889</v>
      </c>
      <c r="E42" s="273">
        <f>D42/C42*100</f>
        <v>51.378492059512681</v>
      </c>
      <c r="F42" s="272">
        <f>C42-D42</f>
        <v>8523764111</v>
      </c>
      <c r="G42" s="273">
        <f>F42/C42*100</f>
        <v>48.621507940487319</v>
      </c>
    </row>
    <row r="44" spans="1:9" x14ac:dyDescent="0.3">
      <c r="A44" s="280" t="s">
        <v>4813</v>
      </c>
    </row>
    <row r="45" spans="1:9" x14ac:dyDescent="0.3">
      <c r="A45" s="252" t="s">
        <v>592</v>
      </c>
      <c r="B45" s="252" t="s">
        <v>500</v>
      </c>
      <c r="C45" s="252" t="s">
        <v>4650</v>
      </c>
      <c r="D45" s="252" t="s">
        <v>4651</v>
      </c>
      <c r="E45" s="252" t="s">
        <v>4648</v>
      </c>
      <c r="F45" s="252" t="s">
        <v>4652</v>
      </c>
      <c r="G45" s="252" t="s">
        <v>4648</v>
      </c>
    </row>
    <row r="46" spans="1:9" x14ac:dyDescent="0.3">
      <c r="A46" s="470" t="s">
        <v>576</v>
      </c>
      <c r="B46" s="220" t="s">
        <v>560</v>
      </c>
      <c r="C46" s="225" cm="1">
        <f t="array" ref="C46">SUM(_xlfn._xlws.FILTER(SP2D[Pagu],(SP2D[Subkoordinator]=B46)*(SP2D[Status Covid]="COVID"),0))</f>
        <v>88811000</v>
      </c>
      <c r="D46" s="225" cm="1">
        <f t="array" ref="D46">SUM(_xlfn._xlws.FILTER(SP2D[Realisasi],(SP2D[Subkoordinator]=B46)*(SP2D[Status Covid]="COVID"),0))</f>
        <v>73441280</v>
      </c>
      <c r="E46" s="283">
        <f>IFERROR(D46/C46*100,0)</f>
        <v>82.693900530339718</v>
      </c>
      <c r="F46" s="225">
        <f t="shared" ref="F46:F58" si="13">C46-D46</f>
        <v>15369720</v>
      </c>
      <c r="G46" s="323">
        <f>IFERROR(F46/C46*100,0)</f>
        <v>17.306099469660293</v>
      </c>
    </row>
    <row r="47" spans="1:9" x14ac:dyDescent="0.3">
      <c r="A47" s="470"/>
      <c r="B47" s="220" t="s">
        <v>546</v>
      </c>
      <c r="C47" s="225" cm="1">
        <f t="array" ref="C47">SUM(_xlfn._xlws.FILTER(SP2D[Pagu],(SP2D[Subkoordinator]=B47)*(SP2D[Status Covid]="COVID"),0))</f>
        <v>0</v>
      </c>
      <c r="D47" s="225" cm="1">
        <f t="array" ref="D47">SUM(_xlfn._xlws.FILTER(SP2D[Realisasi],(SP2D[Subkoordinator]=B47)*(SP2D[Status Covid]="COVID"),0))</f>
        <v>0</v>
      </c>
      <c r="E47" s="283">
        <f>IFERROR(D47/C47*100,0)</f>
        <v>0</v>
      </c>
      <c r="F47" s="225">
        <f t="shared" si="13"/>
        <v>0</v>
      </c>
      <c r="G47" s="326">
        <f t="shared" ref="G47:G58" si="14">IFERROR(F47/C47*100,0)</f>
        <v>0</v>
      </c>
    </row>
    <row r="48" spans="1:9" x14ac:dyDescent="0.3">
      <c r="A48" s="470"/>
      <c r="B48" s="247" t="s">
        <v>4653</v>
      </c>
      <c r="C48" s="250">
        <v>88811000</v>
      </c>
      <c r="D48" s="250">
        <f>SUM(D46:D47)</f>
        <v>73441280</v>
      </c>
      <c r="E48" s="284">
        <f t="shared" ref="E48:E58" si="15">IFERROR(D48/C48*100,0)</f>
        <v>82.693900530339718</v>
      </c>
      <c r="F48" s="250">
        <f t="shared" si="13"/>
        <v>15369720</v>
      </c>
      <c r="G48" s="324">
        <f t="shared" si="14"/>
        <v>17.306099469660293</v>
      </c>
    </row>
    <row r="49" spans="1:7" x14ac:dyDescent="0.3">
      <c r="A49" s="470" t="s">
        <v>542</v>
      </c>
      <c r="B49" s="220" t="s">
        <v>543</v>
      </c>
      <c r="C49" s="225" cm="1">
        <f t="array" ref="C49">SUM(_xlfn._xlws.FILTER(SP2D[Pagu],(SP2D[Subkoordinator]=B49)*(SP2D[Status Covid]="COVID"),0))</f>
        <v>0</v>
      </c>
      <c r="D49" s="225" cm="1">
        <f t="array" ref="D49">SUM(_xlfn._xlws.FILTER(SP2D[Realisasi],(SP2D[Subkoordinator]=B49)*(SP2D[Status Covid]="COVID"),0))</f>
        <v>0</v>
      </c>
      <c r="E49" s="283">
        <f t="shared" si="15"/>
        <v>0</v>
      </c>
      <c r="F49" s="225">
        <f t="shared" si="13"/>
        <v>0</v>
      </c>
      <c r="G49" s="326">
        <f t="shared" si="14"/>
        <v>0</v>
      </c>
    </row>
    <row r="50" spans="1:7" x14ac:dyDescent="0.3">
      <c r="A50" s="470"/>
      <c r="B50" s="220" t="s">
        <v>591</v>
      </c>
      <c r="C50" s="225" cm="1">
        <f t="array" ref="C50">SUM(_xlfn._xlws.FILTER(SP2D[Pagu],(SP2D[Subkoordinator]=B50)*(SP2D[Status Covid]="COVID"),0))</f>
        <v>0</v>
      </c>
      <c r="D50" s="225" cm="1">
        <f t="array" ref="D50">SUM(_xlfn._xlws.FILTER(SP2D[Realisasi],(SP2D[Subkoordinator]=B50)*(SP2D[Status Covid]="COVID"),0))</f>
        <v>0</v>
      </c>
      <c r="E50" s="283">
        <f t="shared" si="15"/>
        <v>0</v>
      </c>
      <c r="F50" s="225">
        <f t="shared" si="13"/>
        <v>0</v>
      </c>
      <c r="G50" s="326">
        <f t="shared" si="14"/>
        <v>0</v>
      </c>
    </row>
    <row r="51" spans="1:7" x14ac:dyDescent="0.3">
      <c r="A51" s="470"/>
      <c r="B51" s="247" t="s">
        <v>4657</v>
      </c>
      <c r="C51" s="250">
        <f>SUM(C49:C50)</f>
        <v>0</v>
      </c>
      <c r="D51" s="250">
        <f>SUM(D49:D50)</f>
        <v>0</v>
      </c>
      <c r="E51" s="285">
        <f t="shared" si="15"/>
        <v>0</v>
      </c>
      <c r="F51" s="250">
        <f t="shared" si="13"/>
        <v>0</v>
      </c>
      <c r="G51" s="419">
        <f t="shared" si="14"/>
        <v>0</v>
      </c>
    </row>
    <row r="52" spans="1:7" x14ac:dyDescent="0.3">
      <c r="A52" s="470" t="s">
        <v>531</v>
      </c>
      <c r="B52" s="220" t="s">
        <v>532</v>
      </c>
      <c r="C52" s="225" cm="1">
        <f t="array" ref="C52">SUM(_xlfn._xlws.FILTER(SP2D[Pagu],(SP2D[Subkoordinator]=B52)*(SP2D[Status Covid]="COVID"),0))</f>
        <v>0</v>
      </c>
      <c r="D52" s="225" cm="1">
        <f t="array" ref="D52">SUM(_xlfn._xlws.FILTER(SP2D[Realisasi],(SP2D[Subkoordinator]=B52)*(SP2D[Status Covid]="COVID"),0))</f>
        <v>0</v>
      </c>
      <c r="E52" s="283">
        <f t="shared" si="15"/>
        <v>0</v>
      </c>
      <c r="F52" s="225">
        <f t="shared" si="13"/>
        <v>0</v>
      </c>
      <c r="G52" s="326">
        <f t="shared" si="14"/>
        <v>0</v>
      </c>
    </row>
    <row r="53" spans="1:7" x14ac:dyDescent="0.3">
      <c r="A53" s="470"/>
      <c r="B53" s="220" t="s">
        <v>534</v>
      </c>
      <c r="C53" s="225" cm="1">
        <f t="array" ref="C53">SUM(_xlfn._xlws.FILTER(SP2D[Pagu],(SP2D[Subkoordinator]=B53)*(SP2D[Status Covid]="COVID"),0))</f>
        <v>0</v>
      </c>
      <c r="D53" s="225" cm="1">
        <f t="array" ref="D53">SUM(_xlfn._xlws.FILTER(SP2D[Realisasi],(SP2D[Subkoordinator]=B53)*(SP2D[Status Covid]="COVID"),0))</f>
        <v>0</v>
      </c>
      <c r="E53" s="283">
        <f t="shared" si="15"/>
        <v>0</v>
      </c>
      <c r="F53" s="225">
        <f t="shared" si="13"/>
        <v>0</v>
      </c>
      <c r="G53" s="326">
        <f t="shared" si="14"/>
        <v>0</v>
      </c>
    </row>
    <row r="54" spans="1:7" x14ac:dyDescent="0.3">
      <c r="A54" s="470"/>
      <c r="B54" s="247" t="s">
        <v>4658</v>
      </c>
      <c r="C54" s="250">
        <f>SUM(C52:C53)</f>
        <v>0</v>
      </c>
      <c r="D54" s="250">
        <f>SUM(D52:D53)</f>
        <v>0</v>
      </c>
      <c r="E54" s="284">
        <f t="shared" si="15"/>
        <v>0</v>
      </c>
      <c r="F54" s="250">
        <f t="shared" si="13"/>
        <v>0</v>
      </c>
      <c r="G54" s="327">
        <f t="shared" si="14"/>
        <v>0</v>
      </c>
    </row>
    <row r="55" spans="1:7" x14ac:dyDescent="0.3">
      <c r="A55" s="470" t="s">
        <v>535</v>
      </c>
      <c r="B55" s="220" t="s">
        <v>536</v>
      </c>
      <c r="C55" s="225" cm="1">
        <f t="array" ref="C55">SUM(_xlfn._xlws.FILTER(SP2D[Pagu],(SP2D[Subkoordinator]=B55)*(SP2D[Status Covid]="COVID"),0))</f>
        <v>8000000</v>
      </c>
      <c r="D55" s="225" cm="1">
        <f t="array" ref="D55">SUM(_xlfn._xlws.FILTER(SP2D[Realisasi],(SP2D[Subkoordinator]=B55)*(SP2D[Status Covid]="COVID"),0))</f>
        <v>365000</v>
      </c>
      <c r="E55" s="283">
        <f t="shared" si="15"/>
        <v>4.5625</v>
      </c>
      <c r="F55" s="225">
        <f t="shared" si="13"/>
        <v>7635000</v>
      </c>
      <c r="G55" s="323">
        <f t="shared" si="14"/>
        <v>95.4375</v>
      </c>
    </row>
    <row r="56" spans="1:7" x14ac:dyDescent="0.3">
      <c r="A56" s="470"/>
      <c r="B56" s="220" t="s">
        <v>538</v>
      </c>
      <c r="C56" s="225" cm="1">
        <f t="array" ref="C56">SUM(_xlfn._xlws.FILTER(SP2D[Pagu],(SP2D[Subkoordinator]=B56)*(SP2D[Status Covid]="COVID"),0))</f>
        <v>5000000</v>
      </c>
      <c r="D56" s="225" cm="1">
        <f t="array" ref="D56">SUM(_xlfn._xlws.FILTER(SP2D[Realisasi],(SP2D[Subkoordinator]=B56)*(SP2D[Status Covid]="COVID"),0))</f>
        <v>0</v>
      </c>
      <c r="E56" s="283">
        <f t="shared" si="15"/>
        <v>0</v>
      </c>
      <c r="F56" s="225">
        <f t="shared" si="13"/>
        <v>5000000</v>
      </c>
      <c r="G56" s="323">
        <f t="shared" si="14"/>
        <v>100</v>
      </c>
    </row>
    <row r="57" spans="1:7" x14ac:dyDescent="0.3">
      <c r="A57" s="470"/>
      <c r="B57" s="247" t="s">
        <v>4659</v>
      </c>
      <c r="C57" s="250">
        <f>SUM(C55:C56)</f>
        <v>13000000</v>
      </c>
      <c r="D57" s="250">
        <f>SUM(D55:D56)</f>
        <v>365000</v>
      </c>
      <c r="E57" s="285">
        <f t="shared" si="15"/>
        <v>2.8076923076923075</v>
      </c>
      <c r="F57" s="250">
        <f t="shared" si="13"/>
        <v>12635000</v>
      </c>
      <c r="G57" s="324">
        <f t="shared" si="14"/>
        <v>97.192307692307693</v>
      </c>
    </row>
    <row r="58" spans="1:7" x14ac:dyDescent="0.3">
      <c r="A58" s="473" t="s">
        <v>4655</v>
      </c>
      <c r="B58" s="473"/>
      <c r="C58" s="232">
        <f>C48+C51+C54+C57</f>
        <v>101811000</v>
      </c>
      <c r="D58" s="232">
        <f>D48+D51+D54+D57</f>
        <v>73806280</v>
      </c>
      <c r="E58" s="286">
        <f t="shared" si="15"/>
        <v>72.493424089734901</v>
      </c>
      <c r="F58" s="232">
        <f t="shared" si="13"/>
        <v>28004720</v>
      </c>
      <c r="G58" s="325">
        <f t="shared" si="14"/>
        <v>27.506575910265095</v>
      </c>
    </row>
    <row r="59" spans="1:7" x14ac:dyDescent="0.3">
      <c r="A59" s="473" t="s">
        <v>4656</v>
      </c>
      <c r="B59" s="473"/>
      <c r="C59" s="473"/>
      <c r="D59" s="232">
        <f>D58</f>
        <v>73806280</v>
      </c>
      <c r="E59" s="286">
        <f>E58</f>
        <v>72.493424089734901</v>
      </c>
      <c r="F59" s="232">
        <f>F58</f>
        <v>28004720</v>
      </c>
      <c r="G59" s="325">
        <f>G58</f>
        <v>27.506575910265095</v>
      </c>
    </row>
  </sheetData>
  <mergeCells count="23">
    <mergeCell ref="A49:A51"/>
    <mergeCell ref="A52:A54"/>
    <mergeCell ref="A55:A57"/>
    <mergeCell ref="A58:B58"/>
    <mergeCell ref="A59:C59"/>
    <mergeCell ref="D29:E29"/>
    <mergeCell ref="F29:G29"/>
    <mergeCell ref="A40:B40"/>
    <mergeCell ref="A41:B41"/>
    <mergeCell ref="A42:B42"/>
    <mergeCell ref="A46:A48"/>
    <mergeCell ref="A22:A24"/>
    <mergeCell ref="A25:B25"/>
    <mergeCell ref="A26:C26"/>
    <mergeCell ref="A29:A30"/>
    <mergeCell ref="B29:B30"/>
    <mergeCell ref="C29:C30"/>
    <mergeCell ref="A1:G1"/>
    <mergeCell ref="A2:G2"/>
    <mergeCell ref="A3:G3"/>
    <mergeCell ref="A7:A14"/>
    <mergeCell ref="A15:A18"/>
    <mergeCell ref="A19:A21"/>
  </mergeCells>
  <pageMargins left="0.7" right="0.7" top="0.75" bottom="0.75" header="0.3" footer="0.3"/>
  <pageSetup paperSize="9" scale="63" fitToHeight="0"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6" zoomScale="85" zoomScaleNormal="85" workbookViewId="0">
      <selection activeCell="B35" sqref="B35:B37"/>
    </sheetView>
  </sheetViews>
  <sheetFormatPr defaultRowHeight="14.4" x14ac:dyDescent="0.3"/>
  <cols>
    <col min="1" max="1" width="16.5546875" customWidth="1"/>
    <col min="2" max="2" width="58" customWidth="1"/>
    <col min="3" max="3" width="15.33203125" bestFit="1" customWidth="1"/>
    <col min="4" max="4" width="14.33203125" bestFit="1" customWidth="1"/>
    <col min="6" max="6" width="15.33203125" bestFit="1" customWidth="1"/>
    <col min="7" max="7" width="10.6640625" style="338" customWidth="1"/>
    <col min="9" max="9" width="11.5546875" style="274" customWidth="1"/>
    <col min="10" max="10" width="23.109375" customWidth="1"/>
    <col min="11" max="12" width="14.33203125" bestFit="1" customWidth="1"/>
    <col min="13" max="13" width="10.5546875" bestFit="1" customWidth="1"/>
    <col min="15" max="15" width="14.33203125" style="274" bestFit="1" customWidth="1"/>
  </cols>
  <sheetData>
    <row r="1" spans="1:10" ht="15.6" x14ac:dyDescent="0.3">
      <c r="A1" s="469" t="s">
        <v>5151</v>
      </c>
      <c r="B1" s="469"/>
      <c r="C1" s="469"/>
      <c r="D1" s="469"/>
      <c r="E1" s="469"/>
      <c r="F1" s="469"/>
      <c r="G1" s="469"/>
    </row>
    <row r="2" spans="1:10" ht="15.6" x14ac:dyDescent="0.3">
      <c r="A2" s="469" t="str">
        <f>'PER BULAN'!B5</f>
        <v>Berdasarkan DIPA Revisi 2 POK 2 TA. 2022 (Tanggal 22 Maret 2022)</v>
      </c>
      <c r="B2" s="469"/>
      <c r="C2" s="469"/>
      <c r="D2" s="469"/>
      <c r="E2" s="469"/>
      <c r="F2" s="469"/>
      <c r="G2" s="469"/>
    </row>
    <row r="3" spans="1:10" ht="15.6" x14ac:dyDescent="0.3">
      <c r="A3" s="469" t="str">
        <f>PERSUBBID!A3</f>
        <v>SAMPAI DENGAN 15 JUNI 2022</v>
      </c>
      <c r="B3" s="469"/>
      <c r="C3" s="469"/>
      <c r="D3" s="469"/>
      <c r="E3" s="469"/>
      <c r="F3" s="469"/>
      <c r="G3" s="469"/>
    </row>
    <row r="4" spans="1:10" ht="15.6" x14ac:dyDescent="0.3">
      <c r="A4" s="469"/>
      <c r="B4" s="469"/>
      <c r="C4" s="469"/>
      <c r="D4" s="469"/>
      <c r="E4" s="469"/>
      <c r="F4" s="469"/>
      <c r="G4" s="469"/>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74" t="s">
        <v>576</v>
      </c>
      <c r="B7" s="282" t="s">
        <v>560</v>
      </c>
      <c r="C7" s="225">
        <f>SUM('PER BULAN'!F78+'PER BULAN'!F82+'PER BULAN'!F86+'PER BULAN'!F91+'PER BULAN'!F95)</f>
        <v>670684000</v>
      </c>
      <c r="D7" s="225">
        <f>SUM('PER BULAN'!AT78+'PER BULAN'!AT82+'PER BULAN'!AT86+'PER BULAN'!AT91+'PER BULAN'!AT95)</f>
        <v>390447219</v>
      </c>
      <c r="E7" s="224">
        <f t="shared" ref="E7:E15" si="0">D7/C7*100</f>
        <v>58.216271597354343</v>
      </c>
      <c r="F7" s="225">
        <f t="shared" ref="F7:F15" si="1">C7-D7</f>
        <v>280236781</v>
      </c>
      <c r="G7" s="323">
        <f t="shared" ref="G7:G15" si="2">F7/C7*100</f>
        <v>41.783728402645657</v>
      </c>
    </row>
    <row r="8" spans="1:10" x14ac:dyDescent="0.3">
      <c r="A8" s="475"/>
      <c r="B8" s="251" t="s">
        <v>4654</v>
      </c>
      <c r="C8" s="225">
        <f>SUM('PER BULAN'!F125+'PER BULAN'!F128+'PER BULAN'!F131+'PER BULAN'!F134)</f>
        <v>2095658000</v>
      </c>
      <c r="D8" s="225">
        <f>SUM('PER BULAN'!AT125+'PER BULAN'!AT128+'PER BULAN'!AT131+'PER BULAN'!AT134+'PER BULAN'!AT137)</f>
        <v>663321641</v>
      </c>
      <c r="E8" s="224">
        <f t="shared" si="0"/>
        <v>31.652189479390241</v>
      </c>
      <c r="F8" s="225">
        <f t="shared" si="1"/>
        <v>1432336359</v>
      </c>
      <c r="G8" s="323">
        <f t="shared" si="2"/>
        <v>68.347810520609755</v>
      </c>
    </row>
    <row r="9" spans="1:10" x14ac:dyDescent="0.3">
      <c r="A9" s="475"/>
      <c r="B9" s="251" t="s">
        <v>4660</v>
      </c>
      <c r="C9" s="225">
        <f>SUM('PER BULAN'!F137)</f>
        <v>100000000</v>
      </c>
      <c r="D9" s="225">
        <f>SUM('PER BULAN'!AT137)</f>
        <v>0</v>
      </c>
      <c r="E9" s="224">
        <f t="shared" si="0"/>
        <v>0</v>
      </c>
      <c r="F9" s="225">
        <f t="shared" si="1"/>
        <v>100000000</v>
      </c>
      <c r="G9" s="323">
        <f t="shared" si="2"/>
        <v>100</v>
      </c>
    </row>
    <row r="10" spans="1:10" x14ac:dyDescent="0.3">
      <c r="A10" s="475"/>
      <c r="B10" s="251" t="s">
        <v>43</v>
      </c>
      <c r="C10" s="225">
        <f>SUM('PER BULAN'!F144+'PER BULAN'!F65)</f>
        <v>654200000</v>
      </c>
      <c r="D10" s="225">
        <f>SUM('PER BULAN'!AT144+'PER BULAN'!AT65)</f>
        <v>654200000</v>
      </c>
      <c r="E10" s="224">
        <f t="shared" si="0"/>
        <v>100</v>
      </c>
      <c r="F10" s="225">
        <f t="shared" si="1"/>
        <v>0</v>
      </c>
      <c r="G10" s="323">
        <f t="shared" si="2"/>
        <v>0</v>
      </c>
    </row>
    <row r="11" spans="1:10" s="274" customFormat="1" x14ac:dyDescent="0.3">
      <c r="A11" s="475"/>
      <c r="B11" s="282" t="s">
        <v>546</v>
      </c>
      <c r="C11" s="225">
        <f>SUM('PER BULAN'!F184+'PER BULAN'!F187+'PER BULAN'!F190+'PER BULAN'!F193+'PER BULAN'!F197+'PER BULAN'!F200)</f>
        <v>197920000</v>
      </c>
      <c r="D11" s="225">
        <f>SUM('PER BULAN'!AT184+'PER BULAN'!AT187+'PER BULAN'!AT190+'PER BULAN'!AT193+'PER BULAN'!AT197+'PER BULAN'!AT200)</f>
        <v>136548520</v>
      </c>
      <c r="E11" s="224">
        <f t="shared" si="0"/>
        <v>68.991774454324982</v>
      </c>
      <c r="F11" s="225">
        <f t="shared" si="1"/>
        <v>61371480</v>
      </c>
      <c r="G11" s="323">
        <f t="shared" si="2"/>
        <v>31.008225545675021</v>
      </c>
      <c r="H11"/>
      <c r="J11"/>
    </row>
    <row r="12" spans="1:10" s="274" customFormat="1" x14ac:dyDescent="0.3">
      <c r="A12" s="475"/>
      <c r="B12" s="342" t="s">
        <v>5000</v>
      </c>
      <c r="C12" s="253">
        <v>6155047000</v>
      </c>
      <c r="D12" s="225">
        <v>2939763957</v>
      </c>
      <c r="E12" s="224">
        <f t="shared" si="0"/>
        <v>47.761844174382425</v>
      </c>
      <c r="F12" s="225">
        <f t="shared" si="1"/>
        <v>3215283043</v>
      </c>
      <c r="G12" s="323">
        <f t="shared" si="2"/>
        <v>52.238155825617582</v>
      </c>
      <c r="H12"/>
      <c r="J12"/>
    </row>
    <row r="13" spans="1:10" s="274" customFormat="1" x14ac:dyDescent="0.3">
      <c r="A13" s="475"/>
      <c r="B13" s="342" t="s">
        <v>5001</v>
      </c>
      <c r="C13" s="253">
        <v>323949000</v>
      </c>
      <c r="D13" s="225">
        <v>0</v>
      </c>
      <c r="E13" s="224">
        <f t="shared" si="0"/>
        <v>0</v>
      </c>
      <c r="F13" s="225">
        <f t="shared" si="1"/>
        <v>323949000</v>
      </c>
      <c r="G13" s="323">
        <f t="shared" si="2"/>
        <v>100</v>
      </c>
      <c r="H13"/>
      <c r="J13"/>
    </row>
    <row r="14" spans="1:10" s="274" customFormat="1" x14ac:dyDescent="0.3">
      <c r="A14" s="476"/>
      <c r="B14" s="247" t="s">
        <v>4653</v>
      </c>
      <c r="C14" s="250">
        <f>SUM(C7:C13)</f>
        <v>10197458000</v>
      </c>
      <c r="D14" s="250">
        <f>SUM(D7:D12)</f>
        <v>4784281337</v>
      </c>
      <c r="E14" s="249">
        <f t="shared" si="0"/>
        <v>46.916411295834706</v>
      </c>
      <c r="F14" s="250">
        <f t="shared" si="1"/>
        <v>5413176663</v>
      </c>
      <c r="G14" s="324">
        <f t="shared" si="2"/>
        <v>53.083588704165294</v>
      </c>
      <c r="H14" s="245"/>
      <c r="J14"/>
    </row>
    <row r="15" spans="1:10" s="274" customFormat="1" ht="15" customHeight="1" x14ac:dyDescent="0.3">
      <c r="A15" s="474" t="s">
        <v>542</v>
      </c>
      <c r="B15" s="282" t="s">
        <v>543</v>
      </c>
      <c r="C15" s="225">
        <f>SUM('PER BULAN'!F70+'PER BULAN'!F149+'PER BULAN'!F154+'PER BULAN'!F160)</f>
        <v>293918000</v>
      </c>
      <c r="D15" s="225">
        <f>SUM('PER BULAN'!AT70+'PER BULAN'!AT149+'PER BULAN'!AT154+'PER BULAN'!AT160)</f>
        <v>130677295</v>
      </c>
      <c r="E15" s="224">
        <f t="shared" si="0"/>
        <v>44.460460060288924</v>
      </c>
      <c r="F15" s="225">
        <f t="shared" si="1"/>
        <v>163240705</v>
      </c>
      <c r="G15" s="323">
        <f t="shared" si="2"/>
        <v>55.539539939711076</v>
      </c>
      <c r="H15"/>
      <c r="J15"/>
    </row>
    <row r="16" spans="1:10" s="274" customFormat="1" x14ac:dyDescent="0.3">
      <c r="A16" s="475"/>
      <c r="B16" s="251" t="s">
        <v>4728</v>
      </c>
      <c r="C16" s="225">
        <f>SUM('PER BULAN'!F208+'PER BULAN'!F215+'PER BULAN'!F221+'PER BULAN'!F225+'PER BULAN'!F228)</f>
        <v>6082500000</v>
      </c>
      <c r="D16" s="225">
        <f>SUM('PER BULAN'!AT208+'PER BULAN'!AT215+'PER BULAN'!AT221+'PER BULAN'!AT225+'PER BULAN'!AT228)</f>
        <v>3476713912</v>
      </c>
      <c r="E16" s="224">
        <f>D16/C16*100</f>
        <v>57.159291607069463</v>
      </c>
      <c r="F16" s="225">
        <f>C16-D16</f>
        <v>2605786088</v>
      </c>
      <c r="G16" s="323">
        <f>F16/C16*100</f>
        <v>42.840708392930537</v>
      </c>
      <c r="H16"/>
      <c r="J16"/>
    </row>
    <row r="17" spans="1:10" s="274" customFormat="1" x14ac:dyDescent="0.3">
      <c r="A17" s="475"/>
      <c r="B17" s="282" t="s">
        <v>591</v>
      </c>
      <c r="C17" s="225">
        <f>SUM('PER BULAN'!F167+'PER BULAN'!F171+'PER BULAN'!F178)</f>
        <v>169798000</v>
      </c>
      <c r="D17" s="225">
        <f>SUM('PER BULAN'!AT167+'PER BULAN'!AT171+'PER BULAN'!AT178)</f>
        <v>105796297</v>
      </c>
      <c r="E17" s="224">
        <f t="shared" ref="E17:E24" si="3">D17/C17*100</f>
        <v>62.307151438768415</v>
      </c>
      <c r="F17" s="225">
        <f t="shared" ref="F17:F24" si="4">C17-D17</f>
        <v>64001703</v>
      </c>
      <c r="G17" s="323">
        <f t="shared" ref="G17:G24" si="5">F17/C17*100</f>
        <v>37.692848561231578</v>
      </c>
      <c r="H17"/>
      <c r="J17"/>
    </row>
    <row r="18" spans="1:10" s="274" customFormat="1" x14ac:dyDescent="0.3">
      <c r="A18" s="476"/>
      <c r="B18" s="247" t="s">
        <v>4657</v>
      </c>
      <c r="C18" s="250">
        <f>SUM(C15:C17)</f>
        <v>6546216000</v>
      </c>
      <c r="D18" s="250">
        <f>SUM(D15:D17)</f>
        <v>3713187504</v>
      </c>
      <c r="E18" s="249">
        <f t="shared" si="3"/>
        <v>56.722654797825186</v>
      </c>
      <c r="F18" s="250">
        <f t="shared" si="4"/>
        <v>2833028496</v>
      </c>
      <c r="G18" s="324">
        <f t="shared" si="5"/>
        <v>43.277345202174814</v>
      </c>
      <c r="H18"/>
      <c r="I18" s="274" t="s">
        <v>4644</v>
      </c>
      <c r="J18"/>
    </row>
    <row r="19" spans="1:10" ht="15" customHeight="1" x14ac:dyDescent="0.3">
      <c r="A19" s="474" t="s">
        <v>531</v>
      </c>
      <c r="B19" s="282" t="s">
        <v>532</v>
      </c>
      <c r="C19" s="225">
        <f>SUM('PER BULAN'!F20+'PER BULAN'!F24+'PER BULAN'!F108)</f>
        <v>207606000</v>
      </c>
      <c r="D19" s="225">
        <f>SUM('PER BULAN'!AT20+'PER BULAN'!AT24+'PER BULAN'!AT108)</f>
        <v>133815590</v>
      </c>
      <c r="E19" s="224">
        <f t="shared" si="3"/>
        <v>64.456513780911919</v>
      </c>
      <c r="F19" s="225">
        <f t="shared" si="4"/>
        <v>73790410</v>
      </c>
      <c r="G19" s="323">
        <f t="shared" si="5"/>
        <v>35.543486219088081</v>
      </c>
    </row>
    <row r="20" spans="1:10" x14ac:dyDescent="0.3">
      <c r="A20" s="475"/>
      <c r="B20" s="282" t="s">
        <v>534</v>
      </c>
      <c r="C20" s="225">
        <f>SUM('PER BULAN'!F29+'PER BULAN'!F113+'PER BULAN'!F118)</f>
        <v>164763000</v>
      </c>
      <c r="D20" s="225">
        <f>SUM('PER BULAN'!AT29+'PER BULAN'!AT113+'PER BULAN'!AT118)</f>
        <v>73365500</v>
      </c>
      <c r="E20" s="224">
        <f t="shared" si="3"/>
        <v>44.527897646923151</v>
      </c>
      <c r="F20" s="225">
        <f t="shared" si="4"/>
        <v>91397500</v>
      </c>
      <c r="G20" s="323">
        <f t="shared" si="5"/>
        <v>55.472102353076849</v>
      </c>
      <c r="J20" s="276"/>
    </row>
    <row r="21" spans="1:10" x14ac:dyDescent="0.3">
      <c r="A21" s="476"/>
      <c r="B21" s="247" t="s">
        <v>4658</v>
      </c>
      <c r="C21" s="250">
        <f>SUM(C19:C20)</f>
        <v>372369000</v>
      </c>
      <c r="D21" s="250">
        <f>SUM(D19:D20)</f>
        <v>207181090</v>
      </c>
      <c r="E21" s="249">
        <f t="shared" si="3"/>
        <v>55.638651445206236</v>
      </c>
      <c r="F21" s="250">
        <f t="shared" si="4"/>
        <v>165187910</v>
      </c>
      <c r="G21" s="324">
        <f t="shared" si="5"/>
        <v>44.361348554793764</v>
      </c>
    </row>
    <row r="22" spans="1:10" ht="15" customHeight="1" x14ac:dyDescent="0.3">
      <c r="A22" s="474" t="s">
        <v>535</v>
      </c>
      <c r="B22" s="282" t="s">
        <v>536</v>
      </c>
      <c r="C22" s="225">
        <f>SUM('PER BULAN'!F33+'PER BULAN'!F41+'PER BULAN'!F48)</f>
        <v>686300000</v>
      </c>
      <c r="D22" s="225">
        <f>SUM('PER BULAN'!AT33+'PER BULAN'!AT41+'PER BULAN'!AT48)</f>
        <v>214180240</v>
      </c>
      <c r="E22" s="224">
        <f t="shared" si="3"/>
        <v>31.207961532857354</v>
      </c>
      <c r="F22" s="225">
        <f t="shared" si="4"/>
        <v>472119760</v>
      </c>
      <c r="G22" s="323">
        <f t="shared" si="5"/>
        <v>68.792038467142646</v>
      </c>
    </row>
    <row r="23" spans="1:10" x14ac:dyDescent="0.3">
      <c r="A23" s="475"/>
      <c r="B23" s="282" t="s">
        <v>538</v>
      </c>
      <c r="C23" s="225">
        <f>SUM('PER BULAN'!F54+'PER BULAN'!F102)</f>
        <v>152457000</v>
      </c>
      <c r="D23" s="225">
        <f>SUM('PER BULAN'!AT54+'PER BULAN'!AT102)</f>
        <v>88256718</v>
      </c>
      <c r="E23" s="224">
        <f t="shared" si="3"/>
        <v>57.889580668647554</v>
      </c>
      <c r="F23" s="225">
        <f t="shared" si="4"/>
        <v>64200282</v>
      </c>
      <c r="G23" s="323">
        <f t="shared" si="5"/>
        <v>42.110419331352446</v>
      </c>
    </row>
    <row r="24" spans="1:10" x14ac:dyDescent="0.3">
      <c r="A24" s="476"/>
      <c r="B24" s="247" t="s">
        <v>4659</v>
      </c>
      <c r="C24" s="250">
        <f>SUM(C22:C23)</f>
        <v>838757000</v>
      </c>
      <c r="D24" s="250">
        <f>SUM(D22:D23)</f>
        <v>302436958</v>
      </c>
      <c r="E24" s="249">
        <f t="shared" si="3"/>
        <v>36.057756656576338</v>
      </c>
      <c r="F24" s="250">
        <f t="shared" si="4"/>
        <v>536320042</v>
      </c>
      <c r="G24" s="324">
        <f t="shared" si="5"/>
        <v>63.942243343423669</v>
      </c>
    </row>
    <row r="25" spans="1:10" x14ac:dyDescent="0.3">
      <c r="A25" s="473" t="s">
        <v>4655</v>
      </c>
      <c r="B25" s="473"/>
      <c r="C25" s="232">
        <f>C14++C18+C21+C24</f>
        <v>17954800000</v>
      </c>
      <c r="D25" s="232">
        <f>D14++D18+D21+D24</f>
        <v>9007086889</v>
      </c>
      <c r="E25" s="231">
        <f>D25/C25*100</f>
        <v>50.165342354133713</v>
      </c>
      <c r="F25" s="232">
        <f>C25-D25</f>
        <v>8947713111</v>
      </c>
      <c r="G25" s="325">
        <f>F25/C25*100</f>
        <v>49.834657645866287</v>
      </c>
    </row>
    <row r="26" spans="1:10" x14ac:dyDescent="0.3">
      <c r="A26" s="473" t="s">
        <v>4656</v>
      </c>
      <c r="B26" s="473"/>
      <c r="C26" s="473"/>
      <c r="D26" s="232">
        <f>D25</f>
        <v>9007086889</v>
      </c>
      <c r="E26" s="231">
        <f>D26/C25*100</f>
        <v>50.165342354133713</v>
      </c>
      <c r="F26" s="232">
        <f>C25-D26</f>
        <v>8947713111</v>
      </c>
      <c r="G26" s="325">
        <f>F26/C25*100</f>
        <v>49.834657645866287</v>
      </c>
    </row>
    <row r="28" spans="1:10" x14ac:dyDescent="0.3">
      <c r="A28" s="260" t="s">
        <v>5150</v>
      </c>
    </row>
    <row r="29" spans="1:10" x14ac:dyDescent="0.3">
      <c r="A29" s="477" t="s">
        <v>4796</v>
      </c>
      <c r="B29" s="477" t="s">
        <v>4797</v>
      </c>
      <c r="C29" s="477" t="s">
        <v>4798</v>
      </c>
      <c r="D29" s="468" t="s">
        <v>4647</v>
      </c>
      <c r="E29" s="468"/>
      <c r="F29" s="468" t="s">
        <v>4799</v>
      </c>
      <c r="G29" s="468"/>
    </row>
    <row r="30" spans="1:10" x14ac:dyDescent="0.3">
      <c r="A30" s="478"/>
      <c r="B30" s="478"/>
      <c r="C30" s="478"/>
      <c r="D30" s="271" t="s">
        <v>4800</v>
      </c>
      <c r="E30" s="339" t="s">
        <v>4648</v>
      </c>
      <c r="F30" s="271" t="s">
        <v>4800</v>
      </c>
      <c r="G30" s="271" t="s">
        <v>4648</v>
      </c>
    </row>
    <row r="31" spans="1:10" x14ac:dyDescent="0.3">
      <c r="A31" s="261">
        <v>1</v>
      </c>
      <c r="B31" s="262" t="s">
        <v>4801</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3">
      <c r="A32" s="270"/>
      <c r="B32" s="266" t="s">
        <v>4802</v>
      </c>
      <c r="C32" s="267">
        <v>2095658000</v>
      </c>
      <c r="D32" s="267">
        <f>D8</f>
        <v>663321641</v>
      </c>
      <c r="E32" s="268">
        <f>D32/C32*100</f>
        <v>31.652189479390241</v>
      </c>
      <c r="F32" s="269">
        <f>C32-D32</f>
        <v>1432336359</v>
      </c>
      <c r="G32" s="268">
        <f>F32/C32*100</f>
        <v>68.347810520609755</v>
      </c>
      <c r="J32" s="401">
        <f>D31</f>
        <v>5413122932</v>
      </c>
    </row>
    <row r="33" spans="1:13" x14ac:dyDescent="0.3">
      <c r="A33" s="270"/>
      <c r="B33" s="266" t="s">
        <v>4807</v>
      </c>
      <c r="C33" s="267">
        <v>100000000</v>
      </c>
      <c r="D33" s="267">
        <f>D9</f>
        <v>0</v>
      </c>
      <c r="E33" s="268">
        <f>D33/C33*100</f>
        <v>0</v>
      </c>
      <c r="F33" s="269">
        <f>C33-D33</f>
        <v>100000000</v>
      </c>
      <c r="G33" s="268">
        <f>F33/C33*100</f>
        <v>100</v>
      </c>
      <c r="J33" s="402">
        <f>J31-J32</f>
        <v>0</v>
      </c>
    </row>
    <row r="34" spans="1:13" x14ac:dyDescent="0.3">
      <c r="A34" s="270"/>
      <c r="B34" s="266" t="s">
        <v>4808</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3">
      <c r="A35" s="270">
        <v>2</v>
      </c>
      <c r="B35" s="343" t="s">
        <v>5002</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3">
      <c r="A36" s="270"/>
      <c r="B36" s="266" t="s">
        <v>5003</v>
      </c>
      <c r="C36" s="267">
        <f>C12</f>
        <v>6155047000</v>
      </c>
      <c r="D36" s="267">
        <f>D12</f>
        <v>2939763957</v>
      </c>
      <c r="E36" s="268">
        <f t="shared" si="6"/>
        <v>47.761844174382425</v>
      </c>
      <c r="F36" s="269">
        <f t="shared" si="7"/>
        <v>3215283043</v>
      </c>
      <c r="G36" s="268">
        <f t="shared" si="8"/>
        <v>52.238155825617582</v>
      </c>
      <c r="J36" s="402">
        <f>J34-J35</f>
        <v>0</v>
      </c>
      <c r="M36" s="276"/>
    </row>
    <row r="37" spans="1:13" x14ac:dyDescent="0.3">
      <c r="A37" s="270"/>
      <c r="B37" s="266" t="s">
        <v>5004</v>
      </c>
      <c r="C37" s="267">
        <f>C13</f>
        <v>323949000</v>
      </c>
      <c r="D37" s="267"/>
      <c r="E37" s="268">
        <f t="shared" si="6"/>
        <v>0</v>
      </c>
      <c r="F37" s="269">
        <f t="shared" si="7"/>
        <v>323949000</v>
      </c>
      <c r="G37" s="268">
        <f t="shared" si="8"/>
        <v>100</v>
      </c>
      <c r="J37" s="225">
        <f>'SP2D ON'!O9</f>
        <v>654200000</v>
      </c>
    </row>
    <row r="38" spans="1:13" x14ac:dyDescent="0.3">
      <c r="A38" s="261">
        <v>2</v>
      </c>
      <c r="B38" s="262" t="s">
        <v>4803</v>
      </c>
      <c r="C38" s="263">
        <v>655934000</v>
      </c>
      <c r="D38" s="263">
        <f>D10</f>
        <v>654200000</v>
      </c>
      <c r="E38" s="264">
        <f>IFERROR(D38/C38*100,0)</f>
        <v>99.735644134928208</v>
      </c>
      <c r="F38" s="265">
        <f>C38-D38</f>
        <v>1734000</v>
      </c>
      <c r="G38" s="264">
        <f>IFERROR(F38/C38*100,0)</f>
        <v>0.26435586507179076</v>
      </c>
      <c r="J38" s="401">
        <f>D38</f>
        <v>654200000</v>
      </c>
    </row>
    <row r="39" spans="1:13" x14ac:dyDescent="0.3">
      <c r="A39" s="261"/>
      <c r="B39" s="262"/>
      <c r="C39" s="263"/>
      <c r="D39" s="263"/>
      <c r="E39" s="264"/>
      <c r="F39" s="265"/>
      <c r="G39" s="264"/>
      <c r="J39" s="402">
        <f>J37-J38</f>
        <v>0</v>
      </c>
    </row>
    <row r="40" spans="1:13" x14ac:dyDescent="0.3">
      <c r="A40" s="471" t="s">
        <v>611</v>
      </c>
      <c r="B40" s="472"/>
      <c r="C40" s="272">
        <f>SUM(C31,C38,C35)</f>
        <v>23342160000</v>
      </c>
      <c r="D40" s="272">
        <f>SUM(D31,D38,D35)</f>
        <v>9007086889</v>
      </c>
      <c r="E40" s="273">
        <f>D40/C40*100</f>
        <v>38.587203964843013</v>
      </c>
      <c r="F40" s="272">
        <f>SUM(F31,F38)</f>
        <v>10795841068</v>
      </c>
      <c r="G40" s="273">
        <f>F40/C40*100</f>
        <v>46.250394427936406</v>
      </c>
    </row>
    <row r="41" spans="1:13" x14ac:dyDescent="0.3">
      <c r="A41" s="471" t="s">
        <v>4804</v>
      </c>
      <c r="B41" s="472"/>
      <c r="C41" s="272"/>
      <c r="D41" s="272"/>
      <c r="E41" s="273"/>
      <c r="F41" s="272"/>
      <c r="G41" s="273"/>
      <c r="J41" s="276"/>
    </row>
    <row r="42" spans="1:13" x14ac:dyDescent="0.3">
      <c r="A42" s="471" t="s">
        <v>4805</v>
      </c>
      <c r="B42" s="472"/>
      <c r="C42" s="272">
        <f>C40</f>
        <v>23342160000</v>
      </c>
      <c r="D42" s="272">
        <f>D40-D41</f>
        <v>9007086889</v>
      </c>
      <c r="E42" s="273">
        <f>D42/C42*100</f>
        <v>38.587203964843013</v>
      </c>
      <c r="F42" s="272">
        <f>C42-D42</f>
        <v>14335073111</v>
      </c>
      <c r="G42" s="273">
        <f>F42/C42*100</f>
        <v>61.412796035156994</v>
      </c>
      <c r="J42" s="385"/>
    </row>
    <row r="43" spans="1:13" x14ac:dyDescent="0.3">
      <c r="J43" s="276"/>
    </row>
    <row r="44" spans="1:13" x14ac:dyDescent="0.3">
      <c r="A44" s="280" t="s">
        <v>4813</v>
      </c>
    </row>
    <row r="45" spans="1:13" x14ac:dyDescent="0.3">
      <c r="A45" s="252" t="s">
        <v>592</v>
      </c>
      <c r="B45" s="252" t="s">
        <v>500</v>
      </c>
      <c r="C45" s="252" t="s">
        <v>4650</v>
      </c>
      <c r="D45" s="252" t="s">
        <v>4651</v>
      </c>
      <c r="E45" s="252" t="s">
        <v>4648</v>
      </c>
      <c r="F45" s="252" t="s">
        <v>4652</v>
      </c>
      <c r="G45" s="252" t="s">
        <v>4648</v>
      </c>
    </row>
    <row r="46" spans="1:13" x14ac:dyDescent="0.3">
      <c r="A46" s="470" t="s">
        <v>576</v>
      </c>
      <c r="B46" s="220" t="s">
        <v>560</v>
      </c>
      <c r="C46" s="225">
        <f>SUM('PER BULAN'!F84+'PER BULAN'!F97+'PER BULAN'!F99)</f>
        <v>88811000</v>
      </c>
      <c r="D46" s="225">
        <f>SUM('PER BULAN'!AT84+'PER BULAN'!AT97+'PER BULAN'!AT99)</f>
        <v>73441280</v>
      </c>
      <c r="E46" s="283">
        <f>D46/C46*100</f>
        <v>82.693900530339718</v>
      </c>
      <c r="F46" s="225">
        <f t="shared" ref="F46:F58" si="9">C46-D46</f>
        <v>15369720</v>
      </c>
      <c r="G46" s="323">
        <f>F46/C46*100</f>
        <v>17.306099469660293</v>
      </c>
      <c r="J46" s="385"/>
    </row>
    <row r="47" spans="1:13" x14ac:dyDescent="0.3">
      <c r="A47" s="470"/>
      <c r="B47" s="220" t="s">
        <v>546</v>
      </c>
      <c r="C47" s="225">
        <v>0</v>
      </c>
      <c r="D47" s="225">
        <v>0</v>
      </c>
      <c r="E47" s="283">
        <f>IFERROR(D47/C47*100,0)</f>
        <v>0</v>
      </c>
      <c r="F47" s="225">
        <f t="shared" si="9"/>
        <v>0</v>
      </c>
      <c r="G47" s="326">
        <v>0</v>
      </c>
    </row>
    <row r="48" spans="1:13" x14ac:dyDescent="0.3">
      <c r="A48" s="470"/>
      <c r="B48" s="247" t="s">
        <v>4653</v>
      </c>
      <c r="C48" s="250">
        <f>SUM(C46:C47)</f>
        <v>88811000</v>
      </c>
      <c r="D48" s="250">
        <f>SUM(D46:D47)</f>
        <v>73441280</v>
      </c>
      <c r="E48" s="284">
        <f>D48/C48*100</f>
        <v>82.693900530339718</v>
      </c>
      <c r="F48" s="250">
        <f t="shared" si="9"/>
        <v>15369720</v>
      </c>
      <c r="G48" s="324">
        <f>F48/C48*100</f>
        <v>17.306099469660293</v>
      </c>
    </row>
    <row r="49" spans="1:7" x14ac:dyDescent="0.3">
      <c r="A49" s="470" t="s">
        <v>542</v>
      </c>
      <c r="B49" s="220" t="s">
        <v>543</v>
      </c>
      <c r="C49" s="225">
        <f>SUM('PER BULAN'!F226)</f>
        <v>0</v>
      </c>
      <c r="D49" s="225">
        <v>0</v>
      </c>
      <c r="E49" s="283" t="e">
        <f>D49/C49*100</f>
        <v>#DIV/0!</v>
      </c>
      <c r="F49" s="225">
        <f t="shared" si="9"/>
        <v>0</v>
      </c>
      <c r="G49" s="326">
        <v>0</v>
      </c>
    </row>
    <row r="50" spans="1:7" x14ac:dyDescent="0.3">
      <c r="A50" s="470"/>
      <c r="B50" s="220" t="s">
        <v>591</v>
      </c>
      <c r="C50" s="225">
        <v>0</v>
      </c>
      <c r="D50" s="225">
        <v>0</v>
      </c>
      <c r="E50" s="283">
        <f>IFERROR(D50/C50*100,0)</f>
        <v>0</v>
      </c>
      <c r="F50" s="225">
        <f t="shared" si="9"/>
        <v>0</v>
      </c>
      <c r="G50" s="326">
        <v>0</v>
      </c>
    </row>
    <row r="51" spans="1:7" x14ac:dyDescent="0.3">
      <c r="A51" s="470"/>
      <c r="B51" s="247" t="s">
        <v>4657</v>
      </c>
      <c r="C51" s="250">
        <f>SUM(C49:C50)</f>
        <v>0</v>
      </c>
      <c r="D51" s="250">
        <f>SUM(D49:D50)</f>
        <v>0</v>
      </c>
      <c r="E51" s="285" t="e">
        <f>D51/C51*100</f>
        <v>#DIV/0!</v>
      </c>
      <c r="F51" s="250">
        <f t="shared" si="9"/>
        <v>0</v>
      </c>
      <c r="G51" s="324" t="e">
        <f>F51/C51*100</f>
        <v>#DIV/0!</v>
      </c>
    </row>
    <row r="52" spans="1:7" x14ac:dyDescent="0.3">
      <c r="A52" s="470" t="s">
        <v>531</v>
      </c>
      <c r="B52" s="220" t="s">
        <v>532</v>
      </c>
      <c r="C52" s="253">
        <v>0</v>
      </c>
      <c r="D52" s="225">
        <v>0</v>
      </c>
      <c r="E52" s="283">
        <f>IFERROR(D52/C52*100,0)</f>
        <v>0</v>
      </c>
      <c r="F52" s="225">
        <f t="shared" si="9"/>
        <v>0</v>
      </c>
      <c r="G52" s="326">
        <f>IFERROR(F52/C52*100,0)</f>
        <v>0</v>
      </c>
    </row>
    <row r="53" spans="1:7" x14ac:dyDescent="0.3">
      <c r="A53" s="470"/>
      <c r="B53" s="220" t="s">
        <v>534</v>
      </c>
      <c r="C53" s="225">
        <v>0</v>
      </c>
      <c r="D53" s="225">
        <v>0</v>
      </c>
      <c r="E53" s="283">
        <f>IFERROR(D53/C53*100,0)</f>
        <v>0</v>
      </c>
      <c r="F53" s="225">
        <f t="shared" si="9"/>
        <v>0</v>
      </c>
      <c r="G53" s="326">
        <f>IFERROR(F53/C53*100,0)</f>
        <v>0</v>
      </c>
    </row>
    <row r="54" spans="1:7" x14ac:dyDescent="0.3">
      <c r="A54" s="470"/>
      <c r="B54" s="247" t="s">
        <v>4658</v>
      </c>
      <c r="C54" s="250">
        <f>SUM(C52:C53)</f>
        <v>0</v>
      </c>
      <c r="D54" s="250">
        <f>SUM(D52:D53)</f>
        <v>0</v>
      </c>
      <c r="E54" s="284">
        <v>0</v>
      </c>
      <c r="F54" s="250">
        <f t="shared" si="9"/>
        <v>0</v>
      </c>
      <c r="G54" s="327">
        <f>IFERROR(F54/C54*100,0)</f>
        <v>0</v>
      </c>
    </row>
    <row r="55" spans="1:7" x14ac:dyDescent="0.3">
      <c r="A55" s="470" t="s">
        <v>535</v>
      </c>
      <c r="B55" s="220" t="s">
        <v>536</v>
      </c>
      <c r="C55" s="225">
        <f>SUM('PER BULAN'!F38+'PER BULAN'!F46)</f>
        <v>8000000</v>
      </c>
      <c r="D55" s="225">
        <v>0</v>
      </c>
      <c r="E55" s="283">
        <f>D55/C55*100</f>
        <v>0</v>
      </c>
      <c r="F55" s="225">
        <f t="shared" si="9"/>
        <v>8000000</v>
      </c>
      <c r="G55" s="323">
        <f>F55/C55*100</f>
        <v>100</v>
      </c>
    </row>
    <row r="56" spans="1:7" x14ac:dyDescent="0.3">
      <c r="A56" s="470"/>
      <c r="B56" s="220" t="s">
        <v>538</v>
      </c>
      <c r="C56" s="225">
        <f>SUM('PER BULAN'!F58+'PER BULAN'!F106)</f>
        <v>5000000</v>
      </c>
      <c r="D56" s="225">
        <v>0</v>
      </c>
      <c r="E56" s="283">
        <f>D56/C56*100</f>
        <v>0</v>
      </c>
      <c r="F56" s="225">
        <f t="shared" si="9"/>
        <v>5000000</v>
      </c>
      <c r="G56" s="323">
        <f>F56/C56*100</f>
        <v>100</v>
      </c>
    </row>
    <row r="57" spans="1:7" x14ac:dyDescent="0.3">
      <c r="A57" s="470"/>
      <c r="B57" s="247" t="s">
        <v>4659</v>
      </c>
      <c r="C57" s="250">
        <f>SUM(C55:C56)</f>
        <v>13000000</v>
      </c>
      <c r="D57" s="250">
        <f>SUM(D55:D56)</f>
        <v>0</v>
      </c>
      <c r="E57" s="285">
        <f>D57/C57*100</f>
        <v>0</v>
      </c>
      <c r="F57" s="250">
        <f t="shared" si="9"/>
        <v>13000000</v>
      </c>
      <c r="G57" s="324">
        <f>F57/C57*100</f>
        <v>100</v>
      </c>
    </row>
    <row r="58" spans="1:7" x14ac:dyDescent="0.3">
      <c r="A58" s="473" t="s">
        <v>4655</v>
      </c>
      <c r="B58" s="473"/>
      <c r="C58" s="232">
        <f>C48+C51+C54+C57</f>
        <v>101811000</v>
      </c>
      <c r="D58" s="232">
        <f>D48+D51+D54+D57</f>
        <v>73441280</v>
      </c>
      <c r="E58" s="286">
        <f>D58/C58*100</f>
        <v>72.134916659300075</v>
      </c>
      <c r="F58" s="232">
        <f t="shared" si="9"/>
        <v>28369720</v>
      </c>
      <c r="G58" s="325">
        <f>F58/C58*100</f>
        <v>27.865083340699925</v>
      </c>
    </row>
    <row r="59" spans="1:7" x14ac:dyDescent="0.3">
      <c r="A59" s="473" t="s">
        <v>4656</v>
      </c>
      <c r="B59" s="473"/>
      <c r="C59" s="473"/>
      <c r="D59" s="232">
        <f>D58</f>
        <v>73441280</v>
      </c>
      <c r="E59" s="286">
        <f>E58</f>
        <v>72.134916659300075</v>
      </c>
      <c r="F59" s="232">
        <f>F58</f>
        <v>28369720</v>
      </c>
      <c r="G59" s="325">
        <f>G58</f>
        <v>27.865083340699925</v>
      </c>
    </row>
  </sheetData>
  <mergeCells count="24">
    <mergeCell ref="A19:A21"/>
    <mergeCell ref="A1:G1"/>
    <mergeCell ref="A2:G2"/>
    <mergeCell ref="A3:G3"/>
    <mergeCell ref="A7:A14"/>
    <mergeCell ref="A15:A18"/>
    <mergeCell ref="A4:G4"/>
    <mergeCell ref="A46:A48"/>
    <mergeCell ref="A22:A24"/>
    <mergeCell ref="A25:B25"/>
    <mergeCell ref="A26:C26"/>
    <mergeCell ref="A29:A30"/>
    <mergeCell ref="B29:B30"/>
    <mergeCell ref="C29:C30"/>
    <mergeCell ref="D29:E29"/>
    <mergeCell ref="F29:G29"/>
    <mergeCell ref="A40:B40"/>
    <mergeCell ref="A41:B41"/>
    <mergeCell ref="A42:B42"/>
    <mergeCell ref="A49:A51"/>
    <mergeCell ref="A52:A54"/>
    <mergeCell ref="A55:A57"/>
    <mergeCell ref="A58:B58"/>
    <mergeCell ref="A59:C59"/>
  </mergeCells>
  <pageMargins left="0.7" right="0.7" top="0.75" bottom="0.75" header="0.3" footer="0.3"/>
  <pageSetup paperSize="9" scale="62" fitToHeight="0" orientation="portrait" horizontalDpi="0" verticalDpi="0" r:id="rId1"/>
  <ignoredErrors>
    <ignoredError sqref="E47:E51" formula="1"/>
  </ignoredError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S19" sqref="S19"/>
    </sheetView>
  </sheetViews>
  <sheetFormatPr defaultRowHeight="14.4" x14ac:dyDescent="0.3"/>
  <cols>
    <col min="16" max="16" width="7" customWidth="1"/>
    <col min="17" max="17" width="5.5546875" customWidth="1"/>
  </cols>
  <sheetData/>
  <pageMargins left="0.7" right="0.7" top="0.75" bottom="0.75" header="0.3" footer="0.3"/>
  <pageSetup paperSize="9" scale="68" fitToHeight="0"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dimension ref="A1:Q276"/>
  <sheetViews>
    <sheetView topLeftCell="B211" workbookViewId="0">
      <selection activeCell="F225" sqref="F225"/>
    </sheetView>
  </sheetViews>
  <sheetFormatPr defaultRowHeight="14.4" x14ac:dyDescent="0.3"/>
  <cols>
    <col min="1" max="1" width="14.44140625" bestFit="1" customWidth="1"/>
    <col min="2" max="2" width="12.88671875" bestFit="1" customWidth="1"/>
    <col min="3" max="3" width="14.88671875" bestFit="1" customWidth="1"/>
    <col min="4" max="4" width="15.88671875" bestFit="1" customWidth="1"/>
    <col min="5" max="5" width="14.21875" bestFit="1" customWidth="1"/>
    <col min="6" max="6" width="80.88671875" bestFit="1" customWidth="1"/>
    <col min="7" max="7" width="16.88671875" bestFit="1" customWidth="1"/>
    <col min="8" max="8" width="17.77734375" bestFit="1" customWidth="1"/>
    <col min="9" max="9" width="16.44140625" bestFit="1" customWidth="1"/>
    <col min="10" max="10" width="16.2187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x14ac:dyDescent="0.3">
      <c r="A1" t="s">
        <v>5427</v>
      </c>
      <c r="B1" t="s">
        <v>5428</v>
      </c>
      <c r="C1" t="s">
        <v>5429</v>
      </c>
      <c r="D1" t="s">
        <v>5430</v>
      </c>
      <c r="E1" t="s">
        <v>5431</v>
      </c>
      <c r="F1" t="s">
        <v>5432</v>
      </c>
      <c r="G1" t="s">
        <v>5433</v>
      </c>
      <c r="H1" t="s">
        <v>5434</v>
      </c>
      <c r="I1" t="s">
        <v>5435</v>
      </c>
      <c r="J1" t="s">
        <v>5436</v>
      </c>
      <c r="K1" t="s">
        <v>5437</v>
      </c>
      <c r="L1" t="s">
        <v>4652</v>
      </c>
      <c r="M1" t="s">
        <v>5438</v>
      </c>
      <c r="N1" t="s">
        <v>5439</v>
      </c>
      <c r="O1" t="s">
        <v>5440</v>
      </c>
      <c r="P1" t="s">
        <v>499</v>
      </c>
      <c r="Q1" t="s">
        <v>5441</v>
      </c>
    </row>
    <row r="2" spans="1:17" x14ac:dyDescent="0.3">
      <c r="A2" t="s">
        <v>495</v>
      </c>
      <c r="B2" t="s">
        <v>3476</v>
      </c>
      <c r="C2" t="s">
        <v>833</v>
      </c>
      <c r="D2" t="s">
        <v>5442</v>
      </c>
      <c r="E2" t="s">
        <v>537</v>
      </c>
      <c r="F2" t="s">
        <v>5443</v>
      </c>
      <c r="G2">
        <v>18000000</v>
      </c>
      <c r="H2">
        <v>1454000</v>
      </c>
      <c r="I2">
        <v>1447000</v>
      </c>
      <c r="J2">
        <v>2901000</v>
      </c>
      <c r="K2" t="s">
        <v>5444</v>
      </c>
      <c r="L2">
        <v>15099000</v>
      </c>
      <c r="M2" t="s">
        <v>5445</v>
      </c>
      <c r="N2" t="s">
        <v>5446</v>
      </c>
      <c r="O2" t="s">
        <v>3505</v>
      </c>
      <c r="P2" t="s">
        <v>3514</v>
      </c>
    </row>
    <row r="3" spans="1:17" x14ac:dyDescent="0.3">
      <c r="A3" t="s">
        <v>495</v>
      </c>
      <c r="B3" t="s">
        <v>3476</v>
      </c>
      <c r="C3" t="s">
        <v>833</v>
      </c>
      <c r="D3" t="s">
        <v>5442</v>
      </c>
      <c r="E3" t="s">
        <v>533</v>
      </c>
      <c r="F3" t="s">
        <v>5447</v>
      </c>
      <c r="G3">
        <v>3800445000</v>
      </c>
      <c r="H3">
        <v>3643075356</v>
      </c>
      <c r="I3">
        <v>154545850</v>
      </c>
      <c r="J3">
        <v>3797621206</v>
      </c>
      <c r="K3" t="s">
        <v>5448</v>
      </c>
      <c r="L3">
        <v>2823794</v>
      </c>
      <c r="M3" t="s">
        <v>5449</v>
      </c>
      <c r="N3" t="s">
        <v>5450</v>
      </c>
      <c r="O3" t="s">
        <v>3505</v>
      </c>
      <c r="P3" t="s">
        <v>3509</v>
      </c>
    </row>
    <row r="4" spans="1:17" x14ac:dyDescent="0.3">
      <c r="A4" t="s">
        <v>495</v>
      </c>
      <c r="B4" t="s">
        <v>3476</v>
      </c>
      <c r="C4" t="s">
        <v>833</v>
      </c>
      <c r="D4" t="s">
        <v>5442</v>
      </c>
      <c r="E4" t="s">
        <v>503</v>
      </c>
      <c r="F4" t="s">
        <v>5451</v>
      </c>
      <c r="G4">
        <v>18000000</v>
      </c>
      <c r="H4">
        <v>1475000</v>
      </c>
      <c r="I4">
        <v>1442500</v>
      </c>
      <c r="J4">
        <v>2917500</v>
      </c>
      <c r="K4" t="s">
        <v>5452</v>
      </c>
      <c r="L4">
        <v>15082500</v>
      </c>
      <c r="M4" t="s">
        <v>5453</v>
      </c>
      <c r="N4" t="s">
        <v>5454</v>
      </c>
      <c r="O4" t="s">
        <v>3505</v>
      </c>
      <c r="P4" t="s">
        <v>3506</v>
      </c>
    </row>
    <row r="5" spans="1:17" x14ac:dyDescent="0.3">
      <c r="A5" t="s">
        <v>495</v>
      </c>
      <c r="B5" t="s">
        <v>3476</v>
      </c>
      <c r="C5" t="s">
        <v>833</v>
      </c>
      <c r="D5" t="s">
        <v>5455</v>
      </c>
      <c r="E5" t="s">
        <v>513</v>
      </c>
      <c r="F5" t="s">
        <v>5456</v>
      </c>
      <c r="G5">
        <v>78000000</v>
      </c>
      <c r="H5">
        <v>5900000</v>
      </c>
      <c r="I5">
        <v>14635000</v>
      </c>
      <c r="J5">
        <v>20535000</v>
      </c>
      <c r="K5" t="s">
        <v>5457</v>
      </c>
      <c r="L5">
        <v>57465000</v>
      </c>
      <c r="M5" t="s">
        <v>5458</v>
      </c>
      <c r="N5" t="s">
        <v>5459</v>
      </c>
      <c r="O5" t="s">
        <v>3479</v>
      </c>
      <c r="P5" t="s">
        <v>3500</v>
      </c>
    </row>
    <row r="6" spans="1:17" x14ac:dyDescent="0.3">
      <c r="A6" t="s">
        <v>494</v>
      </c>
      <c r="B6" t="s">
        <v>3105</v>
      </c>
      <c r="C6" t="s">
        <v>833</v>
      </c>
      <c r="D6" t="s">
        <v>5460</v>
      </c>
      <c r="E6" t="s">
        <v>513</v>
      </c>
      <c r="F6" t="s">
        <v>5461</v>
      </c>
      <c r="G6">
        <v>76033000</v>
      </c>
      <c r="H6">
        <v>52700000</v>
      </c>
      <c r="I6">
        <v>2030000</v>
      </c>
      <c r="J6">
        <v>54730000</v>
      </c>
      <c r="K6" t="s">
        <v>5462</v>
      </c>
      <c r="L6">
        <v>21303000</v>
      </c>
      <c r="M6" t="s">
        <v>5463</v>
      </c>
      <c r="N6" t="s">
        <v>5464</v>
      </c>
      <c r="O6" t="s">
        <v>3377</v>
      </c>
      <c r="P6" t="s">
        <v>3384</v>
      </c>
    </row>
    <row r="7" spans="1:17" x14ac:dyDescent="0.3">
      <c r="A7" t="s">
        <v>494</v>
      </c>
      <c r="B7" t="s">
        <v>2785</v>
      </c>
      <c r="C7" t="s">
        <v>833</v>
      </c>
      <c r="D7" t="s">
        <v>5442</v>
      </c>
      <c r="E7" t="s">
        <v>513</v>
      </c>
      <c r="F7" t="s">
        <v>5465</v>
      </c>
      <c r="G7">
        <v>60415000</v>
      </c>
      <c r="H7">
        <v>26021155</v>
      </c>
      <c r="I7">
        <v>34393100</v>
      </c>
      <c r="J7">
        <v>60414255</v>
      </c>
      <c r="K7" t="s">
        <v>5466</v>
      </c>
      <c r="L7">
        <v>745</v>
      </c>
      <c r="M7" t="s">
        <v>5467</v>
      </c>
      <c r="N7" t="s">
        <v>5468</v>
      </c>
      <c r="O7" t="s">
        <v>3067</v>
      </c>
      <c r="P7" t="s">
        <v>3084</v>
      </c>
    </row>
    <row r="8" spans="1:17" x14ac:dyDescent="0.3">
      <c r="A8" t="s">
        <v>494</v>
      </c>
      <c r="B8" t="s">
        <v>2785</v>
      </c>
      <c r="C8" t="s">
        <v>833</v>
      </c>
      <c r="D8" t="s">
        <v>5442</v>
      </c>
      <c r="E8" t="s">
        <v>503</v>
      </c>
      <c r="F8" t="s">
        <v>5469</v>
      </c>
      <c r="G8">
        <v>3525000</v>
      </c>
      <c r="H8">
        <v>880000</v>
      </c>
      <c r="I8">
        <v>2640000</v>
      </c>
      <c r="J8">
        <v>3520000</v>
      </c>
      <c r="K8" t="s">
        <v>5470</v>
      </c>
      <c r="L8">
        <v>5000</v>
      </c>
      <c r="M8" t="s">
        <v>5471</v>
      </c>
      <c r="N8" t="s">
        <v>5472</v>
      </c>
      <c r="O8" t="s">
        <v>3067</v>
      </c>
      <c r="P8" t="s">
        <v>3068</v>
      </c>
    </row>
    <row r="9" spans="1:17" x14ac:dyDescent="0.3">
      <c r="A9" t="s">
        <v>494</v>
      </c>
      <c r="B9" t="s">
        <v>1700</v>
      </c>
      <c r="C9" t="s">
        <v>501</v>
      </c>
      <c r="D9" t="s">
        <v>6250</v>
      </c>
      <c r="E9" t="s">
        <v>556</v>
      </c>
      <c r="F9" t="s">
        <v>6251</v>
      </c>
      <c r="G9">
        <v>2635488000</v>
      </c>
      <c r="H9">
        <v>1082579247</v>
      </c>
      <c r="I9">
        <v>242093442</v>
      </c>
      <c r="J9">
        <v>1324672689</v>
      </c>
      <c r="K9" t="s">
        <v>6252</v>
      </c>
      <c r="L9">
        <v>1310815311</v>
      </c>
      <c r="M9" t="s">
        <v>6253</v>
      </c>
      <c r="N9" t="s">
        <v>6254</v>
      </c>
      <c r="O9" t="s">
        <v>1806</v>
      </c>
      <c r="P9" t="s">
        <v>1845</v>
      </c>
    </row>
    <row r="10" spans="1:17" x14ac:dyDescent="0.3">
      <c r="A10" t="s">
        <v>494</v>
      </c>
      <c r="B10" t="s">
        <v>1700</v>
      </c>
      <c r="C10" t="s">
        <v>501</v>
      </c>
      <c r="D10" t="s">
        <v>6250</v>
      </c>
      <c r="E10" t="s">
        <v>555</v>
      </c>
      <c r="F10" t="s">
        <v>6255</v>
      </c>
      <c r="G10">
        <v>75605000</v>
      </c>
      <c r="H10">
        <v>33430000</v>
      </c>
      <c r="I10">
        <v>5355000</v>
      </c>
      <c r="J10">
        <v>38785000</v>
      </c>
      <c r="K10" t="s">
        <v>6256</v>
      </c>
      <c r="L10">
        <v>36820000</v>
      </c>
      <c r="M10" t="s">
        <v>6257</v>
      </c>
      <c r="N10" t="s">
        <v>6258</v>
      </c>
      <c r="O10" t="s">
        <v>1806</v>
      </c>
      <c r="P10" t="s">
        <v>1841</v>
      </c>
    </row>
    <row r="11" spans="1:17" x14ac:dyDescent="0.3">
      <c r="A11" t="s">
        <v>494</v>
      </c>
      <c r="B11" t="s">
        <v>1700</v>
      </c>
      <c r="C11" t="s">
        <v>501</v>
      </c>
      <c r="D11" t="s">
        <v>6250</v>
      </c>
      <c r="E11" t="s">
        <v>554</v>
      </c>
      <c r="F11" t="s">
        <v>6259</v>
      </c>
      <c r="G11">
        <v>379379000</v>
      </c>
      <c r="H11">
        <v>109729000</v>
      </c>
      <c r="I11">
        <v>16698000</v>
      </c>
      <c r="J11">
        <v>126427000</v>
      </c>
      <c r="K11" t="s">
        <v>6260</v>
      </c>
      <c r="L11">
        <v>252952000</v>
      </c>
      <c r="M11" t="s">
        <v>6261</v>
      </c>
      <c r="N11" t="s">
        <v>6262</v>
      </c>
      <c r="O11" t="s">
        <v>1806</v>
      </c>
      <c r="P11" t="s">
        <v>1839</v>
      </c>
    </row>
    <row r="12" spans="1:17" x14ac:dyDescent="0.3">
      <c r="A12" t="s">
        <v>494</v>
      </c>
      <c r="B12" t="s">
        <v>1700</v>
      </c>
      <c r="C12" t="s">
        <v>501</v>
      </c>
      <c r="D12" t="s">
        <v>6250</v>
      </c>
      <c r="E12" t="s">
        <v>553</v>
      </c>
      <c r="F12" t="s">
        <v>6263</v>
      </c>
      <c r="G12">
        <v>130333000</v>
      </c>
      <c r="H12">
        <v>62136360</v>
      </c>
      <c r="I12">
        <v>8980080</v>
      </c>
      <c r="J12">
        <v>71116440</v>
      </c>
      <c r="K12" t="s">
        <v>6264</v>
      </c>
      <c r="L12">
        <v>59216560</v>
      </c>
      <c r="M12" t="s">
        <v>6265</v>
      </c>
      <c r="N12" t="s">
        <v>6266</v>
      </c>
      <c r="O12" t="s">
        <v>1806</v>
      </c>
      <c r="P12" t="s">
        <v>1837</v>
      </c>
    </row>
    <row r="13" spans="1:17" x14ac:dyDescent="0.3">
      <c r="A13" t="s">
        <v>494</v>
      </c>
      <c r="B13" t="s">
        <v>1700</v>
      </c>
      <c r="C13" t="s">
        <v>501</v>
      </c>
      <c r="D13" t="s">
        <v>6250</v>
      </c>
      <c r="E13" t="s">
        <v>552</v>
      </c>
      <c r="F13" t="s">
        <v>6267</v>
      </c>
      <c r="G13">
        <v>6407000</v>
      </c>
      <c r="H13">
        <v>1768744</v>
      </c>
      <c r="I13">
        <v>273209</v>
      </c>
      <c r="J13">
        <v>2041953</v>
      </c>
      <c r="K13" t="s">
        <v>6268</v>
      </c>
      <c r="L13">
        <v>4365047</v>
      </c>
      <c r="M13" t="s">
        <v>6269</v>
      </c>
      <c r="N13" t="s">
        <v>6270</v>
      </c>
      <c r="O13" t="s">
        <v>1806</v>
      </c>
      <c r="P13" t="s">
        <v>1833</v>
      </c>
    </row>
    <row r="14" spans="1:17" x14ac:dyDescent="0.3">
      <c r="A14" t="s">
        <v>494</v>
      </c>
      <c r="B14" t="s">
        <v>1700</v>
      </c>
      <c r="C14" t="s">
        <v>501</v>
      </c>
      <c r="D14" t="s">
        <v>6250</v>
      </c>
      <c r="E14" t="s">
        <v>551</v>
      </c>
      <c r="F14" t="s">
        <v>6271</v>
      </c>
      <c r="G14">
        <v>44180000</v>
      </c>
      <c r="H14">
        <v>28995000</v>
      </c>
      <c r="I14">
        <v>5287000</v>
      </c>
      <c r="J14">
        <v>34282000</v>
      </c>
      <c r="K14" t="s">
        <v>6272</v>
      </c>
      <c r="L14">
        <v>9898000</v>
      </c>
      <c r="M14" t="s">
        <v>6273</v>
      </c>
      <c r="N14" t="s">
        <v>6274</v>
      </c>
      <c r="O14" t="s">
        <v>1806</v>
      </c>
      <c r="P14" t="s">
        <v>1829</v>
      </c>
    </row>
    <row r="15" spans="1:17" x14ac:dyDescent="0.3">
      <c r="A15" t="s">
        <v>494</v>
      </c>
      <c r="B15" t="s">
        <v>1700</v>
      </c>
      <c r="C15" t="s">
        <v>501</v>
      </c>
      <c r="D15" t="s">
        <v>6250</v>
      </c>
      <c r="E15" t="s">
        <v>550</v>
      </c>
      <c r="F15" t="s">
        <v>6275</v>
      </c>
      <c r="G15">
        <v>133860000</v>
      </c>
      <c r="H15">
        <v>58380000</v>
      </c>
      <c r="I15">
        <v>9730000</v>
      </c>
      <c r="J15">
        <v>68110000</v>
      </c>
      <c r="K15" t="s">
        <v>6276</v>
      </c>
      <c r="L15">
        <v>65750000</v>
      </c>
      <c r="M15" t="s">
        <v>6277</v>
      </c>
      <c r="N15" t="s">
        <v>6278</v>
      </c>
      <c r="O15" t="s">
        <v>1806</v>
      </c>
      <c r="P15" t="s">
        <v>1825</v>
      </c>
    </row>
    <row r="16" spans="1:17" x14ac:dyDescent="0.3">
      <c r="A16" t="s">
        <v>494</v>
      </c>
      <c r="B16" t="s">
        <v>1700</v>
      </c>
      <c r="C16" t="s">
        <v>501</v>
      </c>
      <c r="D16" t="s">
        <v>6250</v>
      </c>
      <c r="E16" t="s">
        <v>549</v>
      </c>
      <c r="F16" t="s">
        <v>6279</v>
      </c>
      <c r="G16">
        <v>3282000</v>
      </c>
      <c r="H16">
        <v>3249442</v>
      </c>
      <c r="I16">
        <v>3392150</v>
      </c>
      <c r="J16">
        <v>6641592</v>
      </c>
      <c r="K16" t="s">
        <v>6280</v>
      </c>
      <c r="L16">
        <v>-3359592</v>
      </c>
      <c r="M16" t="s">
        <v>6281</v>
      </c>
      <c r="N16" t="s">
        <v>6282</v>
      </c>
      <c r="O16" t="s">
        <v>1806</v>
      </c>
      <c r="P16" t="s">
        <v>1821</v>
      </c>
    </row>
    <row r="17" spans="1:16" x14ac:dyDescent="0.3">
      <c r="A17" t="s">
        <v>494</v>
      </c>
      <c r="B17" t="s">
        <v>1700</v>
      </c>
      <c r="C17" t="s">
        <v>501</v>
      </c>
      <c r="D17" t="s">
        <v>6250</v>
      </c>
      <c r="E17" t="s">
        <v>548</v>
      </c>
      <c r="F17" t="s">
        <v>6283</v>
      </c>
      <c r="G17">
        <v>147267000</v>
      </c>
      <c r="H17">
        <v>66096160</v>
      </c>
      <c r="I17">
        <v>10726270</v>
      </c>
      <c r="J17">
        <v>76822430</v>
      </c>
      <c r="K17" t="s">
        <v>6284</v>
      </c>
      <c r="L17">
        <v>70444570</v>
      </c>
      <c r="M17" t="s">
        <v>6285</v>
      </c>
      <c r="N17" t="s">
        <v>6286</v>
      </c>
      <c r="O17" t="s">
        <v>1806</v>
      </c>
      <c r="P17" t="s">
        <v>1817</v>
      </c>
    </row>
    <row r="18" spans="1:16" x14ac:dyDescent="0.3">
      <c r="A18" t="s">
        <v>494</v>
      </c>
      <c r="B18" t="s">
        <v>1700</v>
      </c>
      <c r="C18" t="s">
        <v>501</v>
      </c>
      <c r="D18" t="s">
        <v>6250</v>
      </c>
      <c r="E18" t="s">
        <v>547</v>
      </c>
      <c r="F18" t="s">
        <v>6287</v>
      </c>
      <c r="G18">
        <v>32000</v>
      </c>
      <c r="H18">
        <v>15634</v>
      </c>
      <c r="I18">
        <v>2379</v>
      </c>
      <c r="J18">
        <v>18013</v>
      </c>
      <c r="K18" t="s">
        <v>6288</v>
      </c>
      <c r="L18">
        <v>13987</v>
      </c>
      <c r="M18" t="s">
        <v>6289</v>
      </c>
      <c r="N18" t="s">
        <v>6290</v>
      </c>
      <c r="O18" t="s">
        <v>1806</v>
      </c>
      <c r="P18" t="s">
        <v>1813</v>
      </c>
    </row>
    <row r="19" spans="1:16" x14ac:dyDescent="0.3">
      <c r="A19" t="s">
        <v>494</v>
      </c>
      <c r="B19" t="s">
        <v>1700</v>
      </c>
      <c r="C19" t="s">
        <v>501</v>
      </c>
      <c r="D19" t="s">
        <v>6250</v>
      </c>
      <c r="E19" t="s">
        <v>544</v>
      </c>
      <c r="F19" t="s">
        <v>6291</v>
      </c>
      <c r="G19">
        <v>2123477000</v>
      </c>
      <c r="H19">
        <v>1014827240</v>
      </c>
      <c r="I19">
        <v>166352500</v>
      </c>
      <c r="J19">
        <v>1181179740</v>
      </c>
      <c r="K19" t="s">
        <v>6292</v>
      </c>
      <c r="L19">
        <v>942297260</v>
      </c>
      <c r="M19" t="s">
        <v>6293</v>
      </c>
      <c r="N19" t="s">
        <v>6294</v>
      </c>
      <c r="O19" t="s">
        <v>1806</v>
      </c>
      <c r="P19" t="s">
        <v>1809</v>
      </c>
    </row>
    <row r="20" spans="1:16" x14ac:dyDescent="0.3">
      <c r="A20" t="s">
        <v>494</v>
      </c>
      <c r="B20" t="s">
        <v>1269</v>
      </c>
      <c r="C20" t="s">
        <v>833</v>
      </c>
      <c r="D20" t="s">
        <v>5473</v>
      </c>
      <c r="E20" t="s">
        <v>513</v>
      </c>
      <c r="F20" t="s">
        <v>5474</v>
      </c>
      <c r="G20">
        <v>60764000</v>
      </c>
      <c r="H20">
        <v>58653672</v>
      </c>
      <c r="I20">
        <v>2110000</v>
      </c>
      <c r="J20">
        <v>60763672</v>
      </c>
      <c r="K20" t="s">
        <v>5475</v>
      </c>
      <c r="L20">
        <v>328</v>
      </c>
      <c r="M20" t="s">
        <v>5476</v>
      </c>
      <c r="N20" t="s">
        <v>5477</v>
      </c>
      <c r="O20" t="s">
        <v>1490</v>
      </c>
      <c r="P20" t="s">
        <v>1501</v>
      </c>
    </row>
    <row r="21" spans="1:16" x14ac:dyDescent="0.3">
      <c r="A21" t="s">
        <v>494</v>
      </c>
      <c r="B21" t="s">
        <v>1269</v>
      </c>
      <c r="C21" t="s">
        <v>833</v>
      </c>
      <c r="D21" t="s">
        <v>5460</v>
      </c>
      <c r="E21" t="s">
        <v>513</v>
      </c>
      <c r="F21" t="s">
        <v>5478</v>
      </c>
      <c r="G21">
        <v>9059000</v>
      </c>
      <c r="H21">
        <v>1650000</v>
      </c>
      <c r="I21">
        <v>3700700</v>
      </c>
      <c r="J21">
        <v>5350700</v>
      </c>
      <c r="K21" t="s">
        <v>5479</v>
      </c>
      <c r="L21">
        <v>3708300</v>
      </c>
      <c r="M21" t="s">
        <v>5480</v>
      </c>
      <c r="N21" t="s">
        <v>5481</v>
      </c>
      <c r="O21" t="s">
        <v>1469</v>
      </c>
      <c r="P21" t="s">
        <v>1487</v>
      </c>
    </row>
    <row r="22" spans="1:16" x14ac:dyDescent="0.3">
      <c r="A22" t="s">
        <v>419</v>
      </c>
      <c r="B22" t="s">
        <v>616</v>
      </c>
      <c r="C22" t="s">
        <v>523</v>
      </c>
      <c r="D22" t="s">
        <v>5482</v>
      </c>
      <c r="E22" t="s">
        <v>513</v>
      </c>
      <c r="F22" t="s">
        <v>5483</v>
      </c>
      <c r="G22">
        <v>138160000</v>
      </c>
      <c r="H22">
        <v>82621650</v>
      </c>
      <c r="I22">
        <v>48815040</v>
      </c>
      <c r="J22">
        <v>131436690</v>
      </c>
      <c r="K22" t="s">
        <v>5484</v>
      </c>
      <c r="L22">
        <v>6723310</v>
      </c>
      <c r="M22" t="s">
        <v>5485</v>
      </c>
      <c r="N22" t="s">
        <v>5486</v>
      </c>
      <c r="O22" t="s">
        <v>469</v>
      </c>
      <c r="P22" t="s">
        <v>482</v>
      </c>
    </row>
    <row r="23" spans="1:16" x14ac:dyDescent="0.3">
      <c r="A23" t="s">
        <v>419</v>
      </c>
      <c r="B23" t="s">
        <v>616</v>
      </c>
      <c r="C23" t="s">
        <v>520</v>
      </c>
      <c r="D23" t="s">
        <v>5487</v>
      </c>
      <c r="E23" t="s">
        <v>513</v>
      </c>
      <c r="F23" t="s">
        <v>5488</v>
      </c>
      <c r="G23">
        <v>33250000</v>
      </c>
      <c r="H23">
        <v>20734500</v>
      </c>
      <c r="I23">
        <v>360000</v>
      </c>
      <c r="J23">
        <v>21094500</v>
      </c>
      <c r="K23" t="s">
        <v>5489</v>
      </c>
      <c r="L23">
        <v>12155500</v>
      </c>
      <c r="M23" t="s">
        <v>5490</v>
      </c>
      <c r="N23" t="s">
        <v>59</v>
      </c>
      <c r="O23" t="s">
        <v>440</v>
      </c>
      <c r="P23" t="s">
        <v>448</v>
      </c>
    </row>
    <row r="24" spans="1:16" x14ac:dyDescent="0.3">
      <c r="A24" t="s">
        <v>494</v>
      </c>
      <c r="B24" t="s">
        <v>3105</v>
      </c>
      <c r="C24" t="s">
        <v>833</v>
      </c>
      <c r="D24" t="s">
        <v>5491</v>
      </c>
      <c r="E24" t="s">
        <v>503</v>
      </c>
      <c r="F24" t="s">
        <v>5492</v>
      </c>
      <c r="G24">
        <v>3000000</v>
      </c>
      <c r="H24">
        <v>1994000</v>
      </c>
      <c r="I24">
        <v>0</v>
      </c>
      <c r="J24">
        <v>1994000</v>
      </c>
      <c r="K24" t="s">
        <v>5493</v>
      </c>
      <c r="L24">
        <v>1006000</v>
      </c>
      <c r="M24" t="s">
        <v>5494</v>
      </c>
      <c r="N24" t="s">
        <v>5446</v>
      </c>
      <c r="O24" t="s">
        <v>3367</v>
      </c>
      <c r="P24" t="s">
        <v>3368</v>
      </c>
    </row>
    <row r="25" spans="1:16" x14ac:dyDescent="0.3">
      <c r="A25" t="s">
        <v>494</v>
      </c>
      <c r="B25" t="s">
        <v>3105</v>
      </c>
      <c r="C25" t="s">
        <v>833</v>
      </c>
      <c r="D25" t="s">
        <v>5491</v>
      </c>
      <c r="E25" t="s">
        <v>503</v>
      </c>
      <c r="F25" t="s">
        <v>5495</v>
      </c>
      <c r="G25">
        <v>4500000</v>
      </c>
      <c r="H25">
        <v>2950000</v>
      </c>
      <c r="I25">
        <v>0</v>
      </c>
      <c r="J25">
        <v>2950000</v>
      </c>
      <c r="K25" t="s">
        <v>5496</v>
      </c>
      <c r="L25">
        <v>1550000</v>
      </c>
      <c r="M25" t="s">
        <v>5497</v>
      </c>
      <c r="N25" t="s">
        <v>5498</v>
      </c>
      <c r="O25" t="s">
        <v>3367</v>
      </c>
      <c r="P25" t="s">
        <v>3368</v>
      </c>
    </row>
    <row r="26" spans="1:16" x14ac:dyDescent="0.3">
      <c r="A26" t="s">
        <v>494</v>
      </c>
      <c r="B26" t="s">
        <v>3105</v>
      </c>
      <c r="C26" t="s">
        <v>833</v>
      </c>
      <c r="D26" t="s">
        <v>5499</v>
      </c>
      <c r="E26" t="s">
        <v>503</v>
      </c>
      <c r="F26" t="s">
        <v>5500</v>
      </c>
      <c r="G26">
        <v>3000000</v>
      </c>
      <c r="H26">
        <v>2000000</v>
      </c>
      <c r="I26">
        <v>0</v>
      </c>
      <c r="J26">
        <v>2000000</v>
      </c>
      <c r="K26" t="s">
        <v>5501</v>
      </c>
      <c r="L26">
        <v>1000000</v>
      </c>
      <c r="M26" t="s">
        <v>5502</v>
      </c>
      <c r="N26" t="s">
        <v>5446</v>
      </c>
      <c r="O26" t="s">
        <v>3349</v>
      </c>
      <c r="P26" t="s">
        <v>3351</v>
      </c>
    </row>
    <row r="27" spans="1:16" x14ac:dyDescent="0.3">
      <c r="A27" t="s">
        <v>494</v>
      </c>
      <c r="B27" t="s">
        <v>3105</v>
      </c>
      <c r="C27" t="s">
        <v>833</v>
      </c>
      <c r="D27" t="s">
        <v>5499</v>
      </c>
      <c r="E27" t="s">
        <v>503</v>
      </c>
      <c r="F27" t="s">
        <v>5503</v>
      </c>
      <c r="G27">
        <v>3500000</v>
      </c>
      <c r="H27">
        <v>3490000</v>
      </c>
      <c r="I27">
        <v>0</v>
      </c>
      <c r="J27">
        <v>3490000</v>
      </c>
      <c r="K27" t="s">
        <v>5504</v>
      </c>
      <c r="L27">
        <v>10000</v>
      </c>
      <c r="M27" t="s">
        <v>5505</v>
      </c>
      <c r="N27" t="s">
        <v>5506</v>
      </c>
      <c r="O27" t="s">
        <v>3349</v>
      </c>
      <c r="P27" t="s">
        <v>3351</v>
      </c>
    </row>
    <row r="28" spans="1:16" x14ac:dyDescent="0.3">
      <c r="A28" t="s">
        <v>494</v>
      </c>
      <c r="B28" t="s">
        <v>3105</v>
      </c>
      <c r="C28" t="s">
        <v>833</v>
      </c>
      <c r="D28" t="s">
        <v>5499</v>
      </c>
      <c r="E28" t="s">
        <v>503</v>
      </c>
      <c r="F28" t="s">
        <v>5507</v>
      </c>
      <c r="G28">
        <v>7500000</v>
      </c>
      <c r="H28">
        <v>5495000</v>
      </c>
      <c r="I28">
        <v>0</v>
      </c>
      <c r="J28">
        <v>5495000</v>
      </c>
      <c r="K28" t="s">
        <v>5508</v>
      </c>
      <c r="L28">
        <v>2005000</v>
      </c>
      <c r="M28" t="s">
        <v>5509</v>
      </c>
      <c r="N28" t="s">
        <v>5498</v>
      </c>
      <c r="O28" t="s">
        <v>3349</v>
      </c>
      <c r="P28" t="s">
        <v>3351</v>
      </c>
    </row>
    <row r="29" spans="1:16" x14ac:dyDescent="0.3">
      <c r="A29" t="s">
        <v>494</v>
      </c>
      <c r="B29" t="s">
        <v>3105</v>
      </c>
      <c r="C29" t="s">
        <v>833</v>
      </c>
      <c r="D29" t="s">
        <v>5510</v>
      </c>
      <c r="E29" t="s">
        <v>503</v>
      </c>
      <c r="F29" t="s">
        <v>5511</v>
      </c>
      <c r="G29">
        <v>3000000</v>
      </c>
      <c r="H29">
        <v>1998500</v>
      </c>
      <c r="I29">
        <v>0</v>
      </c>
      <c r="J29">
        <v>1998500</v>
      </c>
      <c r="K29" t="s">
        <v>5512</v>
      </c>
      <c r="L29">
        <v>1001500</v>
      </c>
      <c r="M29" t="s">
        <v>5513</v>
      </c>
      <c r="N29" t="s">
        <v>5446</v>
      </c>
      <c r="O29" t="s">
        <v>3340</v>
      </c>
      <c r="P29" t="s">
        <v>3341</v>
      </c>
    </row>
    <row r="30" spans="1:16" x14ac:dyDescent="0.3">
      <c r="A30" t="s">
        <v>494</v>
      </c>
      <c r="B30" t="s">
        <v>3105</v>
      </c>
      <c r="C30" t="s">
        <v>833</v>
      </c>
      <c r="D30" t="s">
        <v>5510</v>
      </c>
      <c r="E30" t="s">
        <v>503</v>
      </c>
      <c r="F30" t="s">
        <v>5514</v>
      </c>
      <c r="G30">
        <v>4500000</v>
      </c>
      <c r="H30">
        <v>2970000</v>
      </c>
      <c r="I30">
        <v>0</v>
      </c>
      <c r="J30">
        <v>2970000</v>
      </c>
      <c r="K30" t="s">
        <v>5515</v>
      </c>
      <c r="L30">
        <v>1530000</v>
      </c>
      <c r="M30" t="s">
        <v>5516</v>
      </c>
      <c r="N30" t="s">
        <v>5498</v>
      </c>
      <c r="O30" t="s">
        <v>3340</v>
      </c>
      <c r="P30" t="s">
        <v>3341</v>
      </c>
    </row>
    <row r="31" spans="1:16" x14ac:dyDescent="0.3">
      <c r="A31" t="s">
        <v>494</v>
      </c>
      <c r="B31" t="s">
        <v>3105</v>
      </c>
      <c r="C31" t="s">
        <v>833</v>
      </c>
      <c r="D31" t="s">
        <v>5442</v>
      </c>
      <c r="E31" t="s">
        <v>503</v>
      </c>
      <c r="F31" t="s">
        <v>5517</v>
      </c>
      <c r="G31">
        <v>3000000</v>
      </c>
      <c r="H31">
        <v>1994000</v>
      </c>
      <c r="I31">
        <v>0</v>
      </c>
      <c r="J31">
        <v>1994000</v>
      </c>
      <c r="K31" t="s">
        <v>5493</v>
      </c>
      <c r="L31">
        <v>1006000</v>
      </c>
      <c r="M31" t="s">
        <v>5518</v>
      </c>
      <c r="N31" t="s">
        <v>5446</v>
      </c>
      <c r="O31" t="s">
        <v>3331</v>
      </c>
      <c r="P31" t="s">
        <v>3332</v>
      </c>
    </row>
    <row r="32" spans="1:16" x14ac:dyDescent="0.3">
      <c r="A32" t="s">
        <v>494</v>
      </c>
      <c r="B32" t="s">
        <v>3105</v>
      </c>
      <c r="C32" t="s">
        <v>833</v>
      </c>
      <c r="D32" t="s">
        <v>5442</v>
      </c>
      <c r="E32" t="s">
        <v>503</v>
      </c>
      <c r="F32" t="s">
        <v>5519</v>
      </c>
      <c r="G32">
        <v>4500000</v>
      </c>
      <c r="H32">
        <v>2950000</v>
      </c>
      <c r="I32">
        <v>0</v>
      </c>
      <c r="J32">
        <v>2950000</v>
      </c>
      <c r="K32" t="s">
        <v>5496</v>
      </c>
      <c r="L32">
        <v>1550000</v>
      </c>
      <c r="M32" t="s">
        <v>5520</v>
      </c>
      <c r="N32" t="s">
        <v>5498</v>
      </c>
      <c r="O32" t="s">
        <v>3331</v>
      </c>
      <c r="P32" t="s">
        <v>3332</v>
      </c>
    </row>
    <row r="33" spans="1:16" x14ac:dyDescent="0.3">
      <c r="A33" t="s">
        <v>494</v>
      </c>
      <c r="B33" t="s">
        <v>3105</v>
      </c>
      <c r="C33" t="s">
        <v>833</v>
      </c>
      <c r="D33" t="s">
        <v>5455</v>
      </c>
      <c r="E33" t="s">
        <v>503</v>
      </c>
      <c r="F33" t="s">
        <v>5521</v>
      </c>
      <c r="G33">
        <v>9000000</v>
      </c>
      <c r="H33">
        <v>7710000</v>
      </c>
      <c r="I33">
        <v>0</v>
      </c>
      <c r="J33">
        <v>7710000</v>
      </c>
      <c r="K33" t="s">
        <v>5522</v>
      </c>
      <c r="L33">
        <v>1290000</v>
      </c>
      <c r="M33" t="s">
        <v>5523</v>
      </c>
      <c r="N33" t="s">
        <v>5498</v>
      </c>
      <c r="O33" t="s">
        <v>3320</v>
      </c>
      <c r="P33" t="s">
        <v>3321</v>
      </c>
    </row>
    <row r="34" spans="1:16" x14ac:dyDescent="0.3">
      <c r="A34" t="s">
        <v>494</v>
      </c>
      <c r="B34" t="s">
        <v>3105</v>
      </c>
      <c r="C34" t="s">
        <v>833</v>
      </c>
      <c r="D34" t="s">
        <v>5455</v>
      </c>
      <c r="E34" t="s">
        <v>503</v>
      </c>
      <c r="F34" t="s">
        <v>5524</v>
      </c>
      <c r="G34">
        <v>5000000</v>
      </c>
      <c r="H34">
        <v>3996000</v>
      </c>
      <c r="I34">
        <v>0</v>
      </c>
      <c r="J34">
        <v>3996000</v>
      </c>
      <c r="K34" t="s">
        <v>5525</v>
      </c>
      <c r="L34">
        <v>1004000</v>
      </c>
      <c r="M34" t="s">
        <v>5526</v>
      </c>
      <c r="N34" t="s">
        <v>5446</v>
      </c>
      <c r="O34" t="s">
        <v>3320</v>
      </c>
      <c r="P34" t="s">
        <v>3321</v>
      </c>
    </row>
    <row r="35" spans="1:16" x14ac:dyDescent="0.3">
      <c r="A35" t="s">
        <v>494</v>
      </c>
      <c r="B35" t="s">
        <v>3105</v>
      </c>
      <c r="C35" t="s">
        <v>833</v>
      </c>
      <c r="D35" t="s">
        <v>5455</v>
      </c>
      <c r="E35" t="s">
        <v>503</v>
      </c>
      <c r="F35" t="s">
        <v>5527</v>
      </c>
      <c r="G35">
        <v>1400000</v>
      </c>
      <c r="H35">
        <v>1350000</v>
      </c>
      <c r="I35">
        <v>0</v>
      </c>
      <c r="J35">
        <v>1350000</v>
      </c>
      <c r="K35" t="s">
        <v>5528</v>
      </c>
      <c r="L35">
        <v>50000</v>
      </c>
      <c r="M35" t="s">
        <v>5529</v>
      </c>
      <c r="N35" t="s">
        <v>5472</v>
      </c>
      <c r="O35" t="s">
        <v>3320</v>
      </c>
      <c r="P35" t="s">
        <v>3321</v>
      </c>
    </row>
    <row r="36" spans="1:16" x14ac:dyDescent="0.3">
      <c r="A36" t="s">
        <v>494</v>
      </c>
      <c r="B36" t="s">
        <v>3105</v>
      </c>
      <c r="C36" t="s">
        <v>833</v>
      </c>
      <c r="D36" t="s">
        <v>5455</v>
      </c>
      <c r="E36" t="s">
        <v>503</v>
      </c>
      <c r="F36" t="s">
        <v>5530</v>
      </c>
      <c r="G36">
        <v>3000000</v>
      </c>
      <c r="H36">
        <v>775000</v>
      </c>
      <c r="I36">
        <v>0</v>
      </c>
      <c r="J36">
        <v>775000</v>
      </c>
      <c r="K36" t="s">
        <v>5531</v>
      </c>
      <c r="L36">
        <v>2225000</v>
      </c>
      <c r="M36" t="s">
        <v>5532</v>
      </c>
      <c r="N36" t="s">
        <v>5533</v>
      </c>
      <c r="O36" t="s">
        <v>3320</v>
      </c>
      <c r="P36" t="s">
        <v>3321</v>
      </c>
    </row>
    <row r="37" spans="1:16" x14ac:dyDescent="0.3">
      <c r="A37" t="s">
        <v>494</v>
      </c>
      <c r="B37" t="s">
        <v>2785</v>
      </c>
      <c r="C37" t="s">
        <v>3090</v>
      </c>
      <c r="D37" t="s">
        <v>5534</v>
      </c>
      <c r="E37" t="s">
        <v>503</v>
      </c>
      <c r="F37" t="s">
        <v>5535</v>
      </c>
      <c r="G37">
        <v>1000000</v>
      </c>
      <c r="H37">
        <v>1000000</v>
      </c>
      <c r="I37">
        <v>0</v>
      </c>
      <c r="J37">
        <v>1000000</v>
      </c>
      <c r="K37" t="s">
        <v>5536</v>
      </c>
      <c r="L37">
        <v>0</v>
      </c>
      <c r="M37" t="s">
        <v>5537</v>
      </c>
      <c r="N37" t="s">
        <v>5538</v>
      </c>
      <c r="O37" t="s">
        <v>3092</v>
      </c>
      <c r="P37" t="s">
        <v>3093</v>
      </c>
    </row>
    <row r="38" spans="1:16" x14ac:dyDescent="0.3">
      <c r="A38" t="s">
        <v>494</v>
      </c>
      <c r="B38" t="s">
        <v>2785</v>
      </c>
      <c r="C38" t="s">
        <v>3090</v>
      </c>
      <c r="D38" t="s">
        <v>5534</v>
      </c>
      <c r="E38" t="s">
        <v>503</v>
      </c>
      <c r="F38" t="s">
        <v>5539</v>
      </c>
      <c r="G38">
        <v>6000000</v>
      </c>
      <c r="H38">
        <v>3000000</v>
      </c>
      <c r="I38">
        <v>0</v>
      </c>
      <c r="J38">
        <v>3000000</v>
      </c>
      <c r="K38" t="s">
        <v>5540</v>
      </c>
      <c r="L38">
        <v>3000000</v>
      </c>
      <c r="M38" t="s">
        <v>5541</v>
      </c>
      <c r="N38" t="s">
        <v>5498</v>
      </c>
      <c r="O38" t="s">
        <v>3092</v>
      </c>
      <c r="P38" t="s">
        <v>3093</v>
      </c>
    </row>
    <row r="39" spans="1:16" x14ac:dyDescent="0.3">
      <c r="A39" t="s">
        <v>494</v>
      </c>
      <c r="B39" t="s">
        <v>2785</v>
      </c>
      <c r="C39" t="s">
        <v>3090</v>
      </c>
      <c r="D39" t="s">
        <v>5534</v>
      </c>
      <c r="E39" t="s">
        <v>503</v>
      </c>
      <c r="F39" t="s">
        <v>5542</v>
      </c>
      <c r="G39">
        <v>4000000</v>
      </c>
      <c r="H39">
        <v>1984000</v>
      </c>
      <c r="I39">
        <v>0</v>
      </c>
      <c r="J39">
        <v>1984000</v>
      </c>
      <c r="K39" t="s">
        <v>5543</v>
      </c>
      <c r="L39">
        <v>2016000</v>
      </c>
      <c r="M39" t="s">
        <v>5544</v>
      </c>
      <c r="N39" t="s">
        <v>5446</v>
      </c>
      <c r="O39" t="s">
        <v>3092</v>
      </c>
      <c r="P39" t="s">
        <v>3093</v>
      </c>
    </row>
    <row r="40" spans="1:16" x14ac:dyDescent="0.3">
      <c r="A40" t="s">
        <v>494</v>
      </c>
      <c r="B40" t="s">
        <v>2785</v>
      </c>
      <c r="C40" t="s">
        <v>3090</v>
      </c>
      <c r="D40" t="s">
        <v>5534</v>
      </c>
      <c r="E40" t="s">
        <v>503</v>
      </c>
      <c r="F40" t="s">
        <v>5545</v>
      </c>
      <c r="G40">
        <v>900000</v>
      </c>
      <c r="H40">
        <v>860000</v>
      </c>
      <c r="I40">
        <v>0</v>
      </c>
      <c r="J40">
        <v>860000</v>
      </c>
      <c r="K40" t="s">
        <v>5546</v>
      </c>
      <c r="L40">
        <v>40000</v>
      </c>
      <c r="M40" t="s">
        <v>5547</v>
      </c>
      <c r="N40" t="s">
        <v>5472</v>
      </c>
      <c r="O40" t="s">
        <v>3092</v>
      </c>
      <c r="P40" t="s">
        <v>3093</v>
      </c>
    </row>
    <row r="41" spans="1:16" x14ac:dyDescent="0.3">
      <c r="A41" t="s">
        <v>494</v>
      </c>
      <c r="B41" t="s">
        <v>2785</v>
      </c>
      <c r="C41" t="s">
        <v>3090</v>
      </c>
      <c r="D41" t="s">
        <v>5534</v>
      </c>
      <c r="E41" t="s">
        <v>503</v>
      </c>
      <c r="F41" t="s">
        <v>5548</v>
      </c>
      <c r="G41">
        <v>6000000</v>
      </c>
      <c r="H41">
        <v>1500000</v>
      </c>
      <c r="I41">
        <v>0</v>
      </c>
      <c r="J41">
        <v>1500000</v>
      </c>
      <c r="K41" t="s">
        <v>5549</v>
      </c>
      <c r="L41">
        <v>4500000</v>
      </c>
      <c r="M41" t="s">
        <v>5550</v>
      </c>
      <c r="N41" t="s">
        <v>5533</v>
      </c>
      <c r="O41" t="s">
        <v>3092</v>
      </c>
      <c r="P41" t="s">
        <v>3093</v>
      </c>
    </row>
    <row r="42" spans="1:16" x14ac:dyDescent="0.3">
      <c r="A42" t="s">
        <v>494</v>
      </c>
      <c r="B42" t="s">
        <v>2785</v>
      </c>
      <c r="C42" t="s">
        <v>833</v>
      </c>
      <c r="D42" t="s">
        <v>5442</v>
      </c>
      <c r="E42" t="s">
        <v>503</v>
      </c>
      <c r="F42" t="s">
        <v>5551</v>
      </c>
      <c r="G42">
        <v>3000000</v>
      </c>
      <c r="H42">
        <v>1500000</v>
      </c>
      <c r="I42">
        <v>0</v>
      </c>
      <c r="J42">
        <v>1500000</v>
      </c>
      <c r="K42" t="s">
        <v>5540</v>
      </c>
      <c r="L42">
        <v>1500000</v>
      </c>
      <c r="M42" t="s">
        <v>5552</v>
      </c>
      <c r="N42" t="s">
        <v>5498</v>
      </c>
      <c r="O42" t="s">
        <v>3067</v>
      </c>
      <c r="P42" t="s">
        <v>3068</v>
      </c>
    </row>
    <row r="43" spans="1:16" x14ac:dyDescent="0.3">
      <c r="A43" t="s">
        <v>494</v>
      </c>
      <c r="B43" t="s">
        <v>2785</v>
      </c>
      <c r="C43" t="s">
        <v>833</v>
      </c>
      <c r="D43" t="s">
        <v>5442</v>
      </c>
      <c r="E43" t="s">
        <v>503</v>
      </c>
      <c r="F43" t="s">
        <v>5553</v>
      </c>
      <c r="G43">
        <v>2000000</v>
      </c>
      <c r="H43">
        <v>999000</v>
      </c>
      <c r="I43">
        <v>0</v>
      </c>
      <c r="J43">
        <v>999000</v>
      </c>
      <c r="K43" t="s">
        <v>5554</v>
      </c>
      <c r="L43">
        <v>1001000</v>
      </c>
      <c r="M43" t="s">
        <v>5555</v>
      </c>
      <c r="N43" t="s">
        <v>5446</v>
      </c>
      <c r="O43" t="s">
        <v>3067</v>
      </c>
      <c r="P43" t="s">
        <v>3068</v>
      </c>
    </row>
    <row r="44" spans="1:16" x14ac:dyDescent="0.3">
      <c r="A44" t="s">
        <v>494</v>
      </c>
      <c r="B44" t="s">
        <v>2785</v>
      </c>
      <c r="C44" t="s">
        <v>833</v>
      </c>
      <c r="D44" t="s">
        <v>5442</v>
      </c>
      <c r="E44" t="s">
        <v>503</v>
      </c>
      <c r="F44" t="s">
        <v>5556</v>
      </c>
      <c r="G44">
        <v>2000000</v>
      </c>
      <c r="H44">
        <v>2000000</v>
      </c>
      <c r="I44">
        <v>0</v>
      </c>
      <c r="J44">
        <v>2000000</v>
      </c>
      <c r="K44" t="s">
        <v>5536</v>
      </c>
      <c r="L44">
        <v>0</v>
      </c>
      <c r="M44" t="s">
        <v>5557</v>
      </c>
      <c r="N44" t="s">
        <v>5558</v>
      </c>
      <c r="O44" t="s">
        <v>3067</v>
      </c>
      <c r="P44" t="s">
        <v>3068</v>
      </c>
    </row>
    <row r="45" spans="1:16" x14ac:dyDescent="0.3">
      <c r="A45" t="s">
        <v>494</v>
      </c>
      <c r="B45" t="s">
        <v>2785</v>
      </c>
      <c r="C45" t="s">
        <v>833</v>
      </c>
      <c r="D45" t="s">
        <v>5442</v>
      </c>
      <c r="E45" t="s">
        <v>503</v>
      </c>
      <c r="F45" t="s">
        <v>5559</v>
      </c>
      <c r="G45">
        <v>3000000</v>
      </c>
      <c r="H45">
        <v>1500000</v>
      </c>
      <c r="I45">
        <v>0</v>
      </c>
      <c r="J45">
        <v>1500000</v>
      </c>
      <c r="K45" t="s">
        <v>5540</v>
      </c>
      <c r="L45">
        <v>1500000</v>
      </c>
      <c r="M45" t="s">
        <v>5560</v>
      </c>
      <c r="N45" t="s">
        <v>5533</v>
      </c>
      <c r="O45" t="s">
        <v>3067</v>
      </c>
      <c r="P45" t="s">
        <v>3068</v>
      </c>
    </row>
    <row r="46" spans="1:16" x14ac:dyDescent="0.3">
      <c r="A46" t="s">
        <v>494</v>
      </c>
      <c r="B46" t="s">
        <v>2785</v>
      </c>
      <c r="C46" t="s">
        <v>833</v>
      </c>
      <c r="D46" t="s">
        <v>5455</v>
      </c>
      <c r="E46" t="s">
        <v>503</v>
      </c>
      <c r="F46" t="s">
        <v>5561</v>
      </c>
      <c r="G46">
        <v>4500000</v>
      </c>
      <c r="H46">
        <v>2990000</v>
      </c>
      <c r="I46">
        <v>0</v>
      </c>
      <c r="J46">
        <v>2990000</v>
      </c>
      <c r="K46" t="s">
        <v>5562</v>
      </c>
      <c r="L46">
        <v>1510000</v>
      </c>
      <c r="M46" t="s">
        <v>5563</v>
      </c>
      <c r="N46" t="s">
        <v>5498</v>
      </c>
      <c r="O46" t="s">
        <v>3054</v>
      </c>
      <c r="P46" t="s">
        <v>3055</v>
      </c>
    </row>
    <row r="47" spans="1:16" x14ac:dyDescent="0.3">
      <c r="A47" t="s">
        <v>494</v>
      </c>
      <c r="B47" t="s">
        <v>2785</v>
      </c>
      <c r="C47" t="s">
        <v>833</v>
      </c>
      <c r="D47" t="s">
        <v>5455</v>
      </c>
      <c r="E47" t="s">
        <v>503</v>
      </c>
      <c r="F47" t="s">
        <v>5564</v>
      </c>
      <c r="G47">
        <v>3000000</v>
      </c>
      <c r="H47">
        <v>1968500</v>
      </c>
      <c r="I47">
        <v>0</v>
      </c>
      <c r="J47">
        <v>1968500</v>
      </c>
      <c r="K47" t="s">
        <v>5565</v>
      </c>
      <c r="L47">
        <v>1031500</v>
      </c>
      <c r="M47" t="s">
        <v>5566</v>
      </c>
      <c r="N47" t="s">
        <v>5446</v>
      </c>
      <c r="O47" t="s">
        <v>3054</v>
      </c>
      <c r="P47" t="s">
        <v>3055</v>
      </c>
    </row>
    <row r="48" spans="1:16" x14ac:dyDescent="0.3">
      <c r="A48" t="s">
        <v>494</v>
      </c>
      <c r="B48" t="s">
        <v>2785</v>
      </c>
      <c r="C48" t="s">
        <v>833</v>
      </c>
      <c r="D48" t="s">
        <v>5455</v>
      </c>
      <c r="E48" t="s">
        <v>503</v>
      </c>
      <c r="F48" t="s">
        <v>5567</v>
      </c>
      <c r="G48">
        <v>11250000</v>
      </c>
      <c r="H48">
        <v>1320000</v>
      </c>
      <c r="I48">
        <v>0</v>
      </c>
      <c r="J48">
        <v>1320000</v>
      </c>
      <c r="K48" t="s">
        <v>5568</v>
      </c>
      <c r="L48">
        <v>9930000</v>
      </c>
      <c r="M48" t="s">
        <v>5569</v>
      </c>
      <c r="N48" t="s">
        <v>5472</v>
      </c>
      <c r="O48" t="s">
        <v>3054</v>
      </c>
      <c r="P48" t="s">
        <v>3055</v>
      </c>
    </row>
    <row r="49" spans="1:16" x14ac:dyDescent="0.3">
      <c r="A49" t="s">
        <v>494</v>
      </c>
      <c r="B49" t="s">
        <v>2469</v>
      </c>
      <c r="C49" t="s">
        <v>833</v>
      </c>
      <c r="D49" t="s">
        <v>5510</v>
      </c>
      <c r="E49" t="s">
        <v>503</v>
      </c>
      <c r="F49" t="s">
        <v>5570</v>
      </c>
      <c r="G49">
        <v>10500000</v>
      </c>
      <c r="H49">
        <v>10500000</v>
      </c>
      <c r="I49">
        <v>0</v>
      </c>
      <c r="J49">
        <v>10500000</v>
      </c>
      <c r="K49" t="s">
        <v>5536</v>
      </c>
      <c r="L49">
        <v>0</v>
      </c>
      <c r="M49" t="s">
        <v>5571</v>
      </c>
      <c r="N49" t="s">
        <v>5472</v>
      </c>
      <c r="O49" t="s">
        <v>2771</v>
      </c>
      <c r="P49" t="s">
        <v>2772</v>
      </c>
    </row>
    <row r="50" spans="1:16" x14ac:dyDescent="0.3">
      <c r="A50" t="s">
        <v>494</v>
      </c>
      <c r="B50" t="s">
        <v>2469</v>
      </c>
      <c r="C50" t="s">
        <v>833</v>
      </c>
      <c r="D50" t="s">
        <v>5510</v>
      </c>
      <c r="E50" t="s">
        <v>503</v>
      </c>
      <c r="F50" t="s">
        <v>5572</v>
      </c>
      <c r="G50">
        <v>10500000</v>
      </c>
      <c r="H50">
        <v>5888500</v>
      </c>
      <c r="I50">
        <v>0</v>
      </c>
      <c r="J50">
        <v>5888500</v>
      </c>
      <c r="K50" t="s">
        <v>5573</v>
      </c>
      <c r="L50">
        <v>4611500</v>
      </c>
      <c r="M50" t="s">
        <v>5574</v>
      </c>
      <c r="N50" t="s">
        <v>5533</v>
      </c>
      <c r="O50" t="s">
        <v>2771</v>
      </c>
      <c r="P50" t="s">
        <v>2772</v>
      </c>
    </row>
    <row r="51" spans="1:16" x14ac:dyDescent="0.3">
      <c r="A51" t="s">
        <v>494</v>
      </c>
      <c r="B51" t="s">
        <v>2469</v>
      </c>
      <c r="C51" t="s">
        <v>833</v>
      </c>
      <c r="D51" t="s">
        <v>5442</v>
      </c>
      <c r="E51" t="s">
        <v>503</v>
      </c>
      <c r="F51" t="s">
        <v>5575</v>
      </c>
      <c r="G51">
        <v>12000000</v>
      </c>
      <c r="H51">
        <v>5939000</v>
      </c>
      <c r="I51">
        <v>0</v>
      </c>
      <c r="J51">
        <v>5939000</v>
      </c>
      <c r="K51" t="s">
        <v>5576</v>
      </c>
      <c r="L51">
        <v>6061000</v>
      </c>
      <c r="M51" t="s">
        <v>5577</v>
      </c>
      <c r="N51" t="s">
        <v>5533</v>
      </c>
      <c r="O51" t="s">
        <v>2756</v>
      </c>
      <c r="P51" t="s">
        <v>2757</v>
      </c>
    </row>
    <row r="52" spans="1:16" x14ac:dyDescent="0.3">
      <c r="A52" t="s">
        <v>494</v>
      </c>
      <c r="B52" t="s">
        <v>2469</v>
      </c>
      <c r="C52" t="s">
        <v>833</v>
      </c>
      <c r="D52" t="s">
        <v>5455</v>
      </c>
      <c r="E52" t="s">
        <v>503</v>
      </c>
      <c r="F52" t="s">
        <v>5578</v>
      </c>
      <c r="G52">
        <v>6000000</v>
      </c>
      <c r="H52">
        <v>2991000</v>
      </c>
      <c r="I52">
        <v>0</v>
      </c>
      <c r="J52">
        <v>2991000</v>
      </c>
      <c r="K52" t="s">
        <v>5579</v>
      </c>
      <c r="L52">
        <v>3009000</v>
      </c>
      <c r="M52" t="s">
        <v>5580</v>
      </c>
      <c r="N52" t="s">
        <v>5533</v>
      </c>
      <c r="O52" t="s">
        <v>2741</v>
      </c>
      <c r="P52" t="s">
        <v>2742</v>
      </c>
    </row>
    <row r="53" spans="1:16" x14ac:dyDescent="0.3">
      <c r="A53" t="s">
        <v>494</v>
      </c>
      <c r="B53" t="s">
        <v>1269</v>
      </c>
      <c r="C53" t="s">
        <v>833</v>
      </c>
      <c r="D53" t="s">
        <v>5581</v>
      </c>
      <c r="E53" t="s">
        <v>503</v>
      </c>
      <c r="F53" t="s">
        <v>5582</v>
      </c>
      <c r="G53">
        <v>3550000</v>
      </c>
      <c r="H53">
        <v>3547000</v>
      </c>
      <c r="I53">
        <v>0</v>
      </c>
      <c r="J53">
        <v>3547000</v>
      </c>
      <c r="K53" t="s">
        <v>5583</v>
      </c>
      <c r="L53">
        <v>3000</v>
      </c>
      <c r="M53" t="s">
        <v>5584</v>
      </c>
      <c r="N53" t="s">
        <v>5585</v>
      </c>
      <c r="O53" t="s">
        <v>1536</v>
      </c>
      <c r="P53" t="s">
        <v>1538</v>
      </c>
    </row>
    <row r="54" spans="1:16" x14ac:dyDescent="0.3">
      <c r="A54" t="s">
        <v>494</v>
      </c>
      <c r="B54" t="s">
        <v>1269</v>
      </c>
      <c r="C54" t="s">
        <v>833</v>
      </c>
      <c r="D54" t="s">
        <v>5581</v>
      </c>
      <c r="E54" t="s">
        <v>503</v>
      </c>
      <c r="F54" t="s">
        <v>5586</v>
      </c>
      <c r="G54">
        <v>3000000</v>
      </c>
      <c r="H54">
        <v>2950000</v>
      </c>
      <c r="I54">
        <v>0</v>
      </c>
      <c r="J54">
        <v>2950000</v>
      </c>
      <c r="K54" t="s">
        <v>5587</v>
      </c>
      <c r="L54">
        <v>50000</v>
      </c>
      <c r="M54" t="s">
        <v>5588</v>
      </c>
      <c r="N54" t="s">
        <v>5589</v>
      </c>
      <c r="O54" t="s">
        <v>1536</v>
      </c>
      <c r="P54" t="s">
        <v>1538</v>
      </c>
    </row>
    <row r="55" spans="1:16" x14ac:dyDescent="0.3">
      <c r="A55" t="s">
        <v>494</v>
      </c>
      <c r="B55" t="s">
        <v>1269</v>
      </c>
      <c r="C55" t="s">
        <v>833</v>
      </c>
      <c r="D55" t="s">
        <v>5581</v>
      </c>
      <c r="E55" t="s">
        <v>503</v>
      </c>
      <c r="F55" t="s">
        <v>5590</v>
      </c>
      <c r="G55">
        <v>3000000</v>
      </c>
      <c r="H55">
        <v>1459000</v>
      </c>
      <c r="I55">
        <v>0</v>
      </c>
      <c r="J55">
        <v>1459000</v>
      </c>
      <c r="K55" t="s">
        <v>5591</v>
      </c>
      <c r="L55">
        <v>1541000</v>
      </c>
      <c r="M55" t="s">
        <v>5592</v>
      </c>
      <c r="N55" t="s">
        <v>5498</v>
      </c>
      <c r="O55" t="s">
        <v>1536</v>
      </c>
      <c r="P55" t="s">
        <v>1538</v>
      </c>
    </row>
    <row r="56" spans="1:16" x14ac:dyDescent="0.3">
      <c r="A56" t="s">
        <v>494</v>
      </c>
      <c r="B56" t="s">
        <v>1269</v>
      </c>
      <c r="C56" t="s">
        <v>833</v>
      </c>
      <c r="D56" t="s">
        <v>5581</v>
      </c>
      <c r="E56" t="s">
        <v>503</v>
      </c>
      <c r="F56" t="s">
        <v>5593</v>
      </c>
      <c r="G56">
        <v>2000000</v>
      </c>
      <c r="H56">
        <v>985000</v>
      </c>
      <c r="I56">
        <v>0</v>
      </c>
      <c r="J56">
        <v>985000</v>
      </c>
      <c r="K56" t="s">
        <v>5594</v>
      </c>
      <c r="L56">
        <v>1015000</v>
      </c>
      <c r="M56" t="s">
        <v>5595</v>
      </c>
      <c r="N56" t="s">
        <v>5446</v>
      </c>
      <c r="O56" t="s">
        <v>1536</v>
      </c>
      <c r="P56" t="s">
        <v>1538</v>
      </c>
    </row>
    <row r="57" spans="1:16" x14ac:dyDescent="0.3">
      <c r="A57" t="s">
        <v>494</v>
      </c>
      <c r="B57" t="s">
        <v>1269</v>
      </c>
      <c r="C57" t="s">
        <v>833</v>
      </c>
      <c r="D57" t="s">
        <v>5581</v>
      </c>
      <c r="E57" t="s">
        <v>503</v>
      </c>
      <c r="F57" t="s">
        <v>5596</v>
      </c>
      <c r="G57">
        <v>1500000</v>
      </c>
      <c r="H57">
        <v>528000</v>
      </c>
      <c r="I57">
        <v>0</v>
      </c>
      <c r="J57">
        <v>528000</v>
      </c>
      <c r="K57" t="s">
        <v>5597</v>
      </c>
      <c r="L57">
        <v>972000</v>
      </c>
      <c r="M57" t="s">
        <v>5598</v>
      </c>
      <c r="N57" t="s">
        <v>5472</v>
      </c>
      <c r="O57" t="s">
        <v>1536</v>
      </c>
      <c r="P57" t="s">
        <v>1538</v>
      </c>
    </row>
    <row r="58" spans="1:16" x14ac:dyDescent="0.3">
      <c r="A58" t="s">
        <v>494</v>
      </c>
      <c r="B58" t="s">
        <v>1269</v>
      </c>
      <c r="C58" t="s">
        <v>833</v>
      </c>
      <c r="D58" t="s">
        <v>5473</v>
      </c>
      <c r="E58" t="s">
        <v>503</v>
      </c>
      <c r="F58" t="s">
        <v>5599</v>
      </c>
      <c r="G58">
        <v>1500000</v>
      </c>
      <c r="H58">
        <v>1495000</v>
      </c>
      <c r="I58">
        <v>0</v>
      </c>
      <c r="J58">
        <v>1495000</v>
      </c>
      <c r="K58" t="s">
        <v>5600</v>
      </c>
      <c r="L58">
        <v>5000</v>
      </c>
      <c r="M58" t="s">
        <v>5601</v>
      </c>
      <c r="N58" t="s">
        <v>5498</v>
      </c>
      <c r="O58" t="s">
        <v>1490</v>
      </c>
      <c r="P58" t="s">
        <v>1491</v>
      </c>
    </row>
    <row r="59" spans="1:16" x14ac:dyDescent="0.3">
      <c r="A59" t="s">
        <v>494</v>
      </c>
      <c r="B59" t="s">
        <v>1269</v>
      </c>
      <c r="C59" t="s">
        <v>833</v>
      </c>
      <c r="D59" t="s">
        <v>5473</v>
      </c>
      <c r="E59" t="s">
        <v>503</v>
      </c>
      <c r="F59" t="s">
        <v>5602</v>
      </c>
      <c r="G59">
        <v>1000000</v>
      </c>
      <c r="H59">
        <v>993500</v>
      </c>
      <c r="I59">
        <v>0</v>
      </c>
      <c r="J59">
        <v>993500</v>
      </c>
      <c r="K59" t="s">
        <v>5603</v>
      </c>
      <c r="L59">
        <v>6500</v>
      </c>
      <c r="M59" t="s">
        <v>5604</v>
      </c>
      <c r="N59" t="s">
        <v>5446</v>
      </c>
      <c r="O59" t="s">
        <v>1490</v>
      </c>
      <c r="P59" t="s">
        <v>1491</v>
      </c>
    </row>
    <row r="60" spans="1:16" x14ac:dyDescent="0.3">
      <c r="A60" t="s">
        <v>494</v>
      </c>
      <c r="B60" t="s">
        <v>1269</v>
      </c>
      <c r="C60" t="s">
        <v>833</v>
      </c>
      <c r="D60" t="s">
        <v>5473</v>
      </c>
      <c r="E60" t="s">
        <v>503</v>
      </c>
      <c r="F60" t="s">
        <v>5605</v>
      </c>
      <c r="G60">
        <v>10050000</v>
      </c>
      <c r="H60">
        <v>9054000</v>
      </c>
      <c r="I60">
        <v>0</v>
      </c>
      <c r="J60">
        <v>9054000</v>
      </c>
      <c r="K60" t="s">
        <v>5606</v>
      </c>
      <c r="L60">
        <v>996000</v>
      </c>
      <c r="M60" t="s">
        <v>5607</v>
      </c>
      <c r="N60" t="s">
        <v>5472</v>
      </c>
      <c r="O60" t="s">
        <v>1490</v>
      </c>
      <c r="P60" t="s">
        <v>1491</v>
      </c>
    </row>
    <row r="61" spans="1:16" x14ac:dyDescent="0.3">
      <c r="A61" t="s">
        <v>494</v>
      </c>
      <c r="B61" t="s">
        <v>1269</v>
      </c>
      <c r="C61" t="s">
        <v>833</v>
      </c>
      <c r="D61" t="s">
        <v>5460</v>
      </c>
      <c r="E61" t="s">
        <v>503</v>
      </c>
      <c r="F61" t="s">
        <v>5608</v>
      </c>
      <c r="G61">
        <v>1500000</v>
      </c>
      <c r="H61">
        <v>1500000</v>
      </c>
      <c r="I61">
        <v>0</v>
      </c>
      <c r="J61">
        <v>1500000</v>
      </c>
      <c r="K61" t="s">
        <v>5536</v>
      </c>
      <c r="L61">
        <v>0</v>
      </c>
      <c r="M61" t="s">
        <v>5609</v>
      </c>
      <c r="N61" t="s">
        <v>5498</v>
      </c>
      <c r="O61" t="s">
        <v>1469</v>
      </c>
      <c r="P61" t="s">
        <v>1470</v>
      </c>
    </row>
    <row r="62" spans="1:16" x14ac:dyDescent="0.3">
      <c r="A62" t="s">
        <v>494</v>
      </c>
      <c r="B62" t="s">
        <v>1269</v>
      </c>
      <c r="C62" t="s">
        <v>833</v>
      </c>
      <c r="D62" t="s">
        <v>5460</v>
      </c>
      <c r="E62" t="s">
        <v>503</v>
      </c>
      <c r="F62" t="s">
        <v>5610</v>
      </c>
      <c r="G62">
        <v>1000000</v>
      </c>
      <c r="H62">
        <v>999500</v>
      </c>
      <c r="I62">
        <v>0</v>
      </c>
      <c r="J62">
        <v>999500</v>
      </c>
      <c r="K62" t="s">
        <v>5611</v>
      </c>
      <c r="L62">
        <v>500</v>
      </c>
      <c r="M62" t="s">
        <v>5612</v>
      </c>
      <c r="N62" t="s">
        <v>5446</v>
      </c>
      <c r="O62" t="s">
        <v>1469</v>
      </c>
      <c r="P62" t="s">
        <v>1470</v>
      </c>
    </row>
    <row r="63" spans="1:16" x14ac:dyDescent="0.3">
      <c r="A63" t="s">
        <v>494</v>
      </c>
      <c r="B63" t="s">
        <v>1269</v>
      </c>
      <c r="C63" t="s">
        <v>833</v>
      </c>
      <c r="D63" t="s">
        <v>5460</v>
      </c>
      <c r="E63" t="s">
        <v>503</v>
      </c>
      <c r="F63" t="s">
        <v>5613</v>
      </c>
      <c r="G63">
        <v>1500000</v>
      </c>
      <c r="H63">
        <v>1499700</v>
      </c>
      <c r="I63">
        <v>0</v>
      </c>
      <c r="J63">
        <v>1499700</v>
      </c>
      <c r="K63" t="s">
        <v>5614</v>
      </c>
      <c r="L63">
        <v>300</v>
      </c>
      <c r="M63" t="s">
        <v>5615</v>
      </c>
      <c r="N63" t="s">
        <v>5533</v>
      </c>
      <c r="O63" t="s">
        <v>1469</v>
      </c>
      <c r="P63" t="s">
        <v>1470</v>
      </c>
    </row>
    <row r="64" spans="1:16" x14ac:dyDescent="0.3">
      <c r="A64" t="s">
        <v>494</v>
      </c>
      <c r="B64" t="s">
        <v>1269</v>
      </c>
      <c r="C64" t="s">
        <v>833</v>
      </c>
      <c r="D64" t="s">
        <v>5491</v>
      </c>
      <c r="E64" t="s">
        <v>503</v>
      </c>
      <c r="F64" t="s">
        <v>5616</v>
      </c>
      <c r="G64">
        <v>34100000</v>
      </c>
      <c r="H64">
        <v>34100000</v>
      </c>
      <c r="I64">
        <v>0</v>
      </c>
      <c r="J64">
        <v>34100000</v>
      </c>
      <c r="K64" t="s">
        <v>5536</v>
      </c>
      <c r="L64">
        <v>0</v>
      </c>
      <c r="M64" t="s">
        <v>5617</v>
      </c>
      <c r="N64" t="s">
        <v>5618</v>
      </c>
      <c r="O64" t="s">
        <v>1448</v>
      </c>
      <c r="P64" t="s">
        <v>1449</v>
      </c>
    </row>
    <row r="65" spans="1:16" x14ac:dyDescent="0.3">
      <c r="A65" t="s">
        <v>494</v>
      </c>
      <c r="B65" t="s">
        <v>1269</v>
      </c>
      <c r="C65" t="s">
        <v>833</v>
      </c>
      <c r="D65" t="s">
        <v>5491</v>
      </c>
      <c r="E65" t="s">
        <v>503</v>
      </c>
      <c r="F65" t="s">
        <v>5619</v>
      </c>
      <c r="G65">
        <v>1500000</v>
      </c>
      <c r="H65">
        <v>1500000</v>
      </c>
      <c r="I65">
        <v>0</v>
      </c>
      <c r="J65">
        <v>1500000</v>
      </c>
      <c r="K65" t="s">
        <v>5536</v>
      </c>
      <c r="L65">
        <v>0</v>
      </c>
      <c r="M65" t="s">
        <v>5620</v>
      </c>
      <c r="N65" t="s">
        <v>5498</v>
      </c>
      <c r="O65" t="s">
        <v>1448</v>
      </c>
      <c r="P65" t="s">
        <v>1449</v>
      </c>
    </row>
    <row r="66" spans="1:16" x14ac:dyDescent="0.3">
      <c r="A66" t="s">
        <v>494</v>
      </c>
      <c r="B66" t="s">
        <v>1269</v>
      </c>
      <c r="C66" t="s">
        <v>833</v>
      </c>
      <c r="D66" t="s">
        <v>5491</v>
      </c>
      <c r="E66" t="s">
        <v>503</v>
      </c>
      <c r="F66" t="s">
        <v>5621</v>
      </c>
      <c r="G66">
        <v>1000000</v>
      </c>
      <c r="H66">
        <v>997000</v>
      </c>
      <c r="I66">
        <v>0</v>
      </c>
      <c r="J66">
        <v>997000</v>
      </c>
      <c r="K66" t="s">
        <v>5622</v>
      </c>
      <c r="L66">
        <v>3000</v>
      </c>
      <c r="M66" t="s">
        <v>5623</v>
      </c>
      <c r="N66" t="s">
        <v>5446</v>
      </c>
      <c r="O66" t="s">
        <v>1448</v>
      </c>
      <c r="P66" t="s">
        <v>1449</v>
      </c>
    </row>
    <row r="67" spans="1:16" x14ac:dyDescent="0.3">
      <c r="A67" t="s">
        <v>494</v>
      </c>
      <c r="B67" t="s">
        <v>1269</v>
      </c>
      <c r="C67" t="s">
        <v>833</v>
      </c>
      <c r="D67" t="s">
        <v>5491</v>
      </c>
      <c r="E67" t="s">
        <v>503</v>
      </c>
      <c r="F67" t="s">
        <v>5624</v>
      </c>
      <c r="G67">
        <v>1500000</v>
      </c>
      <c r="H67">
        <v>1498000</v>
      </c>
      <c r="I67">
        <v>0</v>
      </c>
      <c r="J67">
        <v>1498000</v>
      </c>
      <c r="K67" t="s">
        <v>5625</v>
      </c>
      <c r="L67">
        <v>2000</v>
      </c>
      <c r="M67" t="s">
        <v>5626</v>
      </c>
      <c r="N67" t="s">
        <v>5533</v>
      </c>
      <c r="O67" t="s">
        <v>1448</v>
      </c>
      <c r="P67" t="s">
        <v>1449</v>
      </c>
    </row>
    <row r="68" spans="1:16" x14ac:dyDescent="0.3">
      <c r="A68" t="s">
        <v>494</v>
      </c>
      <c r="B68" t="s">
        <v>1269</v>
      </c>
      <c r="C68" t="s">
        <v>833</v>
      </c>
      <c r="D68" t="s">
        <v>5499</v>
      </c>
      <c r="E68" t="s">
        <v>503</v>
      </c>
      <c r="F68" t="s">
        <v>5627</v>
      </c>
      <c r="G68">
        <v>1500000</v>
      </c>
      <c r="H68">
        <v>1499000</v>
      </c>
      <c r="I68">
        <v>0</v>
      </c>
      <c r="J68">
        <v>1499000</v>
      </c>
      <c r="K68" t="s">
        <v>5628</v>
      </c>
      <c r="L68">
        <v>1000</v>
      </c>
      <c r="M68" t="s">
        <v>5629</v>
      </c>
      <c r="N68" t="s">
        <v>5630</v>
      </c>
      <c r="O68" t="s">
        <v>1437</v>
      </c>
      <c r="P68" t="s">
        <v>1438</v>
      </c>
    </row>
    <row r="69" spans="1:16" x14ac:dyDescent="0.3">
      <c r="A69" t="s">
        <v>494</v>
      </c>
      <c r="B69" t="s">
        <v>1269</v>
      </c>
      <c r="C69" t="s">
        <v>833</v>
      </c>
      <c r="D69" t="s">
        <v>5499</v>
      </c>
      <c r="E69" t="s">
        <v>503</v>
      </c>
      <c r="F69" t="s">
        <v>5631</v>
      </c>
      <c r="G69">
        <v>4500000</v>
      </c>
      <c r="H69">
        <v>1498000</v>
      </c>
      <c r="I69">
        <v>0</v>
      </c>
      <c r="J69">
        <v>1498000</v>
      </c>
      <c r="K69" t="s">
        <v>5632</v>
      </c>
      <c r="L69">
        <v>3002000</v>
      </c>
      <c r="M69" t="s">
        <v>5633</v>
      </c>
      <c r="N69" t="s">
        <v>5533</v>
      </c>
      <c r="O69" t="s">
        <v>1437</v>
      </c>
      <c r="P69" t="s">
        <v>1438</v>
      </c>
    </row>
    <row r="70" spans="1:16" x14ac:dyDescent="0.3">
      <c r="A70" t="s">
        <v>494</v>
      </c>
      <c r="B70" t="s">
        <v>1269</v>
      </c>
      <c r="C70" t="s">
        <v>833</v>
      </c>
      <c r="D70" t="s">
        <v>5499</v>
      </c>
      <c r="E70" t="s">
        <v>503</v>
      </c>
      <c r="F70" t="s">
        <v>5634</v>
      </c>
      <c r="G70">
        <v>4500000</v>
      </c>
      <c r="H70">
        <v>1500000</v>
      </c>
      <c r="I70">
        <v>0</v>
      </c>
      <c r="J70">
        <v>1500000</v>
      </c>
      <c r="K70" t="s">
        <v>5635</v>
      </c>
      <c r="L70">
        <v>3000000</v>
      </c>
      <c r="M70" t="s">
        <v>5636</v>
      </c>
      <c r="N70" t="s">
        <v>5498</v>
      </c>
      <c r="O70" t="s">
        <v>1437</v>
      </c>
      <c r="P70" t="s">
        <v>1438</v>
      </c>
    </row>
    <row r="71" spans="1:16" x14ac:dyDescent="0.3">
      <c r="A71" t="s">
        <v>494</v>
      </c>
      <c r="B71" t="s">
        <v>1269</v>
      </c>
      <c r="C71" t="s">
        <v>833</v>
      </c>
      <c r="D71" t="s">
        <v>5499</v>
      </c>
      <c r="E71" t="s">
        <v>503</v>
      </c>
      <c r="F71" t="s">
        <v>5637</v>
      </c>
      <c r="G71">
        <v>3000000</v>
      </c>
      <c r="H71">
        <v>962000</v>
      </c>
      <c r="I71">
        <v>0</v>
      </c>
      <c r="J71">
        <v>962000</v>
      </c>
      <c r="K71" t="s">
        <v>5638</v>
      </c>
      <c r="L71">
        <v>2038000</v>
      </c>
      <c r="M71" t="s">
        <v>5639</v>
      </c>
      <c r="N71" t="s">
        <v>5446</v>
      </c>
      <c r="O71" t="s">
        <v>1437</v>
      </c>
      <c r="P71" t="s">
        <v>1438</v>
      </c>
    </row>
    <row r="72" spans="1:16" x14ac:dyDescent="0.3">
      <c r="A72" t="s">
        <v>494</v>
      </c>
      <c r="B72" t="s">
        <v>1269</v>
      </c>
      <c r="C72" t="s">
        <v>833</v>
      </c>
      <c r="D72" t="s">
        <v>5510</v>
      </c>
      <c r="E72" t="s">
        <v>503</v>
      </c>
      <c r="F72" t="s">
        <v>5640</v>
      </c>
      <c r="G72">
        <v>1500000</v>
      </c>
      <c r="H72">
        <v>1500000</v>
      </c>
      <c r="I72">
        <v>0</v>
      </c>
      <c r="J72">
        <v>1500000</v>
      </c>
      <c r="K72" t="s">
        <v>5536</v>
      </c>
      <c r="L72">
        <v>0</v>
      </c>
      <c r="M72" t="s">
        <v>5641</v>
      </c>
      <c r="N72" t="s">
        <v>5630</v>
      </c>
      <c r="O72" t="s">
        <v>1417</v>
      </c>
      <c r="P72" t="s">
        <v>1419</v>
      </c>
    </row>
    <row r="73" spans="1:16" x14ac:dyDescent="0.3">
      <c r="A73" t="s">
        <v>494</v>
      </c>
      <c r="B73" t="s">
        <v>1269</v>
      </c>
      <c r="C73" t="s">
        <v>833</v>
      </c>
      <c r="D73" t="s">
        <v>5510</v>
      </c>
      <c r="E73" t="s">
        <v>503</v>
      </c>
      <c r="F73" t="s">
        <v>5642</v>
      </c>
      <c r="G73">
        <v>3000000</v>
      </c>
      <c r="H73">
        <v>2980000</v>
      </c>
      <c r="I73">
        <v>0</v>
      </c>
      <c r="J73">
        <v>2980000</v>
      </c>
      <c r="K73" t="s">
        <v>5643</v>
      </c>
      <c r="L73">
        <v>20000</v>
      </c>
      <c r="M73" t="s">
        <v>5644</v>
      </c>
      <c r="N73" t="s">
        <v>5498</v>
      </c>
      <c r="O73" t="s">
        <v>1417</v>
      </c>
      <c r="P73" t="s">
        <v>1419</v>
      </c>
    </row>
    <row r="74" spans="1:16" x14ac:dyDescent="0.3">
      <c r="A74" t="s">
        <v>494</v>
      </c>
      <c r="B74" t="s">
        <v>1269</v>
      </c>
      <c r="C74" t="s">
        <v>833</v>
      </c>
      <c r="D74" t="s">
        <v>5510</v>
      </c>
      <c r="E74" t="s">
        <v>503</v>
      </c>
      <c r="F74" t="s">
        <v>5645</v>
      </c>
      <c r="G74">
        <v>2000000</v>
      </c>
      <c r="H74">
        <v>1989000</v>
      </c>
      <c r="I74">
        <v>0</v>
      </c>
      <c r="J74">
        <v>1989000</v>
      </c>
      <c r="K74" t="s">
        <v>5646</v>
      </c>
      <c r="L74">
        <v>11000</v>
      </c>
      <c r="M74" t="s">
        <v>5647</v>
      </c>
      <c r="N74" t="s">
        <v>5446</v>
      </c>
      <c r="O74" t="s">
        <v>1417</v>
      </c>
      <c r="P74" t="s">
        <v>1419</v>
      </c>
    </row>
    <row r="75" spans="1:16" x14ac:dyDescent="0.3">
      <c r="A75" t="s">
        <v>494</v>
      </c>
      <c r="B75" t="s">
        <v>1269</v>
      </c>
      <c r="C75" t="s">
        <v>833</v>
      </c>
      <c r="D75" t="s">
        <v>5510</v>
      </c>
      <c r="E75" t="s">
        <v>503</v>
      </c>
      <c r="F75" t="s">
        <v>5648</v>
      </c>
      <c r="G75">
        <v>3000000</v>
      </c>
      <c r="H75">
        <v>3000000</v>
      </c>
      <c r="I75">
        <v>0</v>
      </c>
      <c r="J75">
        <v>3000000</v>
      </c>
      <c r="K75" t="s">
        <v>5536</v>
      </c>
      <c r="L75">
        <v>0</v>
      </c>
      <c r="M75" t="s">
        <v>5649</v>
      </c>
      <c r="N75" t="s">
        <v>5533</v>
      </c>
      <c r="O75" t="s">
        <v>1417</v>
      </c>
      <c r="P75" t="s">
        <v>1419</v>
      </c>
    </row>
    <row r="76" spans="1:16" x14ac:dyDescent="0.3">
      <c r="A76" t="s">
        <v>494</v>
      </c>
      <c r="B76" t="s">
        <v>1269</v>
      </c>
      <c r="C76" t="s">
        <v>833</v>
      </c>
      <c r="D76" t="s">
        <v>5510</v>
      </c>
      <c r="E76" t="s">
        <v>503</v>
      </c>
      <c r="F76" t="s">
        <v>5650</v>
      </c>
      <c r="G76">
        <v>24000000</v>
      </c>
      <c r="H76">
        <v>23902740</v>
      </c>
      <c r="I76">
        <v>0</v>
      </c>
      <c r="J76">
        <v>23902740</v>
      </c>
      <c r="K76" t="s">
        <v>5651</v>
      </c>
      <c r="L76">
        <v>97260</v>
      </c>
      <c r="M76" t="s">
        <v>5652</v>
      </c>
      <c r="N76" t="s">
        <v>5653</v>
      </c>
      <c r="O76" t="s">
        <v>1417</v>
      </c>
      <c r="P76" t="s">
        <v>1419</v>
      </c>
    </row>
    <row r="77" spans="1:16" x14ac:dyDescent="0.3">
      <c r="A77" t="s">
        <v>494</v>
      </c>
      <c r="B77" t="s">
        <v>1269</v>
      </c>
      <c r="C77" t="s">
        <v>833</v>
      </c>
      <c r="D77" t="s">
        <v>5442</v>
      </c>
      <c r="E77" t="s">
        <v>503</v>
      </c>
      <c r="F77" t="s">
        <v>5654</v>
      </c>
      <c r="G77">
        <v>4000000</v>
      </c>
      <c r="H77">
        <v>2970000</v>
      </c>
      <c r="I77">
        <v>0</v>
      </c>
      <c r="J77">
        <v>2970000</v>
      </c>
      <c r="K77" t="s">
        <v>5655</v>
      </c>
      <c r="L77">
        <v>1030000</v>
      </c>
      <c r="M77" t="s">
        <v>5656</v>
      </c>
      <c r="N77" t="s">
        <v>5498</v>
      </c>
      <c r="O77" t="s">
        <v>1403</v>
      </c>
      <c r="P77" t="s">
        <v>1404</v>
      </c>
    </row>
    <row r="78" spans="1:16" x14ac:dyDescent="0.3">
      <c r="A78" t="s">
        <v>494</v>
      </c>
      <c r="B78" t="s">
        <v>1269</v>
      </c>
      <c r="C78" t="s">
        <v>833</v>
      </c>
      <c r="D78" t="s">
        <v>5442</v>
      </c>
      <c r="E78" t="s">
        <v>503</v>
      </c>
      <c r="F78" t="s">
        <v>5657</v>
      </c>
      <c r="G78">
        <v>6000000</v>
      </c>
      <c r="H78">
        <v>2000000</v>
      </c>
      <c r="I78">
        <v>0</v>
      </c>
      <c r="J78">
        <v>2000000</v>
      </c>
      <c r="K78" t="s">
        <v>5635</v>
      </c>
      <c r="L78">
        <v>4000000</v>
      </c>
      <c r="M78" t="s">
        <v>5658</v>
      </c>
      <c r="N78" t="s">
        <v>5446</v>
      </c>
      <c r="O78" t="s">
        <v>1403</v>
      </c>
      <c r="P78" t="s">
        <v>1404</v>
      </c>
    </row>
    <row r="79" spans="1:16" x14ac:dyDescent="0.3">
      <c r="A79" t="s">
        <v>494</v>
      </c>
      <c r="B79" t="s">
        <v>1269</v>
      </c>
      <c r="C79" t="s">
        <v>833</v>
      </c>
      <c r="D79" t="s">
        <v>5455</v>
      </c>
      <c r="E79" t="s">
        <v>503</v>
      </c>
      <c r="F79" t="s">
        <v>5659</v>
      </c>
      <c r="G79">
        <v>1500000</v>
      </c>
      <c r="H79">
        <v>1499000</v>
      </c>
      <c r="I79">
        <v>0</v>
      </c>
      <c r="J79">
        <v>1499000</v>
      </c>
      <c r="K79" t="s">
        <v>5628</v>
      </c>
      <c r="L79">
        <v>1000</v>
      </c>
      <c r="M79" t="s">
        <v>5660</v>
      </c>
      <c r="N79" t="s">
        <v>5533</v>
      </c>
      <c r="O79" t="s">
        <v>1390</v>
      </c>
      <c r="P79" t="s">
        <v>1391</v>
      </c>
    </row>
    <row r="80" spans="1:16" x14ac:dyDescent="0.3">
      <c r="A80" t="s">
        <v>494</v>
      </c>
      <c r="B80" t="s">
        <v>1269</v>
      </c>
      <c r="C80" t="s">
        <v>833</v>
      </c>
      <c r="D80" t="s">
        <v>5455</v>
      </c>
      <c r="E80" t="s">
        <v>503</v>
      </c>
      <c r="F80" t="s">
        <v>5661</v>
      </c>
      <c r="G80">
        <v>2000000</v>
      </c>
      <c r="H80">
        <v>1500000</v>
      </c>
      <c r="I80">
        <v>0</v>
      </c>
      <c r="J80">
        <v>1500000</v>
      </c>
      <c r="K80" t="s">
        <v>5662</v>
      </c>
      <c r="L80">
        <v>500000</v>
      </c>
      <c r="M80" t="s">
        <v>5663</v>
      </c>
      <c r="N80" t="s">
        <v>5498</v>
      </c>
      <c r="O80" t="s">
        <v>1390</v>
      </c>
      <c r="P80" t="s">
        <v>1391</v>
      </c>
    </row>
    <row r="81" spans="1:16" x14ac:dyDescent="0.3">
      <c r="A81" t="s">
        <v>494</v>
      </c>
      <c r="B81" t="s">
        <v>1269</v>
      </c>
      <c r="C81" t="s">
        <v>833</v>
      </c>
      <c r="D81" t="s">
        <v>5455</v>
      </c>
      <c r="E81" t="s">
        <v>503</v>
      </c>
      <c r="F81" t="s">
        <v>5664</v>
      </c>
      <c r="G81">
        <v>1500000</v>
      </c>
      <c r="H81">
        <v>999800</v>
      </c>
      <c r="I81">
        <v>0</v>
      </c>
      <c r="J81">
        <v>999800</v>
      </c>
      <c r="K81" t="s">
        <v>5665</v>
      </c>
      <c r="L81">
        <v>500200</v>
      </c>
      <c r="M81" t="s">
        <v>5666</v>
      </c>
      <c r="N81" t="s">
        <v>5446</v>
      </c>
      <c r="O81" t="s">
        <v>1390</v>
      </c>
      <c r="P81" t="s">
        <v>1391</v>
      </c>
    </row>
    <row r="82" spans="1:16" x14ac:dyDescent="0.3">
      <c r="A82" t="s">
        <v>494</v>
      </c>
      <c r="B82" t="s">
        <v>1036</v>
      </c>
      <c r="C82" t="s">
        <v>1185</v>
      </c>
      <c r="D82" t="s">
        <v>5667</v>
      </c>
      <c r="E82" t="s">
        <v>503</v>
      </c>
      <c r="F82" t="s">
        <v>5668</v>
      </c>
      <c r="G82">
        <v>8400000</v>
      </c>
      <c r="H82">
        <v>3990000</v>
      </c>
      <c r="I82">
        <v>0</v>
      </c>
      <c r="J82">
        <v>3990000</v>
      </c>
      <c r="K82" t="s">
        <v>5669</v>
      </c>
      <c r="L82">
        <v>4410000</v>
      </c>
      <c r="M82" t="s">
        <v>5670</v>
      </c>
      <c r="N82" t="s">
        <v>5671</v>
      </c>
      <c r="O82" t="s">
        <v>1187</v>
      </c>
      <c r="P82" t="s">
        <v>1188</v>
      </c>
    </row>
    <row r="83" spans="1:16" x14ac:dyDescent="0.3">
      <c r="A83" t="s">
        <v>494</v>
      </c>
      <c r="B83" t="s">
        <v>1036</v>
      </c>
      <c r="C83" t="s">
        <v>1185</v>
      </c>
      <c r="D83" t="s">
        <v>5667</v>
      </c>
      <c r="E83" t="s">
        <v>503</v>
      </c>
      <c r="F83" t="s">
        <v>5672</v>
      </c>
      <c r="G83">
        <v>4000000</v>
      </c>
      <c r="H83">
        <v>1957500</v>
      </c>
      <c r="I83">
        <v>0</v>
      </c>
      <c r="J83">
        <v>1957500</v>
      </c>
      <c r="K83" t="s">
        <v>5673</v>
      </c>
      <c r="L83">
        <v>2042500</v>
      </c>
      <c r="M83" t="s">
        <v>5674</v>
      </c>
      <c r="N83" t="s">
        <v>5533</v>
      </c>
      <c r="O83" t="s">
        <v>1187</v>
      </c>
      <c r="P83" t="s">
        <v>1188</v>
      </c>
    </row>
    <row r="84" spans="1:16" x14ac:dyDescent="0.3">
      <c r="A84" t="s">
        <v>494</v>
      </c>
      <c r="B84" t="s">
        <v>3105</v>
      </c>
      <c r="C84" t="s">
        <v>833</v>
      </c>
      <c r="D84" t="s">
        <v>5460</v>
      </c>
      <c r="E84" t="s">
        <v>537</v>
      </c>
      <c r="F84" t="s">
        <v>5675</v>
      </c>
      <c r="G84">
        <v>11000000</v>
      </c>
      <c r="H84">
        <v>4000000</v>
      </c>
      <c r="I84">
        <v>0</v>
      </c>
      <c r="J84">
        <v>4000000</v>
      </c>
      <c r="K84" t="s">
        <v>5676</v>
      </c>
      <c r="L84">
        <v>7000000</v>
      </c>
      <c r="M84" t="s">
        <v>5677</v>
      </c>
      <c r="N84" t="s">
        <v>5446</v>
      </c>
      <c r="O84" t="s">
        <v>3377</v>
      </c>
      <c r="P84" t="s">
        <v>3381</v>
      </c>
    </row>
    <row r="85" spans="1:16" x14ac:dyDescent="0.3">
      <c r="A85" t="s">
        <v>494</v>
      </c>
      <c r="B85" t="s">
        <v>3105</v>
      </c>
      <c r="C85" t="s">
        <v>833</v>
      </c>
      <c r="D85" t="s">
        <v>5460</v>
      </c>
      <c r="E85" t="s">
        <v>537</v>
      </c>
      <c r="F85" t="s">
        <v>5678</v>
      </c>
      <c r="G85">
        <v>16500000</v>
      </c>
      <c r="H85">
        <v>5960000</v>
      </c>
      <c r="I85">
        <v>0</v>
      </c>
      <c r="J85">
        <v>5960000</v>
      </c>
      <c r="K85" t="s">
        <v>5679</v>
      </c>
      <c r="L85">
        <v>10540000</v>
      </c>
      <c r="M85" t="s">
        <v>5680</v>
      </c>
      <c r="N85" t="s">
        <v>5498</v>
      </c>
      <c r="O85" t="s">
        <v>3377</v>
      </c>
      <c r="P85" t="s">
        <v>3381</v>
      </c>
    </row>
    <row r="86" spans="1:16" x14ac:dyDescent="0.3">
      <c r="A86" t="s">
        <v>494</v>
      </c>
      <c r="B86" t="s">
        <v>2469</v>
      </c>
      <c r="C86" t="s">
        <v>833</v>
      </c>
      <c r="D86" t="s">
        <v>5510</v>
      </c>
      <c r="E86" t="s">
        <v>537</v>
      </c>
      <c r="F86" t="s">
        <v>5681</v>
      </c>
      <c r="G86">
        <v>10500000</v>
      </c>
      <c r="H86">
        <v>5848750</v>
      </c>
      <c r="I86">
        <v>0</v>
      </c>
      <c r="J86">
        <v>5848750</v>
      </c>
      <c r="K86" t="s">
        <v>5682</v>
      </c>
      <c r="L86">
        <v>4651250</v>
      </c>
      <c r="M86" t="s">
        <v>5683</v>
      </c>
      <c r="N86" t="s">
        <v>5498</v>
      </c>
      <c r="O86" t="s">
        <v>2771</v>
      </c>
      <c r="P86" t="s">
        <v>2776</v>
      </c>
    </row>
    <row r="87" spans="1:16" x14ac:dyDescent="0.3">
      <c r="A87" t="s">
        <v>494</v>
      </c>
      <c r="B87" t="s">
        <v>2469</v>
      </c>
      <c r="C87" t="s">
        <v>833</v>
      </c>
      <c r="D87" t="s">
        <v>5510</v>
      </c>
      <c r="E87" t="s">
        <v>537</v>
      </c>
      <c r="F87" t="s">
        <v>5684</v>
      </c>
      <c r="G87">
        <v>7000000</v>
      </c>
      <c r="H87">
        <v>3977000</v>
      </c>
      <c r="I87">
        <v>0</v>
      </c>
      <c r="J87">
        <v>3977000</v>
      </c>
      <c r="K87" t="s">
        <v>5685</v>
      </c>
      <c r="L87">
        <v>3023000</v>
      </c>
      <c r="M87" t="s">
        <v>5686</v>
      </c>
      <c r="N87" t="s">
        <v>5446</v>
      </c>
      <c r="O87" t="s">
        <v>2771</v>
      </c>
      <c r="P87" t="s">
        <v>2776</v>
      </c>
    </row>
    <row r="88" spans="1:16" x14ac:dyDescent="0.3">
      <c r="A88" t="s">
        <v>494</v>
      </c>
      <c r="B88" t="s">
        <v>2469</v>
      </c>
      <c r="C88" t="s">
        <v>833</v>
      </c>
      <c r="D88" t="s">
        <v>5442</v>
      </c>
      <c r="E88" t="s">
        <v>537</v>
      </c>
      <c r="F88" t="s">
        <v>5687</v>
      </c>
      <c r="G88">
        <v>12000000</v>
      </c>
      <c r="H88">
        <v>5885000</v>
      </c>
      <c r="I88">
        <v>0</v>
      </c>
      <c r="J88">
        <v>5885000</v>
      </c>
      <c r="K88" t="s">
        <v>5688</v>
      </c>
      <c r="L88">
        <v>6115000</v>
      </c>
      <c r="M88" t="s">
        <v>5689</v>
      </c>
      <c r="N88" t="s">
        <v>5498</v>
      </c>
      <c r="O88" t="s">
        <v>2756</v>
      </c>
      <c r="P88" t="s">
        <v>2763</v>
      </c>
    </row>
    <row r="89" spans="1:16" x14ac:dyDescent="0.3">
      <c r="A89" t="s">
        <v>494</v>
      </c>
      <c r="B89" t="s">
        <v>2469</v>
      </c>
      <c r="C89" t="s">
        <v>833</v>
      </c>
      <c r="D89" t="s">
        <v>5442</v>
      </c>
      <c r="E89" t="s">
        <v>537</v>
      </c>
      <c r="F89" t="s">
        <v>5690</v>
      </c>
      <c r="G89">
        <v>8000000</v>
      </c>
      <c r="H89">
        <v>3898000</v>
      </c>
      <c r="I89">
        <v>0</v>
      </c>
      <c r="J89">
        <v>3898000</v>
      </c>
      <c r="K89" t="s">
        <v>5691</v>
      </c>
      <c r="L89">
        <v>4102000</v>
      </c>
      <c r="M89" t="s">
        <v>5692</v>
      </c>
      <c r="N89" t="s">
        <v>5446</v>
      </c>
      <c r="O89" t="s">
        <v>2756</v>
      </c>
      <c r="P89" t="s">
        <v>2763</v>
      </c>
    </row>
    <row r="90" spans="1:16" x14ac:dyDescent="0.3">
      <c r="A90" t="s">
        <v>494</v>
      </c>
      <c r="B90" t="s">
        <v>2469</v>
      </c>
      <c r="C90" t="s">
        <v>833</v>
      </c>
      <c r="D90" t="s">
        <v>5455</v>
      </c>
      <c r="E90" t="s">
        <v>537</v>
      </c>
      <c r="F90" t="s">
        <v>5693</v>
      </c>
      <c r="G90">
        <v>6000000</v>
      </c>
      <c r="H90">
        <v>2910000</v>
      </c>
      <c r="I90">
        <v>0</v>
      </c>
      <c r="J90">
        <v>2910000</v>
      </c>
      <c r="K90" t="s">
        <v>5694</v>
      </c>
      <c r="L90">
        <v>3090000</v>
      </c>
      <c r="M90" t="s">
        <v>5695</v>
      </c>
      <c r="N90" t="s">
        <v>5498</v>
      </c>
      <c r="O90" t="s">
        <v>2741</v>
      </c>
      <c r="P90" t="s">
        <v>2750</v>
      </c>
    </row>
    <row r="91" spans="1:16" x14ac:dyDescent="0.3">
      <c r="A91" t="s">
        <v>494</v>
      </c>
      <c r="B91" t="s">
        <v>2469</v>
      </c>
      <c r="C91" t="s">
        <v>833</v>
      </c>
      <c r="D91" t="s">
        <v>5455</v>
      </c>
      <c r="E91" t="s">
        <v>537</v>
      </c>
      <c r="F91" t="s">
        <v>5696</v>
      </c>
      <c r="G91">
        <v>4000000</v>
      </c>
      <c r="H91">
        <v>1939000</v>
      </c>
      <c r="I91">
        <v>0</v>
      </c>
      <c r="J91">
        <v>1939000</v>
      </c>
      <c r="K91" t="s">
        <v>5697</v>
      </c>
      <c r="L91">
        <v>2061000</v>
      </c>
      <c r="M91" t="s">
        <v>5698</v>
      </c>
      <c r="N91" t="s">
        <v>5446</v>
      </c>
      <c r="O91" t="s">
        <v>2741</v>
      </c>
      <c r="P91" t="s">
        <v>2750</v>
      </c>
    </row>
    <row r="92" spans="1:16" x14ac:dyDescent="0.3">
      <c r="A92" t="s">
        <v>494</v>
      </c>
      <c r="B92" t="s">
        <v>1700</v>
      </c>
      <c r="C92" t="s">
        <v>557</v>
      </c>
      <c r="D92" t="s">
        <v>5699</v>
      </c>
      <c r="E92" t="s">
        <v>537</v>
      </c>
      <c r="F92" t="s">
        <v>5700</v>
      </c>
      <c r="G92">
        <v>11000000</v>
      </c>
      <c r="H92">
        <v>5500000</v>
      </c>
      <c r="I92">
        <v>0</v>
      </c>
      <c r="J92">
        <v>5500000</v>
      </c>
      <c r="K92" t="s">
        <v>5540</v>
      </c>
      <c r="L92">
        <v>5500000</v>
      </c>
      <c r="M92" t="s">
        <v>5701</v>
      </c>
      <c r="N92" t="s">
        <v>5702</v>
      </c>
      <c r="O92" t="s">
        <v>2170</v>
      </c>
      <c r="P92" t="s">
        <v>2189</v>
      </c>
    </row>
    <row r="93" spans="1:16" x14ac:dyDescent="0.3">
      <c r="A93" t="s">
        <v>494</v>
      </c>
      <c r="B93" t="s">
        <v>1700</v>
      </c>
      <c r="C93" t="s">
        <v>557</v>
      </c>
      <c r="D93" t="s">
        <v>5699</v>
      </c>
      <c r="E93" t="s">
        <v>537</v>
      </c>
      <c r="F93" t="s">
        <v>5703</v>
      </c>
      <c r="G93">
        <v>4000000</v>
      </c>
      <c r="H93">
        <v>4000000</v>
      </c>
      <c r="I93">
        <v>0</v>
      </c>
      <c r="J93">
        <v>4000000</v>
      </c>
      <c r="K93" t="s">
        <v>5536</v>
      </c>
      <c r="L93">
        <v>0</v>
      </c>
      <c r="M93" t="s">
        <v>5704</v>
      </c>
      <c r="N93" t="s">
        <v>5705</v>
      </c>
      <c r="O93" t="s">
        <v>2170</v>
      </c>
      <c r="P93" t="s">
        <v>2189</v>
      </c>
    </row>
    <row r="94" spans="1:16" x14ac:dyDescent="0.3">
      <c r="A94" t="s">
        <v>494</v>
      </c>
      <c r="B94" t="s">
        <v>1700</v>
      </c>
      <c r="C94" t="s">
        <v>557</v>
      </c>
      <c r="D94" t="s">
        <v>5699</v>
      </c>
      <c r="E94" t="s">
        <v>537</v>
      </c>
      <c r="F94" t="s">
        <v>5706</v>
      </c>
      <c r="G94">
        <v>12000000</v>
      </c>
      <c r="H94">
        <v>5995000</v>
      </c>
      <c r="I94">
        <v>0</v>
      </c>
      <c r="J94">
        <v>5995000</v>
      </c>
      <c r="K94" t="s">
        <v>5707</v>
      </c>
      <c r="L94">
        <v>6005000</v>
      </c>
      <c r="M94" t="s">
        <v>5708</v>
      </c>
      <c r="N94" t="s">
        <v>5709</v>
      </c>
      <c r="O94" t="s">
        <v>2170</v>
      </c>
      <c r="P94" t="s">
        <v>2189</v>
      </c>
    </row>
    <row r="95" spans="1:16" x14ac:dyDescent="0.3">
      <c r="A95" t="s">
        <v>494</v>
      </c>
      <c r="B95" t="s">
        <v>1700</v>
      </c>
      <c r="C95" t="s">
        <v>557</v>
      </c>
      <c r="D95" t="s">
        <v>5699</v>
      </c>
      <c r="E95" t="s">
        <v>537</v>
      </c>
      <c r="F95" t="s">
        <v>5710</v>
      </c>
      <c r="G95">
        <v>11000000</v>
      </c>
      <c r="H95">
        <v>5500000</v>
      </c>
      <c r="I95">
        <v>0</v>
      </c>
      <c r="J95">
        <v>5500000</v>
      </c>
      <c r="K95" t="s">
        <v>5540</v>
      </c>
      <c r="L95">
        <v>5500000</v>
      </c>
      <c r="M95" t="s">
        <v>5711</v>
      </c>
      <c r="N95" t="s">
        <v>5712</v>
      </c>
      <c r="O95" t="s">
        <v>2170</v>
      </c>
      <c r="P95" t="s">
        <v>2189</v>
      </c>
    </row>
    <row r="96" spans="1:16" x14ac:dyDescent="0.3">
      <c r="A96" t="s">
        <v>494</v>
      </c>
      <c r="B96" t="s">
        <v>1700</v>
      </c>
      <c r="C96" t="s">
        <v>557</v>
      </c>
      <c r="D96" t="s">
        <v>5699</v>
      </c>
      <c r="E96" t="s">
        <v>537</v>
      </c>
      <c r="F96" t="s">
        <v>5713</v>
      </c>
      <c r="G96">
        <v>10560000</v>
      </c>
      <c r="H96">
        <v>4400000</v>
      </c>
      <c r="I96">
        <v>0</v>
      </c>
      <c r="J96">
        <v>4400000</v>
      </c>
      <c r="K96" t="s">
        <v>5714</v>
      </c>
      <c r="L96">
        <v>6160000</v>
      </c>
      <c r="M96" t="s">
        <v>5715</v>
      </c>
      <c r="N96" t="s">
        <v>5716</v>
      </c>
      <c r="O96" t="s">
        <v>2170</v>
      </c>
      <c r="P96" t="s">
        <v>2189</v>
      </c>
    </row>
    <row r="97" spans="1:16" x14ac:dyDescent="0.3">
      <c r="A97" t="s">
        <v>494</v>
      </c>
      <c r="B97" t="s">
        <v>1700</v>
      </c>
      <c r="C97" t="s">
        <v>557</v>
      </c>
      <c r="D97" t="s">
        <v>5699</v>
      </c>
      <c r="E97" t="s">
        <v>537</v>
      </c>
      <c r="F97" t="s">
        <v>5717</v>
      </c>
      <c r="G97">
        <v>9600000</v>
      </c>
      <c r="H97">
        <v>4000000</v>
      </c>
      <c r="I97">
        <v>0</v>
      </c>
      <c r="J97">
        <v>4000000</v>
      </c>
      <c r="K97" t="s">
        <v>5714</v>
      </c>
      <c r="L97">
        <v>5600000</v>
      </c>
      <c r="M97" t="s">
        <v>5718</v>
      </c>
      <c r="N97" t="s">
        <v>5719</v>
      </c>
      <c r="O97" t="s">
        <v>2170</v>
      </c>
      <c r="P97" t="s">
        <v>2189</v>
      </c>
    </row>
    <row r="98" spans="1:16" x14ac:dyDescent="0.3">
      <c r="A98" t="s">
        <v>494</v>
      </c>
      <c r="B98" t="s">
        <v>1700</v>
      </c>
      <c r="C98" t="s">
        <v>557</v>
      </c>
      <c r="D98" t="s">
        <v>5699</v>
      </c>
      <c r="E98" t="s">
        <v>537</v>
      </c>
      <c r="F98" t="s">
        <v>5720</v>
      </c>
      <c r="G98">
        <v>60000000</v>
      </c>
      <c r="H98">
        <v>19370000</v>
      </c>
      <c r="I98">
        <v>0</v>
      </c>
      <c r="J98">
        <v>19370000</v>
      </c>
      <c r="K98" t="s">
        <v>5721</v>
      </c>
      <c r="L98">
        <v>40630000</v>
      </c>
      <c r="M98" t="s">
        <v>5722</v>
      </c>
      <c r="N98" t="s">
        <v>5498</v>
      </c>
      <c r="O98" t="s">
        <v>2170</v>
      </c>
      <c r="P98" t="s">
        <v>2189</v>
      </c>
    </row>
    <row r="99" spans="1:16" x14ac:dyDescent="0.3">
      <c r="A99" t="s">
        <v>494</v>
      </c>
      <c r="B99" t="s">
        <v>1700</v>
      </c>
      <c r="C99" t="s">
        <v>557</v>
      </c>
      <c r="D99" t="s">
        <v>5699</v>
      </c>
      <c r="E99" t="s">
        <v>537</v>
      </c>
      <c r="F99" t="s">
        <v>5723</v>
      </c>
      <c r="G99">
        <v>40000000</v>
      </c>
      <c r="H99">
        <v>15943000</v>
      </c>
      <c r="I99">
        <v>0</v>
      </c>
      <c r="J99">
        <v>15943000</v>
      </c>
      <c r="K99" t="s">
        <v>5724</v>
      </c>
      <c r="L99">
        <v>24057000</v>
      </c>
      <c r="M99" t="s">
        <v>5725</v>
      </c>
      <c r="N99" t="s">
        <v>5446</v>
      </c>
      <c r="O99" t="s">
        <v>2170</v>
      </c>
      <c r="P99" t="s">
        <v>2189</v>
      </c>
    </row>
    <row r="100" spans="1:16" x14ac:dyDescent="0.3">
      <c r="A100" t="s">
        <v>494</v>
      </c>
      <c r="B100" t="s">
        <v>1036</v>
      </c>
      <c r="C100" t="s">
        <v>1185</v>
      </c>
      <c r="D100" t="s">
        <v>5667</v>
      </c>
      <c r="E100" t="s">
        <v>537</v>
      </c>
      <c r="F100" t="s">
        <v>5726</v>
      </c>
      <c r="G100">
        <v>6000000</v>
      </c>
      <c r="H100">
        <v>2403750</v>
      </c>
      <c r="I100">
        <v>0</v>
      </c>
      <c r="J100">
        <v>2403750</v>
      </c>
      <c r="K100" t="s">
        <v>5727</v>
      </c>
      <c r="L100">
        <v>3596250</v>
      </c>
      <c r="M100" t="s">
        <v>5728</v>
      </c>
      <c r="N100" t="s">
        <v>5729</v>
      </c>
      <c r="O100" t="s">
        <v>1187</v>
      </c>
      <c r="P100" t="s">
        <v>1194</v>
      </c>
    </row>
    <row r="101" spans="1:16" x14ac:dyDescent="0.3">
      <c r="A101" t="s">
        <v>494</v>
      </c>
      <c r="B101" t="s">
        <v>1036</v>
      </c>
      <c r="C101" t="s">
        <v>1185</v>
      </c>
      <c r="D101" t="s">
        <v>5667</v>
      </c>
      <c r="E101" t="s">
        <v>537</v>
      </c>
      <c r="F101" t="s">
        <v>5730</v>
      </c>
      <c r="G101">
        <v>4000000</v>
      </c>
      <c r="H101">
        <v>1976000</v>
      </c>
      <c r="I101">
        <v>0</v>
      </c>
      <c r="J101">
        <v>1976000</v>
      </c>
      <c r="K101" t="s">
        <v>5731</v>
      </c>
      <c r="L101">
        <v>2024000</v>
      </c>
      <c r="M101" t="s">
        <v>5732</v>
      </c>
      <c r="N101" t="s">
        <v>5446</v>
      </c>
      <c r="O101" t="s">
        <v>1187</v>
      </c>
      <c r="P101" t="s">
        <v>1194</v>
      </c>
    </row>
    <row r="102" spans="1:16" x14ac:dyDescent="0.3">
      <c r="A102" t="s">
        <v>494</v>
      </c>
      <c r="B102" t="s">
        <v>1700</v>
      </c>
      <c r="C102" t="s">
        <v>557</v>
      </c>
      <c r="D102" t="s">
        <v>5733</v>
      </c>
      <c r="E102" t="s">
        <v>570</v>
      </c>
      <c r="F102" t="s">
        <v>5734</v>
      </c>
      <c r="G102">
        <v>2400000</v>
      </c>
      <c r="H102">
        <v>600000</v>
      </c>
      <c r="I102">
        <v>0</v>
      </c>
      <c r="J102">
        <v>600000</v>
      </c>
      <c r="K102" t="s">
        <v>5549</v>
      </c>
      <c r="L102">
        <v>1800000</v>
      </c>
      <c r="M102" t="s">
        <v>5735</v>
      </c>
      <c r="N102" t="s">
        <v>5736</v>
      </c>
      <c r="O102" t="s">
        <v>2238</v>
      </c>
      <c r="P102" t="s">
        <v>2247</v>
      </c>
    </row>
    <row r="103" spans="1:16" x14ac:dyDescent="0.3">
      <c r="A103" t="s">
        <v>494</v>
      </c>
      <c r="B103" t="s">
        <v>1700</v>
      </c>
      <c r="C103" t="s">
        <v>557</v>
      </c>
      <c r="D103" t="s">
        <v>5733</v>
      </c>
      <c r="E103" t="s">
        <v>570</v>
      </c>
      <c r="F103" t="s">
        <v>5737</v>
      </c>
      <c r="G103">
        <v>960000</v>
      </c>
      <c r="H103">
        <v>240000</v>
      </c>
      <c r="I103">
        <v>0</v>
      </c>
      <c r="J103">
        <v>240000</v>
      </c>
      <c r="K103" t="s">
        <v>5549</v>
      </c>
      <c r="L103">
        <v>720000</v>
      </c>
      <c r="M103" t="s">
        <v>5738</v>
      </c>
      <c r="N103" t="s">
        <v>5739</v>
      </c>
      <c r="O103" t="s">
        <v>2238</v>
      </c>
      <c r="P103" t="s">
        <v>2247</v>
      </c>
    </row>
    <row r="104" spans="1:16" x14ac:dyDescent="0.3">
      <c r="A104" t="s">
        <v>494</v>
      </c>
      <c r="B104" t="s">
        <v>1700</v>
      </c>
      <c r="C104" t="s">
        <v>557</v>
      </c>
      <c r="D104" t="s">
        <v>5733</v>
      </c>
      <c r="E104" t="s">
        <v>570</v>
      </c>
      <c r="F104" t="s">
        <v>5740</v>
      </c>
      <c r="G104">
        <v>2400000</v>
      </c>
      <c r="H104">
        <v>600000</v>
      </c>
      <c r="I104">
        <v>0</v>
      </c>
      <c r="J104">
        <v>600000</v>
      </c>
      <c r="K104" t="s">
        <v>5549</v>
      </c>
      <c r="L104">
        <v>1800000</v>
      </c>
      <c r="M104" t="s">
        <v>5741</v>
      </c>
      <c r="N104" t="s">
        <v>5742</v>
      </c>
      <c r="O104" t="s">
        <v>2238</v>
      </c>
      <c r="P104" t="s">
        <v>2247</v>
      </c>
    </row>
    <row r="105" spans="1:16" x14ac:dyDescent="0.3">
      <c r="A105" t="s">
        <v>494</v>
      </c>
      <c r="B105" t="s">
        <v>1700</v>
      </c>
      <c r="C105" t="s">
        <v>557</v>
      </c>
      <c r="D105" t="s">
        <v>5733</v>
      </c>
      <c r="E105" t="s">
        <v>570</v>
      </c>
      <c r="F105" t="s">
        <v>5743</v>
      </c>
      <c r="G105">
        <v>8160000</v>
      </c>
      <c r="H105">
        <v>2040000</v>
      </c>
      <c r="I105">
        <v>0</v>
      </c>
      <c r="J105">
        <v>2040000</v>
      </c>
      <c r="K105" t="s">
        <v>5549</v>
      </c>
      <c r="L105">
        <v>6120000</v>
      </c>
      <c r="M105" t="s">
        <v>5744</v>
      </c>
      <c r="N105" t="s">
        <v>5745</v>
      </c>
      <c r="O105" t="s">
        <v>2238</v>
      </c>
      <c r="P105" t="s">
        <v>2247</v>
      </c>
    </row>
    <row r="106" spans="1:16" x14ac:dyDescent="0.3">
      <c r="A106" t="s">
        <v>494</v>
      </c>
      <c r="B106" t="s">
        <v>1700</v>
      </c>
      <c r="C106" t="s">
        <v>557</v>
      </c>
      <c r="D106" t="s">
        <v>5733</v>
      </c>
      <c r="E106" t="s">
        <v>570</v>
      </c>
      <c r="F106" t="s">
        <v>5746</v>
      </c>
      <c r="G106">
        <v>3888000</v>
      </c>
      <c r="H106">
        <v>972000</v>
      </c>
      <c r="I106">
        <v>0</v>
      </c>
      <c r="J106">
        <v>972000</v>
      </c>
      <c r="K106" t="s">
        <v>5549</v>
      </c>
      <c r="L106">
        <v>2916000</v>
      </c>
      <c r="M106" t="s">
        <v>5747</v>
      </c>
      <c r="N106" t="s">
        <v>5748</v>
      </c>
      <c r="O106" t="s">
        <v>2238</v>
      </c>
      <c r="P106" t="s">
        <v>2247</v>
      </c>
    </row>
    <row r="107" spans="1:16" x14ac:dyDescent="0.3">
      <c r="A107" t="s">
        <v>494</v>
      </c>
      <c r="B107" t="s">
        <v>1700</v>
      </c>
      <c r="C107" t="s">
        <v>557</v>
      </c>
      <c r="D107" t="s">
        <v>5733</v>
      </c>
      <c r="E107" t="s">
        <v>570</v>
      </c>
      <c r="F107" t="s">
        <v>5749</v>
      </c>
      <c r="G107">
        <v>3888000</v>
      </c>
      <c r="H107">
        <v>2932000</v>
      </c>
      <c r="I107">
        <v>0</v>
      </c>
      <c r="J107">
        <v>2932000</v>
      </c>
      <c r="K107" t="s">
        <v>5750</v>
      </c>
      <c r="L107">
        <v>956000</v>
      </c>
      <c r="M107" t="s">
        <v>5751</v>
      </c>
      <c r="N107" t="s">
        <v>5752</v>
      </c>
      <c r="O107" t="s">
        <v>2238</v>
      </c>
      <c r="P107" t="s">
        <v>2247</v>
      </c>
    </row>
    <row r="108" spans="1:16" x14ac:dyDescent="0.3">
      <c r="A108" t="s">
        <v>494</v>
      </c>
      <c r="B108" t="s">
        <v>1700</v>
      </c>
      <c r="C108" t="s">
        <v>557</v>
      </c>
      <c r="D108" t="s">
        <v>5733</v>
      </c>
      <c r="E108" t="s">
        <v>570</v>
      </c>
      <c r="F108" t="s">
        <v>5753</v>
      </c>
      <c r="G108">
        <v>35040000</v>
      </c>
      <c r="H108">
        <v>8760000</v>
      </c>
      <c r="I108">
        <v>0</v>
      </c>
      <c r="J108">
        <v>8760000</v>
      </c>
      <c r="K108" t="s">
        <v>5549</v>
      </c>
      <c r="L108">
        <v>26280000</v>
      </c>
      <c r="M108" t="s">
        <v>5754</v>
      </c>
      <c r="N108" t="s">
        <v>5755</v>
      </c>
      <c r="O108" t="s">
        <v>2238</v>
      </c>
      <c r="P108" t="s">
        <v>2247</v>
      </c>
    </row>
    <row r="109" spans="1:16" x14ac:dyDescent="0.3">
      <c r="A109" t="s">
        <v>494</v>
      </c>
      <c r="B109" t="s">
        <v>1700</v>
      </c>
      <c r="C109" t="s">
        <v>557</v>
      </c>
      <c r="D109" t="s">
        <v>5733</v>
      </c>
      <c r="E109" t="s">
        <v>559</v>
      </c>
      <c r="F109" t="s">
        <v>5756</v>
      </c>
      <c r="G109">
        <v>85700000</v>
      </c>
      <c r="H109">
        <v>44410000</v>
      </c>
      <c r="I109">
        <v>0</v>
      </c>
      <c r="J109">
        <v>44410000</v>
      </c>
      <c r="K109" t="s">
        <v>5757</v>
      </c>
      <c r="L109">
        <v>41290000</v>
      </c>
      <c r="M109" t="s">
        <v>5758</v>
      </c>
      <c r="N109" t="s">
        <v>5759</v>
      </c>
      <c r="O109" t="s">
        <v>2238</v>
      </c>
      <c r="P109" t="s">
        <v>2241</v>
      </c>
    </row>
    <row r="110" spans="1:16" x14ac:dyDescent="0.3">
      <c r="A110" t="s">
        <v>494</v>
      </c>
      <c r="B110" t="s">
        <v>1700</v>
      </c>
      <c r="C110" t="s">
        <v>557</v>
      </c>
      <c r="D110" t="s">
        <v>5760</v>
      </c>
      <c r="E110" t="s">
        <v>568</v>
      </c>
      <c r="F110" t="s">
        <v>5761</v>
      </c>
      <c r="G110">
        <v>36000000</v>
      </c>
      <c r="H110">
        <v>9000000</v>
      </c>
      <c r="I110">
        <v>0</v>
      </c>
      <c r="J110">
        <v>9000000</v>
      </c>
      <c r="K110" t="s">
        <v>5549</v>
      </c>
      <c r="L110">
        <v>27000000</v>
      </c>
      <c r="M110" t="s">
        <v>5762</v>
      </c>
      <c r="N110" t="s">
        <v>5763</v>
      </c>
      <c r="O110" t="s">
        <v>2218</v>
      </c>
      <c r="P110" t="s">
        <v>2235</v>
      </c>
    </row>
    <row r="111" spans="1:16" x14ac:dyDescent="0.3">
      <c r="A111" t="s">
        <v>494</v>
      </c>
      <c r="B111" t="s">
        <v>1700</v>
      </c>
      <c r="C111" t="s">
        <v>557</v>
      </c>
      <c r="D111" t="s">
        <v>5760</v>
      </c>
      <c r="E111" t="s">
        <v>567</v>
      </c>
      <c r="F111" t="s">
        <v>5764</v>
      </c>
      <c r="G111">
        <v>2820000</v>
      </c>
      <c r="H111">
        <v>935000</v>
      </c>
      <c r="I111">
        <v>0</v>
      </c>
      <c r="J111">
        <v>935000</v>
      </c>
      <c r="K111" t="s">
        <v>5765</v>
      </c>
      <c r="L111">
        <v>1885000</v>
      </c>
      <c r="M111" t="s">
        <v>5766</v>
      </c>
      <c r="N111" t="s">
        <v>5767</v>
      </c>
      <c r="O111" t="s">
        <v>2218</v>
      </c>
      <c r="P111" t="s">
        <v>2221</v>
      </c>
    </row>
    <row r="112" spans="1:16" x14ac:dyDescent="0.3">
      <c r="A112" t="s">
        <v>494</v>
      </c>
      <c r="B112" t="s">
        <v>1700</v>
      </c>
      <c r="C112" t="s">
        <v>557</v>
      </c>
      <c r="D112" t="s">
        <v>5760</v>
      </c>
      <c r="E112" t="s">
        <v>567</v>
      </c>
      <c r="F112" t="s">
        <v>5768</v>
      </c>
      <c r="G112">
        <v>10500000</v>
      </c>
      <c r="H112">
        <v>3547500</v>
      </c>
      <c r="I112">
        <v>0</v>
      </c>
      <c r="J112">
        <v>3547500</v>
      </c>
      <c r="K112" t="s">
        <v>5769</v>
      </c>
      <c r="L112">
        <v>6952500</v>
      </c>
      <c r="M112" t="s">
        <v>5770</v>
      </c>
      <c r="N112" t="s">
        <v>5771</v>
      </c>
      <c r="O112" t="s">
        <v>2218</v>
      </c>
      <c r="P112" t="s">
        <v>2221</v>
      </c>
    </row>
    <row r="113" spans="1:16" x14ac:dyDescent="0.3">
      <c r="A113" t="s">
        <v>494</v>
      </c>
      <c r="B113" t="s">
        <v>1700</v>
      </c>
      <c r="C113" t="s">
        <v>557</v>
      </c>
      <c r="D113" t="s">
        <v>5760</v>
      </c>
      <c r="E113" t="s">
        <v>567</v>
      </c>
      <c r="F113" t="s">
        <v>5772</v>
      </c>
      <c r="G113">
        <v>24150000</v>
      </c>
      <c r="H113">
        <v>5500000</v>
      </c>
      <c r="I113">
        <v>0</v>
      </c>
      <c r="J113">
        <v>5500000</v>
      </c>
      <c r="K113" t="s">
        <v>5773</v>
      </c>
      <c r="L113">
        <v>18650000</v>
      </c>
      <c r="M113" t="s">
        <v>5774</v>
      </c>
      <c r="N113" t="s">
        <v>5775</v>
      </c>
      <c r="O113" t="s">
        <v>2218</v>
      </c>
      <c r="P113" t="s">
        <v>2221</v>
      </c>
    </row>
    <row r="114" spans="1:16" x14ac:dyDescent="0.3">
      <c r="A114" t="s">
        <v>494</v>
      </c>
      <c r="B114" t="s">
        <v>1700</v>
      </c>
      <c r="C114" t="s">
        <v>557</v>
      </c>
      <c r="D114" t="s">
        <v>5760</v>
      </c>
      <c r="E114" t="s">
        <v>567</v>
      </c>
      <c r="F114" t="s">
        <v>5776</v>
      </c>
      <c r="G114">
        <v>25550000</v>
      </c>
      <c r="H114">
        <v>4349400</v>
      </c>
      <c r="I114">
        <v>0</v>
      </c>
      <c r="J114">
        <v>4349400</v>
      </c>
      <c r="K114" t="s">
        <v>5777</v>
      </c>
      <c r="L114">
        <v>21200600</v>
      </c>
      <c r="M114" t="s">
        <v>5778</v>
      </c>
      <c r="N114" t="s">
        <v>5779</v>
      </c>
      <c r="O114" t="s">
        <v>2218</v>
      </c>
      <c r="P114" t="s">
        <v>2221</v>
      </c>
    </row>
    <row r="115" spans="1:16" x14ac:dyDescent="0.3">
      <c r="A115" t="s">
        <v>494</v>
      </c>
      <c r="B115" t="s">
        <v>1700</v>
      </c>
      <c r="C115" t="s">
        <v>557</v>
      </c>
      <c r="D115" t="s">
        <v>5760</v>
      </c>
      <c r="E115" t="s">
        <v>567</v>
      </c>
      <c r="F115" t="s">
        <v>5780</v>
      </c>
      <c r="G115">
        <v>18200000</v>
      </c>
      <c r="H115">
        <v>3492900</v>
      </c>
      <c r="I115">
        <v>0</v>
      </c>
      <c r="J115">
        <v>3492900</v>
      </c>
      <c r="K115" t="s">
        <v>5781</v>
      </c>
      <c r="L115">
        <v>14707100</v>
      </c>
      <c r="M115" t="s">
        <v>5782</v>
      </c>
      <c r="N115" t="s">
        <v>5783</v>
      </c>
      <c r="O115" t="s">
        <v>2218</v>
      </c>
      <c r="P115" t="s">
        <v>2221</v>
      </c>
    </row>
    <row r="116" spans="1:16" x14ac:dyDescent="0.3">
      <c r="A116" t="s">
        <v>494</v>
      </c>
      <c r="B116" t="s">
        <v>1700</v>
      </c>
      <c r="C116" t="s">
        <v>557</v>
      </c>
      <c r="D116" t="s">
        <v>5760</v>
      </c>
      <c r="E116" t="s">
        <v>567</v>
      </c>
      <c r="F116" t="s">
        <v>5784</v>
      </c>
      <c r="G116">
        <v>295650000</v>
      </c>
      <c r="H116">
        <v>58531640</v>
      </c>
      <c r="I116">
        <v>0</v>
      </c>
      <c r="J116">
        <v>58531640</v>
      </c>
      <c r="K116" t="s">
        <v>5785</v>
      </c>
      <c r="L116">
        <v>237118360</v>
      </c>
      <c r="M116" t="s">
        <v>5786</v>
      </c>
      <c r="N116" t="s">
        <v>5787</v>
      </c>
      <c r="O116" t="s">
        <v>2218</v>
      </c>
      <c r="P116" t="s">
        <v>2221</v>
      </c>
    </row>
    <row r="117" spans="1:16" x14ac:dyDescent="0.3">
      <c r="A117" t="s">
        <v>494</v>
      </c>
      <c r="B117" t="s">
        <v>1700</v>
      </c>
      <c r="C117" t="s">
        <v>557</v>
      </c>
      <c r="D117" t="s">
        <v>5760</v>
      </c>
      <c r="E117" t="s">
        <v>567</v>
      </c>
      <c r="F117" t="s">
        <v>5788</v>
      </c>
      <c r="G117">
        <v>38730000</v>
      </c>
      <c r="H117">
        <v>9519000</v>
      </c>
      <c r="I117">
        <v>0</v>
      </c>
      <c r="J117">
        <v>9519000</v>
      </c>
      <c r="K117" t="s">
        <v>5789</v>
      </c>
      <c r="L117">
        <v>29211000</v>
      </c>
      <c r="M117" t="s">
        <v>5790</v>
      </c>
      <c r="N117" t="s">
        <v>5791</v>
      </c>
      <c r="O117" t="s">
        <v>2218</v>
      </c>
      <c r="P117" t="s">
        <v>2221</v>
      </c>
    </row>
    <row r="118" spans="1:16" x14ac:dyDescent="0.3">
      <c r="A118" t="s">
        <v>494</v>
      </c>
      <c r="B118" t="s">
        <v>1700</v>
      </c>
      <c r="C118" t="s">
        <v>557</v>
      </c>
      <c r="D118" t="s">
        <v>5792</v>
      </c>
      <c r="E118" t="s">
        <v>564</v>
      </c>
      <c r="F118" t="s">
        <v>5793</v>
      </c>
      <c r="G118">
        <v>60000000</v>
      </c>
      <c r="H118">
        <v>19800000</v>
      </c>
      <c r="I118">
        <v>0</v>
      </c>
      <c r="J118">
        <v>19800000</v>
      </c>
      <c r="K118" t="s">
        <v>5794</v>
      </c>
      <c r="L118">
        <v>40200000</v>
      </c>
      <c r="M118" t="s">
        <v>5795</v>
      </c>
      <c r="N118" t="s">
        <v>5796</v>
      </c>
      <c r="O118" t="s">
        <v>2207</v>
      </c>
      <c r="P118" t="s">
        <v>2213</v>
      </c>
    </row>
    <row r="119" spans="1:16" x14ac:dyDescent="0.3">
      <c r="A119" t="s">
        <v>494</v>
      </c>
      <c r="B119" t="s">
        <v>1700</v>
      </c>
      <c r="C119" t="s">
        <v>557</v>
      </c>
      <c r="D119" t="s">
        <v>5792</v>
      </c>
      <c r="E119" t="s">
        <v>563</v>
      </c>
      <c r="F119" t="s">
        <v>5797</v>
      </c>
      <c r="G119">
        <v>30000000</v>
      </c>
      <c r="H119">
        <v>2286050</v>
      </c>
      <c r="I119">
        <v>0</v>
      </c>
      <c r="J119">
        <v>2286050</v>
      </c>
      <c r="K119" t="s">
        <v>5798</v>
      </c>
      <c r="L119">
        <v>27713950</v>
      </c>
      <c r="M119" t="s">
        <v>5799</v>
      </c>
      <c r="N119" t="s">
        <v>5800</v>
      </c>
      <c r="O119" t="s">
        <v>2207</v>
      </c>
      <c r="P119" t="s">
        <v>2210</v>
      </c>
    </row>
    <row r="120" spans="1:16" x14ac:dyDescent="0.3">
      <c r="A120" t="s">
        <v>494</v>
      </c>
      <c r="B120" t="s">
        <v>1700</v>
      </c>
      <c r="C120" t="s">
        <v>557</v>
      </c>
      <c r="D120" t="s">
        <v>5699</v>
      </c>
      <c r="E120" t="s">
        <v>559</v>
      </c>
      <c r="F120" t="s">
        <v>5801</v>
      </c>
      <c r="G120">
        <v>33000000</v>
      </c>
      <c r="H120">
        <v>4800000</v>
      </c>
      <c r="I120">
        <v>0</v>
      </c>
      <c r="J120">
        <v>4800000</v>
      </c>
      <c r="K120" t="s">
        <v>5802</v>
      </c>
      <c r="L120">
        <v>28200000</v>
      </c>
      <c r="M120" t="s">
        <v>5803</v>
      </c>
      <c r="N120" t="s">
        <v>5804</v>
      </c>
      <c r="O120" t="s">
        <v>2170</v>
      </c>
      <c r="P120" t="s">
        <v>2172</v>
      </c>
    </row>
    <row r="121" spans="1:16" x14ac:dyDescent="0.3">
      <c r="A121" t="s">
        <v>494</v>
      </c>
      <c r="B121" t="s">
        <v>1700</v>
      </c>
      <c r="C121" t="s">
        <v>557</v>
      </c>
      <c r="D121" t="s">
        <v>5699</v>
      </c>
      <c r="E121" t="s">
        <v>559</v>
      </c>
      <c r="F121" t="s">
        <v>5805</v>
      </c>
      <c r="G121">
        <v>19200000</v>
      </c>
      <c r="H121">
        <v>3893490</v>
      </c>
      <c r="I121">
        <v>0</v>
      </c>
      <c r="J121">
        <v>3893490</v>
      </c>
      <c r="K121" t="s">
        <v>5806</v>
      </c>
      <c r="L121">
        <v>15306510</v>
      </c>
      <c r="M121" t="s">
        <v>5807</v>
      </c>
      <c r="N121" t="s">
        <v>5808</v>
      </c>
      <c r="O121" t="s">
        <v>2170</v>
      </c>
      <c r="P121" t="s">
        <v>2172</v>
      </c>
    </row>
    <row r="122" spans="1:16" x14ac:dyDescent="0.3">
      <c r="A122" t="s">
        <v>494</v>
      </c>
      <c r="B122" t="s">
        <v>1700</v>
      </c>
      <c r="C122" t="s">
        <v>557</v>
      </c>
      <c r="D122" t="s">
        <v>5699</v>
      </c>
      <c r="E122" t="s">
        <v>559</v>
      </c>
      <c r="F122" t="s">
        <v>5809</v>
      </c>
      <c r="G122">
        <v>9000000</v>
      </c>
      <c r="H122">
        <v>3024000</v>
      </c>
      <c r="I122">
        <v>0</v>
      </c>
      <c r="J122">
        <v>3024000</v>
      </c>
      <c r="K122" t="s">
        <v>5810</v>
      </c>
      <c r="L122">
        <v>5976000</v>
      </c>
      <c r="M122" t="s">
        <v>5811</v>
      </c>
      <c r="N122" t="s">
        <v>5812</v>
      </c>
      <c r="O122" t="s">
        <v>2170</v>
      </c>
      <c r="P122" t="s">
        <v>2172</v>
      </c>
    </row>
    <row r="123" spans="1:16" x14ac:dyDescent="0.3">
      <c r="A123" t="s">
        <v>494</v>
      </c>
      <c r="B123" t="s">
        <v>1700</v>
      </c>
      <c r="C123" t="s">
        <v>557</v>
      </c>
      <c r="D123" t="s">
        <v>5699</v>
      </c>
      <c r="E123" t="s">
        <v>559</v>
      </c>
      <c r="F123" t="s">
        <v>5813</v>
      </c>
      <c r="G123">
        <v>4800000</v>
      </c>
      <c r="H123">
        <v>1348390</v>
      </c>
      <c r="I123">
        <v>0</v>
      </c>
      <c r="J123">
        <v>1348390</v>
      </c>
      <c r="K123" t="s">
        <v>5814</v>
      </c>
      <c r="L123">
        <v>3451610</v>
      </c>
      <c r="M123" t="s">
        <v>5815</v>
      </c>
      <c r="N123" t="s">
        <v>5816</v>
      </c>
      <c r="O123" t="s">
        <v>2170</v>
      </c>
      <c r="P123" t="s">
        <v>2172</v>
      </c>
    </row>
    <row r="124" spans="1:16" x14ac:dyDescent="0.3">
      <c r="A124" t="s">
        <v>494</v>
      </c>
      <c r="B124" t="s">
        <v>1700</v>
      </c>
      <c r="C124" t="s">
        <v>557</v>
      </c>
      <c r="D124" t="s">
        <v>5699</v>
      </c>
      <c r="E124" t="s">
        <v>559</v>
      </c>
      <c r="F124" t="s">
        <v>5817</v>
      </c>
      <c r="G124">
        <v>69472000</v>
      </c>
      <c r="H124">
        <v>32064000</v>
      </c>
      <c r="I124">
        <v>0</v>
      </c>
      <c r="J124">
        <v>32064000</v>
      </c>
      <c r="K124" t="s">
        <v>5818</v>
      </c>
      <c r="L124">
        <v>37408000</v>
      </c>
      <c r="M124" t="s">
        <v>5819</v>
      </c>
      <c r="N124" t="s">
        <v>5820</v>
      </c>
      <c r="O124" t="s">
        <v>2170</v>
      </c>
      <c r="P124" t="s">
        <v>2172</v>
      </c>
    </row>
    <row r="125" spans="1:16" x14ac:dyDescent="0.3">
      <c r="A125" t="s">
        <v>494</v>
      </c>
      <c r="B125" t="s">
        <v>1700</v>
      </c>
      <c r="C125" t="s">
        <v>557</v>
      </c>
      <c r="D125" t="s">
        <v>5699</v>
      </c>
      <c r="E125" t="s">
        <v>559</v>
      </c>
      <c r="F125" t="s">
        <v>5821</v>
      </c>
      <c r="G125">
        <v>757848000</v>
      </c>
      <c r="H125">
        <v>349776000</v>
      </c>
      <c r="I125">
        <v>0</v>
      </c>
      <c r="J125">
        <v>349776000</v>
      </c>
      <c r="K125" t="s">
        <v>5818</v>
      </c>
      <c r="L125">
        <v>408072000</v>
      </c>
      <c r="M125" t="s">
        <v>5822</v>
      </c>
      <c r="N125" t="s">
        <v>5823</v>
      </c>
      <c r="O125" t="s">
        <v>2170</v>
      </c>
      <c r="P125" t="s">
        <v>2172</v>
      </c>
    </row>
    <row r="126" spans="1:16" x14ac:dyDescent="0.3">
      <c r="A126" t="s">
        <v>494</v>
      </c>
      <c r="B126" t="s">
        <v>1700</v>
      </c>
      <c r="C126" t="s">
        <v>557</v>
      </c>
      <c r="D126" t="s">
        <v>5699</v>
      </c>
      <c r="E126" t="s">
        <v>559</v>
      </c>
      <c r="F126" t="s">
        <v>5824</v>
      </c>
      <c r="G126">
        <v>40000000</v>
      </c>
      <c r="H126">
        <v>8309700</v>
      </c>
      <c r="I126">
        <v>0</v>
      </c>
      <c r="J126">
        <v>8309700</v>
      </c>
      <c r="K126" t="s">
        <v>5825</v>
      </c>
      <c r="L126">
        <v>31690300</v>
      </c>
      <c r="M126" t="s">
        <v>5826</v>
      </c>
      <c r="N126" t="s">
        <v>5827</v>
      </c>
      <c r="O126" t="s">
        <v>2170</v>
      </c>
      <c r="P126" t="s">
        <v>2172</v>
      </c>
    </row>
    <row r="127" spans="1:16" x14ac:dyDescent="0.3">
      <c r="A127" t="s">
        <v>494</v>
      </c>
      <c r="B127" t="s">
        <v>1700</v>
      </c>
      <c r="C127" t="s">
        <v>557</v>
      </c>
      <c r="D127" t="s">
        <v>5699</v>
      </c>
      <c r="E127" t="s">
        <v>559</v>
      </c>
      <c r="F127" t="s">
        <v>5828</v>
      </c>
      <c r="G127">
        <v>75900000</v>
      </c>
      <c r="H127">
        <v>19842571</v>
      </c>
      <c r="I127">
        <v>0</v>
      </c>
      <c r="J127">
        <v>19842571</v>
      </c>
      <c r="K127" t="s">
        <v>5829</v>
      </c>
      <c r="L127">
        <v>56057429</v>
      </c>
      <c r="M127" t="s">
        <v>5830</v>
      </c>
      <c r="N127" t="s">
        <v>5831</v>
      </c>
      <c r="O127" t="s">
        <v>2170</v>
      </c>
      <c r="P127" t="s">
        <v>2172</v>
      </c>
    </row>
    <row r="128" spans="1:16" x14ac:dyDescent="0.3">
      <c r="A128" t="s">
        <v>494</v>
      </c>
      <c r="B128" t="s">
        <v>1700</v>
      </c>
      <c r="C128" t="s">
        <v>501</v>
      </c>
      <c r="D128" t="s">
        <v>6250</v>
      </c>
      <c r="E128" t="s">
        <v>555</v>
      </c>
      <c r="F128" t="s">
        <v>6295</v>
      </c>
      <c r="G128">
        <v>6655000</v>
      </c>
      <c r="H128">
        <v>5535000</v>
      </c>
      <c r="I128">
        <v>0</v>
      </c>
      <c r="J128">
        <v>5535000</v>
      </c>
      <c r="K128" t="s">
        <v>6296</v>
      </c>
      <c r="L128">
        <v>1120000</v>
      </c>
      <c r="M128" t="s">
        <v>6297</v>
      </c>
      <c r="N128" t="s">
        <v>6298</v>
      </c>
      <c r="O128" t="s">
        <v>1806</v>
      </c>
      <c r="P128" t="s">
        <v>1841</v>
      </c>
    </row>
    <row r="129" spans="1:16" x14ac:dyDescent="0.3">
      <c r="A129" t="s">
        <v>494</v>
      </c>
      <c r="B129" t="s">
        <v>1700</v>
      </c>
      <c r="C129" t="s">
        <v>501</v>
      </c>
      <c r="D129" t="s">
        <v>6250</v>
      </c>
      <c r="E129" t="s">
        <v>552</v>
      </c>
      <c r="F129" t="s">
        <v>6299</v>
      </c>
      <c r="G129">
        <v>3360000</v>
      </c>
      <c r="H129">
        <v>2599192</v>
      </c>
      <c r="I129">
        <v>0</v>
      </c>
      <c r="J129">
        <v>2599192</v>
      </c>
      <c r="K129" t="s">
        <v>6300</v>
      </c>
      <c r="L129">
        <v>760808</v>
      </c>
      <c r="M129" t="s">
        <v>6301</v>
      </c>
      <c r="N129" t="s">
        <v>6302</v>
      </c>
      <c r="O129" t="s">
        <v>1806</v>
      </c>
      <c r="P129" t="s">
        <v>1833</v>
      </c>
    </row>
    <row r="130" spans="1:16" x14ac:dyDescent="0.3">
      <c r="A130" t="s">
        <v>494</v>
      </c>
      <c r="B130" t="s">
        <v>1700</v>
      </c>
      <c r="C130" t="s">
        <v>501</v>
      </c>
      <c r="D130" t="s">
        <v>6250</v>
      </c>
      <c r="E130" t="s">
        <v>551</v>
      </c>
      <c r="F130" t="s">
        <v>6303</v>
      </c>
      <c r="G130">
        <v>2000000</v>
      </c>
      <c r="H130">
        <v>4807000</v>
      </c>
      <c r="I130">
        <v>0</v>
      </c>
      <c r="J130">
        <v>4807000</v>
      </c>
      <c r="K130" t="s">
        <v>6304</v>
      </c>
      <c r="L130">
        <v>-2807000</v>
      </c>
      <c r="M130" t="s">
        <v>6305</v>
      </c>
      <c r="N130" t="s">
        <v>6306</v>
      </c>
      <c r="O130" t="s">
        <v>1806</v>
      </c>
      <c r="P130" t="s">
        <v>1829</v>
      </c>
    </row>
    <row r="131" spans="1:16" x14ac:dyDescent="0.3">
      <c r="A131" t="s">
        <v>494</v>
      </c>
      <c r="B131" t="s">
        <v>1700</v>
      </c>
      <c r="C131" t="s">
        <v>501</v>
      </c>
      <c r="D131" t="s">
        <v>6250</v>
      </c>
      <c r="E131" t="s">
        <v>550</v>
      </c>
      <c r="F131" t="s">
        <v>6307</v>
      </c>
      <c r="G131">
        <v>12070000</v>
      </c>
      <c r="H131">
        <v>9730000</v>
      </c>
      <c r="I131">
        <v>0</v>
      </c>
      <c r="J131">
        <v>9730000</v>
      </c>
      <c r="K131" t="s">
        <v>6308</v>
      </c>
      <c r="L131">
        <v>2340000</v>
      </c>
      <c r="M131" t="s">
        <v>6309</v>
      </c>
      <c r="N131" t="s">
        <v>6310</v>
      </c>
      <c r="O131" t="s">
        <v>1806</v>
      </c>
      <c r="P131" t="s">
        <v>1825</v>
      </c>
    </row>
    <row r="132" spans="1:16" x14ac:dyDescent="0.3">
      <c r="A132" t="s">
        <v>494</v>
      </c>
      <c r="B132" t="s">
        <v>1700</v>
      </c>
      <c r="C132" t="s">
        <v>501</v>
      </c>
      <c r="D132" t="s">
        <v>6250</v>
      </c>
      <c r="E132" t="s">
        <v>549</v>
      </c>
      <c r="F132" t="s">
        <v>6311</v>
      </c>
      <c r="G132">
        <v>40080000</v>
      </c>
      <c r="H132">
        <v>19637078</v>
      </c>
      <c r="I132">
        <v>0</v>
      </c>
      <c r="J132">
        <v>19637078</v>
      </c>
      <c r="K132" t="s">
        <v>6312</v>
      </c>
      <c r="L132">
        <v>20442922</v>
      </c>
      <c r="M132" t="s">
        <v>6313</v>
      </c>
      <c r="N132" t="s">
        <v>6314</v>
      </c>
      <c r="O132" t="s">
        <v>1806</v>
      </c>
      <c r="P132" t="s">
        <v>1821</v>
      </c>
    </row>
    <row r="133" spans="1:16" x14ac:dyDescent="0.3">
      <c r="A133" t="s">
        <v>494</v>
      </c>
      <c r="B133" t="s">
        <v>1700</v>
      </c>
      <c r="C133" t="s">
        <v>501</v>
      </c>
      <c r="D133" t="s">
        <v>6250</v>
      </c>
      <c r="E133" t="s">
        <v>548</v>
      </c>
      <c r="F133" t="s">
        <v>6315</v>
      </c>
      <c r="G133">
        <v>12198000</v>
      </c>
      <c r="H133">
        <v>10849200</v>
      </c>
      <c r="I133">
        <v>0</v>
      </c>
      <c r="J133">
        <v>10849200</v>
      </c>
      <c r="K133" t="s">
        <v>6316</v>
      </c>
      <c r="L133">
        <v>1348800</v>
      </c>
      <c r="M133" t="s">
        <v>6317</v>
      </c>
      <c r="N133" t="s">
        <v>6318</v>
      </c>
      <c r="O133" t="s">
        <v>1806</v>
      </c>
      <c r="P133" t="s">
        <v>1817</v>
      </c>
    </row>
    <row r="134" spans="1:16" x14ac:dyDescent="0.3">
      <c r="A134" t="s">
        <v>494</v>
      </c>
      <c r="B134" t="s">
        <v>1700</v>
      </c>
      <c r="C134" t="s">
        <v>501</v>
      </c>
      <c r="D134" t="s">
        <v>6250</v>
      </c>
      <c r="E134" t="s">
        <v>547</v>
      </c>
      <c r="F134" t="s">
        <v>6319</v>
      </c>
      <c r="G134">
        <v>3000</v>
      </c>
      <c r="H134">
        <v>2658</v>
      </c>
      <c r="I134">
        <v>0</v>
      </c>
      <c r="J134">
        <v>2658</v>
      </c>
      <c r="K134" t="s">
        <v>6320</v>
      </c>
      <c r="L134">
        <v>342</v>
      </c>
      <c r="M134" t="s">
        <v>6321</v>
      </c>
      <c r="N134" t="s">
        <v>6322</v>
      </c>
      <c r="O134" t="s">
        <v>1806</v>
      </c>
      <c r="P134" t="s">
        <v>1813</v>
      </c>
    </row>
    <row r="135" spans="1:16" x14ac:dyDescent="0.3">
      <c r="A135" t="s">
        <v>494</v>
      </c>
      <c r="B135" t="s">
        <v>1700</v>
      </c>
      <c r="C135" t="s">
        <v>501</v>
      </c>
      <c r="D135" t="s">
        <v>6250</v>
      </c>
      <c r="E135" t="s">
        <v>544</v>
      </c>
      <c r="F135" t="s">
        <v>6323</v>
      </c>
      <c r="G135">
        <v>180000000</v>
      </c>
      <c r="H135">
        <v>166605560</v>
      </c>
      <c r="I135">
        <v>0</v>
      </c>
      <c r="J135">
        <v>166605560</v>
      </c>
      <c r="K135" t="s">
        <v>6324</v>
      </c>
      <c r="L135">
        <v>13394440</v>
      </c>
      <c r="M135" t="s">
        <v>6325</v>
      </c>
      <c r="N135" t="s">
        <v>6326</v>
      </c>
      <c r="O135" t="s">
        <v>1806</v>
      </c>
      <c r="P135" t="s">
        <v>1809</v>
      </c>
    </row>
    <row r="136" spans="1:16" x14ac:dyDescent="0.3">
      <c r="A136" t="s">
        <v>494</v>
      </c>
      <c r="B136" t="s">
        <v>3105</v>
      </c>
      <c r="C136" t="s">
        <v>833</v>
      </c>
      <c r="D136" t="s">
        <v>5499</v>
      </c>
      <c r="E136" t="s">
        <v>513</v>
      </c>
      <c r="F136" t="s">
        <v>5832</v>
      </c>
      <c r="G136">
        <v>20635000</v>
      </c>
      <c r="H136">
        <v>20634468</v>
      </c>
      <c r="I136">
        <v>0</v>
      </c>
      <c r="J136">
        <v>20634468</v>
      </c>
      <c r="K136" t="s">
        <v>5833</v>
      </c>
      <c r="L136">
        <v>532</v>
      </c>
      <c r="M136" t="s">
        <v>5834</v>
      </c>
      <c r="N136" t="s">
        <v>5835</v>
      </c>
      <c r="O136" t="s">
        <v>3349</v>
      </c>
      <c r="P136" t="s">
        <v>3361</v>
      </c>
    </row>
    <row r="137" spans="1:16" x14ac:dyDescent="0.3">
      <c r="A137" t="s">
        <v>494</v>
      </c>
      <c r="B137" t="s">
        <v>3105</v>
      </c>
      <c r="C137" t="s">
        <v>833</v>
      </c>
      <c r="D137" t="s">
        <v>5442</v>
      </c>
      <c r="E137" t="s">
        <v>513</v>
      </c>
      <c r="F137" t="s">
        <v>5836</v>
      </c>
      <c r="G137">
        <v>5350000</v>
      </c>
      <c r="H137">
        <v>2850000</v>
      </c>
      <c r="I137">
        <v>0</v>
      </c>
      <c r="J137">
        <v>2850000</v>
      </c>
      <c r="K137" t="s">
        <v>5837</v>
      </c>
      <c r="L137">
        <v>2500000</v>
      </c>
      <c r="M137" t="s">
        <v>5838</v>
      </c>
      <c r="N137" t="s">
        <v>5839</v>
      </c>
      <c r="O137" t="s">
        <v>3331</v>
      </c>
      <c r="P137" t="s">
        <v>3336</v>
      </c>
    </row>
    <row r="138" spans="1:16" x14ac:dyDescent="0.3">
      <c r="A138" t="s">
        <v>494</v>
      </c>
      <c r="B138" t="s">
        <v>3105</v>
      </c>
      <c r="C138" t="s">
        <v>833</v>
      </c>
      <c r="D138" t="s">
        <v>5455</v>
      </c>
      <c r="E138" t="s">
        <v>513</v>
      </c>
      <c r="F138" t="s">
        <v>5840</v>
      </c>
      <c r="G138">
        <v>8702000</v>
      </c>
      <c r="H138">
        <v>8701552</v>
      </c>
      <c r="I138">
        <v>0</v>
      </c>
      <c r="J138">
        <v>8701552</v>
      </c>
      <c r="K138" t="s">
        <v>5841</v>
      </c>
      <c r="L138">
        <v>448</v>
      </c>
      <c r="M138" t="s">
        <v>5842</v>
      </c>
      <c r="N138" t="s">
        <v>5839</v>
      </c>
      <c r="O138" t="s">
        <v>3320</v>
      </c>
      <c r="P138" t="s">
        <v>3326</v>
      </c>
    </row>
    <row r="139" spans="1:16" x14ac:dyDescent="0.3">
      <c r="A139" t="s">
        <v>494</v>
      </c>
      <c r="B139" t="s">
        <v>2785</v>
      </c>
      <c r="C139" t="s">
        <v>3090</v>
      </c>
      <c r="D139" t="s">
        <v>5534</v>
      </c>
      <c r="E139" t="s">
        <v>513</v>
      </c>
      <c r="F139" t="s">
        <v>5843</v>
      </c>
      <c r="G139">
        <v>30169000</v>
      </c>
      <c r="H139">
        <v>20138000</v>
      </c>
      <c r="I139">
        <v>0</v>
      </c>
      <c r="J139">
        <v>20138000</v>
      </c>
      <c r="K139" t="s">
        <v>5844</v>
      </c>
      <c r="L139">
        <v>10031000</v>
      </c>
      <c r="M139" t="s">
        <v>5845</v>
      </c>
      <c r="N139" t="s">
        <v>5846</v>
      </c>
      <c r="O139" t="s">
        <v>3092</v>
      </c>
      <c r="P139" t="s">
        <v>3102</v>
      </c>
    </row>
    <row r="140" spans="1:16" x14ac:dyDescent="0.3">
      <c r="A140" t="s">
        <v>494</v>
      </c>
      <c r="B140" t="s">
        <v>2785</v>
      </c>
      <c r="C140" t="s">
        <v>833</v>
      </c>
      <c r="D140" t="s">
        <v>5442</v>
      </c>
      <c r="E140" t="s">
        <v>533</v>
      </c>
      <c r="F140" t="s">
        <v>5847</v>
      </c>
      <c r="G140">
        <v>2000000</v>
      </c>
      <c r="H140">
        <v>603014</v>
      </c>
      <c r="I140">
        <v>0</v>
      </c>
      <c r="J140">
        <v>603014</v>
      </c>
      <c r="K140" t="s">
        <v>5848</v>
      </c>
      <c r="L140">
        <v>1396986</v>
      </c>
      <c r="M140" t="s">
        <v>5849</v>
      </c>
      <c r="N140" t="s">
        <v>5850</v>
      </c>
      <c r="O140" t="s">
        <v>3067</v>
      </c>
      <c r="P140" t="s">
        <v>3077</v>
      </c>
    </row>
    <row r="141" spans="1:16" x14ac:dyDescent="0.3">
      <c r="A141" t="s">
        <v>494</v>
      </c>
      <c r="B141" t="s">
        <v>2785</v>
      </c>
      <c r="C141" t="s">
        <v>833</v>
      </c>
      <c r="D141" t="s">
        <v>5455</v>
      </c>
      <c r="E141" t="s">
        <v>533</v>
      </c>
      <c r="F141" t="s">
        <v>5851</v>
      </c>
      <c r="G141">
        <v>2000000</v>
      </c>
      <c r="H141">
        <v>499528</v>
      </c>
      <c r="I141">
        <v>0</v>
      </c>
      <c r="J141">
        <v>499528</v>
      </c>
      <c r="K141" t="s">
        <v>5852</v>
      </c>
      <c r="L141">
        <v>1500472</v>
      </c>
      <c r="M141" t="s">
        <v>5853</v>
      </c>
      <c r="N141" t="s">
        <v>5850</v>
      </c>
      <c r="O141" t="s">
        <v>3054</v>
      </c>
      <c r="P141" t="s">
        <v>3061</v>
      </c>
    </row>
    <row r="142" spans="1:16" x14ac:dyDescent="0.3">
      <c r="A142" t="s">
        <v>494</v>
      </c>
      <c r="B142" t="s">
        <v>2469</v>
      </c>
      <c r="C142" t="s">
        <v>833</v>
      </c>
      <c r="D142" t="s">
        <v>5510</v>
      </c>
      <c r="E142" t="s">
        <v>513</v>
      </c>
      <c r="F142" t="s">
        <v>5854</v>
      </c>
      <c r="G142">
        <v>41908000</v>
      </c>
      <c r="H142">
        <v>41907800</v>
      </c>
      <c r="I142">
        <v>0</v>
      </c>
      <c r="J142">
        <v>41907800</v>
      </c>
      <c r="K142" t="s">
        <v>5855</v>
      </c>
      <c r="L142">
        <v>200</v>
      </c>
      <c r="M142" t="s">
        <v>5856</v>
      </c>
      <c r="N142" t="s">
        <v>5857</v>
      </c>
      <c r="O142" t="s">
        <v>2771</v>
      </c>
      <c r="P142" t="s">
        <v>2781</v>
      </c>
    </row>
    <row r="143" spans="1:16" x14ac:dyDescent="0.3">
      <c r="A143" t="s">
        <v>494</v>
      </c>
      <c r="B143" t="s">
        <v>2469</v>
      </c>
      <c r="C143" t="s">
        <v>833</v>
      </c>
      <c r="D143" t="s">
        <v>5442</v>
      </c>
      <c r="E143" t="s">
        <v>513</v>
      </c>
      <c r="F143" t="s">
        <v>5858</v>
      </c>
      <c r="G143">
        <v>45000000</v>
      </c>
      <c r="H143">
        <v>4429000</v>
      </c>
      <c r="I143">
        <v>0</v>
      </c>
      <c r="J143">
        <v>4429000</v>
      </c>
      <c r="K143" t="s">
        <v>5859</v>
      </c>
      <c r="L143">
        <v>40571000</v>
      </c>
      <c r="M143" t="s">
        <v>5860</v>
      </c>
      <c r="N143" t="s">
        <v>5861</v>
      </c>
      <c r="O143" t="s">
        <v>2756</v>
      </c>
      <c r="P143" t="s">
        <v>2768</v>
      </c>
    </row>
    <row r="144" spans="1:16" x14ac:dyDescent="0.3">
      <c r="A144" t="s">
        <v>494</v>
      </c>
      <c r="B144" t="s">
        <v>2469</v>
      </c>
      <c r="C144" t="s">
        <v>833</v>
      </c>
      <c r="D144" t="s">
        <v>5455</v>
      </c>
      <c r="E144" t="s">
        <v>513</v>
      </c>
      <c r="F144" t="s">
        <v>5862</v>
      </c>
      <c r="G144">
        <v>5164000</v>
      </c>
      <c r="H144">
        <v>5163500</v>
      </c>
      <c r="I144">
        <v>0</v>
      </c>
      <c r="J144">
        <v>5163500</v>
      </c>
      <c r="K144" t="s">
        <v>5863</v>
      </c>
      <c r="L144">
        <v>500</v>
      </c>
      <c r="M144" t="s">
        <v>5864</v>
      </c>
      <c r="N144" t="s">
        <v>5865</v>
      </c>
      <c r="O144" t="s">
        <v>2741</v>
      </c>
      <c r="P144" t="s">
        <v>2753</v>
      </c>
    </row>
    <row r="145" spans="1:16" x14ac:dyDescent="0.3">
      <c r="A145" t="s">
        <v>494</v>
      </c>
      <c r="B145" t="s">
        <v>2469</v>
      </c>
      <c r="C145" t="s">
        <v>833</v>
      </c>
      <c r="D145" t="s">
        <v>5455</v>
      </c>
      <c r="E145" t="s">
        <v>533</v>
      </c>
      <c r="F145" t="s">
        <v>5866</v>
      </c>
      <c r="G145">
        <v>1000000</v>
      </c>
      <c r="H145">
        <v>702895</v>
      </c>
      <c r="I145">
        <v>0</v>
      </c>
      <c r="J145">
        <v>702895</v>
      </c>
      <c r="K145" t="s">
        <v>5867</v>
      </c>
      <c r="L145">
        <v>297105</v>
      </c>
      <c r="M145" t="s">
        <v>5868</v>
      </c>
      <c r="N145" t="s">
        <v>5869</v>
      </c>
      <c r="O145" t="s">
        <v>2741</v>
      </c>
      <c r="P145" t="s">
        <v>2747</v>
      </c>
    </row>
    <row r="146" spans="1:16" x14ac:dyDescent="0.3">
      <c r="A146" t="s">
        <v>494</v>
      </c>
      <c r="B146" t="s">
        <v>2272</v>
      </c>
      <c r="C146" t="s">
        <v>833</v>
      </c>
      <c r="D146" t="s">
        <v>5455</v>
      </c>
      <c r="E146" t="s">
        <v>528</v>
      </c>
      <c r="F146" t="s">
        <v>5870</v>
      </c>
      <c r="G146">
        <v>540000000</v>
      </c>
      <c r="H146">
        <v>540000000</v>
      </c>
      <c r="I146">
        <v>0</v>
      </c>
      <c r="J146">
        <v>540000000</v>
      </c>
      <c r="K146" t="s">
        <v>5536</v>
      </c>
      <c r="L146">
        <v>0</v>
      </c>
      <c r="M146" t="s">
        <v>5871</v>
      </c>
      <c r="N146" t="s">
        <v>5872</v>
      </c>
      <c r="O146" t="s">
        <v>2291</v>
      </c>
      <c r="P146" t="s">
        <v>2293</v>
      </c>
    </row>
    <row r="147" spans="1:16" x14ac:dyDescent="0.3">
      <c r="A147" t="s">
        <v>494</v>
      </c>
      <c r="B147" t="s">
        <v>1269</v>
      </c>
      <c r="C147" t="s">
        <v>833</v>
      </c>
      <c r="D147" t="s">
        <v>5581</v>
      </c>
      <c r="E147" t="s">
        <v>513</v>
      </c>
      <c r="F147" t="s">
        <v>5873</v>
      </c>
      <c r="G147">
        <v>25062000</v>
      </c>
      <c r="H147">
        <v>25062000</v>
      </c>
      <c r="I147">
        <v>0</v>
      </c>
      <c r="J147">
        <v>25062000</v>
      </c>
      <c r="K147" t="s">
        <v>5536</v>
      </c>
      <c r="L147">
        <v>0</v>
      </c>
      <c r="M147" t="s">
        <v>5874</v>
      </c>
      <c r="N147" t="s">
        <v>5875</v>
      </c>
      <c r="O147" t="s">
        <v>1536</v>
      </c>
      <c r="P147" t="s">
        <v>1553</v>
      </c>
    </row>
    <row r="148" spans="1:16" x14ac:dyDescent="0.3">
      <c r="A148" t="s">
        <v>494</v>
      </c>
      <c r="B148" t="s">
        <v>1269</v>
      </c>
      <c r="C148" t="s">
        <v>833</v>
      </c>
      <c r="D148" t="s">
        <v>5581</v>
      </c>
      <c r="E148" t="s">
        <v>516</v>
      </c>
      <c r="F148" t="s">
        <v>5876</v>
      </c>
      <c r="G148">
        <v>40000000</v>
      </c>
      <c r="H148">
        <v>14000000</v>
      </c>
      <c r="I148">
        <v>0</v>
      </c>
      <c r="J148">
        <v>14000000</v>
      </c>
      <c r="K148" t="s">
        <v>5877</v>
      </c>
      <c r="L148">
        <v>26000000</v>
      </c>
      <c r="M148" t="s">
        <v>5878</v>
      </c>
      <c r="N148" t="s">
        <v>5879</v>
      </c>
      <c r="O148" t="s">
        <v>1536</v>
      </c>
      <c r="P148" t="s">
        <v>1551</v>
      </c>
    </row>
    <row r="149" spans="1:16" x14ac:dyDescent="0.3">
      <c r="A149" t="s">
        <v>494</v>
      </c>
      <c r="B149" t="s">
        <v>1269</v>
      </c>
      <c r="C149" t="s">
        <v>833</v>
      </c>
      <c r="D149" t="s">
        <v>5581</v>
      </c>
      <c r="E149" t="s">
        <v>533</v>
      </c>
      <c r="F149" t="s">
        <v>5880</v>
      </c>
      <c r="G149">
        <v>3000000</v>
      </c>
      <c r="H149">
        <v>620000</v>
      </c>
      <c r="I149">
        <v>0</v>
      </c>
      <c r="J149">
        <v>620000</v>
      </c>
      <c r="K149" t="s">
        <v>5881</v>
      </c>
      <c r="L149">
        <v>2380000</v>
      </c>
      <c r="M149" t="s">
        <v>5882</v>
      </c>
      <c r="N149" t="s">
        <v>5869</v>
      </c>
      <c r="O149" t="s">
        <v>1536</v>
      </c>
      <c r="P149" t="s">
        <v>1549</v>
      </c>
    </row>
    <row r="150" spans="1:16" x14ac:dyDescent="0.3">
      <c r="A150" t="s">
        <v>494</v>
      </c>
      <c r="B150" t="s">
        <v>1269</v>
      </c>
      <c r="C150" t="s">
        <v>833</v>
      </c>
      <c r="D150" t="s">
        <v>5473</v>
      </c>
      <c r="E150" t="s">
        <v>516</v>
      </c>
      <c r="F150" t="s">
        <v>5883</v>
      </c>
      <c r="G150">
        <v>9000000</v>
      </c>
      <c r="H150">
        <v>4800000</v>
      </c>
      <c r="I150">
        <v>0</v>
      </c>
      <c r="J150">
        <v>4800000</v>
      </c>
      <c r="K150" t="s">
        <v>5884</v>
      </c>
      <c r="L150">
        <v>4200000</v>
      </c>
      <c r="M150" t="s">
        <v>5885</v>
      </c>
      <c r="N150" t="s">
        <v>5879</v>
      </c>
      <c r="O150" t="s">
        <v>1490</v>
      </c>
      <c r="P150" t="s">
        <v>1498</v>
      </c>
    </row>
    <row r="151" spans="1:16" x14ac:dyDescent="0.3">
      <c r="A151" t="s">
        <v>494</v>
      </c>
      <c r="B151" t="s">
        <v>1269</v>
      </c>
      <c r="C151" t="s">
        <v>833</v>
      </c>
      <c r="D151" t="s">
        <v>5473</v>
      </c>
      <c r="E151" t="s">
        <v>533</v>
      </c>
      <c r="F151" t="s">
        <v>5886</v>
      </c>
      <c r="G151">
        <v>1192000</v>
      </c>
      <c r="H151">
        <v>1191418</v>
      </c>
      <c r="I151">
        <v>0</v>
      </c>
      <c r="J151">
        <v>1191418</v>
      </c>
      <c r="K151" t="s">
        <v>5887</v>
      </c>
      <c r="L151">
        <v>582</v>
      </c>
      <c r="M151" t="s">
        <v>5888</v>
      </c>
      <c r="N151" t="s">
        <v>5869</v>
      </c>
      <c r="O151" t="s">
        <v>1490</v>
      </c>
      <c r="P151" t="s">
        <v>1496</v>
      </c>
    </row>
    <row r="152" spans="1:16" x14ac:dyDescent="0.3">
      <c r="A152" t="s">
        <v>494</v>
      </c>
      <c r="B152" t="s">
        <v>1269</v>
      </c>
      <c r="C152" t="s">
        <v>833</v>
      </c>
      <c r="D152" t="s">
        <v>5460</v>
      </c>
      <c r="E152" t="s">
        <v>533</v>
      </c>
      <c r="F152" t="s">
        <v>5889</v>
      </c>
      <c r="G152">
        <v>1193000</v>
      </c>
      <c r="H152">
        <v>1192458</v>
      </c>
      <c r="I152">
        <v>0</v>
      </c>
      <c r="J152">
        <v>1192458</v>
      </c>
      <c r="K152" t="s">
        <v>5890</v>
      </c>
      <c r="L152">
        <v>542</v>
      </c>
      <c r="M152" t="s">
        <v>5891</v>
      </c>
      <c r="N152" t="s">
        <v>5892</v>
      </c>
      <c r="O152" t="s">
        <v>1469</v>
      </c>
      <c r="P152" t="s">
        <v>1474</v>
      </c>
    </row>
    <row r="153" spans="1:16" x14ac:dyDescent="0.3">
      <c r="A153" t="s">
        <v>494</v>
      </c>
      <c r="B153" t="s">
        <v>1269</v>
      </c>
      <c r="C153" t="s">
        <v>833</v>
      </c>
      <c r="D153" t="s">
        <v>5460</v>
      </c>
      <c r="E153" t="s">
        <v>533</v>
      </c>
      <c r="F153" t="s">
        <v>5893</v>
      </c>
      <c r="G153">
        <v>3105000</v>
      </c>
      <c r="H153">
        <v>3105000</v>
      </c>
      <c r="I153">
        <v>0</v>
      </c>
      <c r="J153">
        <v>3105000</v>
      </c>
      <c r="K153" t="s">
        <v>5536</v>
      </c>
      <c r="L153">
        <v>0</v>
      </c>
      <c r="M153" t="s">
        <v>5894</v>
      </c>
      <c r="N153" t="s">
        <v>5895</v>
      </c>
      <c r="O153" t="s">
        <v>1469</v>
      </c>
      <c r="P153" t="s">
        <v>1474</v>
      </c>
    </row>
    <row r="154" spans="1:16" x14ac:dyDescent="0.3">
      <c r="A154" t="s">
        <v>494</v>
      </c>
      <c r="B154" t="s">
        <v>1269</v>
      </c>
      <c r="C154" t="s">
        <v>833</v>
      </c>
      <c r="D154" t="s">
        <v>5491</v>
      </c>
      <c r="E154" t="s">
        <v>513</v>
      </c>
      <c r="F154" t="s">
        <v>5896</v>
      </c>
      <c r="G154">
        <v>21851000</v>
      </c>
      <c r="H154">
        <v>21850700</v>
      </c>
      <c r="I154">
        <v>0</v>
      </c>
      <c r="J154">
        <v>21850700</v>
      </c>
      <c r="K154" t="s">
        <v>5897</v>
      </c>
      <c r="L154">
        <v>300</v>
      </c>
      <c r="M154" t="s">
        <v>5898</v>
      </c>
      <c r="N154" t="s">
        <v>5899</v>
      </c>
      <c r="O154" t="s">
        <v>1448</v>
      </c>
      <c r="P154" t="s">
        <v>1464</v>
      </c>
    </row>
    <row r="155" spans="1:16" x14ac:dyDescent="0.3">
      <c r="A155" t="s">
        <v>494</v>
      </c>
      <c r="B155" t="s">
        <v>1269</v>
      </c>
      <c r="C155" t="s">
        <v>833</v>
      </c>
      <c r="D155" t="s">
        <v>5491</v>
      </c>
      <c r="E155" t="s">
        <v>518</v>
      </c>
      <c r="F155" t="s">
        <v>5900</v>
      </c>
      <c r="G155">
        <v>4246000</v>
      </c>
      <c r="H155">
        <v>4246000</v>
      </c>
      <c r="I155">
        <v>0</v>
      </c>
      <c r="J155">
        <v>4246000</v>
      </c>
      <c r="K155" t="s">
        <v>5536</v>
      </c>
      <c r="L155">
        <v>0</v>
      </c>
      <c r="M155" t="s">
        <v>5901</v>
      </c>
      <c r="N155" t="s">
        <v>5902</v>
      </c>
      <c r="O155" t="s">
        <v>1448</v>
      </c>
      <c r="P155" t="s">
        <v>1462</v>
      </c>
    </row>
    <row r="156" spans="1:16" x14ac:dyDescent="0.3">
      <c r="A156" t="s">
        <v>494</v>
      </c>
      <c r="B156" t="s">
        <v>1269</v>
      </c>
      <c r="C156" t="s">
        <v>833</v>
      </c>
      <c r="D156" t="s">
        <v>5491</v>
      </c>
      <c r="E156" t="s">
        <v>515</v>
      </c>
      <c r="F156" t="s">
        <v>5903</v>
      </c>
      <c r="G156">
        <v>800000</v>
      </c>
      <c r="H156">
        <v>400000</v>
      </c>
      <c r="I156">
        <v>0</v>
      </c>
      <c r="J156">
        <v>400000</v>
      </c>
      <c r="K156" t="s">
        <v>5540</v>
      </c>
      <c r="L156">
        <v>400000</v>
      </c>
      <c r="M156" t="s">
        <v>5904</v>
      </c>
      <c r="N156" t="s">
        <v>5905</v>
      </c>
      <c r="O156" t="s">
        <v>1448</v>
      </c>
      <c r="P156" t="s">
        <v>1455</v>
      </c>
    </row>
    <row r="157" spans="1:16" x14ac:dyDescent="0.3">
      <c r="A157" t="s">
        <v>494</v>
      </c>
      <c r="B157" t="s">
        <v>1269</v>
      </c>
      <c r="C157" t="s">
        <v>833</v>
      </c>
      <c r="D157" t="s">
        <v>5491</v>
      </c>
      <c r="E157" t="s">
        <v>515</v>
      </c>
      <c r="F157" t="s">
        <v>5906</v>
      </c>
      <c r="G157">
        <v>24334000</v>
      </c>
      <c r="H157">
        <v>20564280</v>
      </c>
      <c r="I157">
        <v>0</v>
      </c>
      <c r="J157">
        <v>20564280</v>
      </c>
      <c r="K157" t="s">
        <v>5907</v>
      </c>
      <c r="L157">
        <v>3769720</v>
      </c>
      <c r="M157" t="s">
        <v>5908</v>
      </c>
      <c r="N157" t="s">
        <v>5909</v>
      </c>
      <c r="O157" t="s">
        <v>1448</v>
      </c>
      <c r="P157" t="s">
        <v>1455</v>
      </c>
    </row>
    <row r="158" spans="1:16" x14ac:dyDescent="0.3">
      <c r="A158" t="s">
        <v>494</v>
      </c>
      <c r="B158" t="s">
        <v>1269</v>
      </c>
      <c r="C158" t="s">
        <v>833</v>
      </c>
      <c r="D158" t="s">
        <v>5491</v>
      </c>
      <c r="E158" t="s">
        <v>515</v>
      </c>
      <c r="F158" t="s">
        <v>5910</v>
      </c>
      <c r="G158">
        <v>57400000</v>
      </c>
      <c r="H158">
        <v>46200000</v>
      </c>
      <c r="I158">
        <v>0</v>
      </c>
      <c r="J158">
        <v>46200000</v>
      </c>
      <c r="K158" t="s">
        <v>5911</v>
      </c>
      <c r="L158">
        <v>11200000</v>
      </c>
      <c r="M158" t="s">
        <v>5912</v>
      </c>
      <c r="N158" t="s">
        <v>5913</v>
      </c>
      <c r="O158" t="s">
        <v>1448</v>
      </c>
      <c r="P158" t="s">
        <v>1455</v>
      </c>
    </row>
    <row r="159" spans="1:16" x14ac:dyDescent="0.3">
      <c r="A159" t="s">
        <v>494</v>
      </c>
      <c r="B159" t="s">
        <v>1269</v>
      </c>
      <c r="C159" t="s">
        <v>833</v>
      </c>
      <c r="D159" t="s">
        <v>5499</v>
      </c>
      <c r="E159" t="s">
        <v>513</v>
      </c>
      <c r="F159" t="s">
        <v>5914</v>
      </c>
      <c r="G159">
        <v>47693000</v>
      </c>
      <c r="H159">
        <v>27681738</v>
      </c>
      <c r="I159">
        <v>0</v>
      </c>
      <c r="J159">
        <v>27681738</v>
      </c>
      <c r="K159" t="s">
        <v>5915</v>
      </c>
      <c r="L159">
        <v>20011262</v>
      </c>
      <c r="M159" t="s">
        <v>5916</v>
      </c>
      <c r="N159" t="s">
        <v>151</v>
      </c>
      <c r="O159" t="s">
        <v>1437</v>
      </c>
      <c r="P159" t="s">
        <v>1443</v>
      </c>
    </row>
    <row r="160" spans="1:16" x14ac:dyDescent="0.3">
      <c r="A160" t="s">
        <v>494</v>
      </c>
      <c r="B160" t="s">
        <v>1269</v>
      </c>
      <c r="C160" t="s">
        <v>833</v>
      </c>
      <c r="D160" t="s">
        <v>5510</v>
      </c>
      <c r="E160" t="s">
        <v>507</v>
      </c>
      <c r="F160" t="s">
        <v>5917</v>
      </c>
      <c r="G160">
        <v>2250000</v>
      </c>
      <c r="H160">
        <v>600000</v>
      </c>
      <c r="I160">
        <v>0</v>
      </c>
      <c r="J160">
        <v>600000</v>
      </c>
      <c r="K160" t="s">
        <v>5918</v>
      </c>
      <c r="L160">
        <v>1650000</v>
      </c>
      <c r="M160" t="s">
        <v>5919</v>
      </c>
      <c r="N160" t="s">
        <v>5920</v>
      </c>
      <c r="O160" t="s">
        <v>1417</v>
      </c>
      <c r="P160" t="s">
        <v>1434</v>
      </c>
    </row>
    <row r="161" spans="1:16" x14ac:dyDescent="0.3">
      <c r="A161" t="s">
        <v>494</v>
      </c>
      <c r="B161" t="s">
        <v>1269</v>
      </c>
      <c r="C161" t="s">
        <v>833</v>
      </c>
      <c r="D161" t="s">
        <v>5510</v>
      </c>
      <c r="E161" t="s">
        <v>513</v>
      </c>
      <c r="F161" t="s">
        <v>5921</v>
      </c>
      <c r="G161">
        <v>18000000</v>
      </c>
      <c r="H161">
        <v>8310000</v>
      </c>
      <c r="I161">
        <v>0</v>
      </c>
      <c r="J161">
        <v>8310000</v>
      </c>
      <c r="K161" t="s">
        <v>5922</v>
      </c>
      <c r="L161">
        <v>9690000</v>
      </c>
      <c r="M161" t="s">
        <v>5923</v>
      </c>
      <c r="N161" t="s">
        <v>5924</v>
      </c>
      <c r="O161" t="s">
        <v>1417</v>
      </c>
      <c r="P161" t="s">
        <v>1431</v>
      </c>
    </row>
    <row r="162" spans="1:16" x14ac:dyDescent="0.3">
      <c r="A162" t="s">
        <v>494</v>
      </c>
      <c r="B162" t="s">
        <v>1269</v>
      </c>
      <c r="C162" t="s">
        <v>833</v>
      </c>
      <c r="D162" t="s">
        <v>5442</v>
      </c>
      <c r="E162" t="s">
        <v>513</v>
      </c>
      <c r="F162" t="s">
        <v>5925</v>
      </c>
      <c r="G162">
        <v>180375000</v>
      </c>
      <c r="H162">
        <v>113862760</v>
      </c>
      <c r="I162">
        <v>0</v>
      </c>
      <c r="J162">
        <v>113862760</v>
      </c>
      <c r="K162" t="s">
        <v>5926</v>
      </c>
      <c r="L162">
        <v>66512240</v>
      </c>
      <c r="M162" t="s">
        <v>5927</v>
      </c>
      <c r="N162" t="s">
        <v>5928</v>
      </c>
      <c r="O162" t="s">
        <v>1403</v>
      </c>
      <c r="P162" t="s">
        <v>1412</v>
      </c>
    </row>
    <row r="163" spans="1:16" x14ac:dyDescent="0.3">
      <c r="A163" t="s">
        <v>494</v>
      </c>
      <c r="B163" t="s">
        <v>1269</v>
      </c>
      <c r="C163" t="s">
        <v>833</v>
      </c>
      <c r="D163" t="s">
        <v>5442</v>
      </c>
      <c r="E163" t="s">
        <v>513</v>
      </c>
      <c r="F163" t="s">
        <v>5929</v>
      </c>
      <c r="G163">
        <v>193259000</v>
      </c>
      <c r="H163">
        <v>46717701</v>
      </c>
      <c r="I163">
        <v>0</v>
      </c>
      <c r="J163">
        <v>46717701</v>
      </c>
      <c r="K163" t="s">
        <v>5930</v>
      </c>
      <c r="L163">
        <v>146541299</v>
      </c>
      <c r="M163" t="s">
        <v>5931</v>
      </c>
      <c r="N163" t="s">
        <v>5932</v>
      </c>
      <c r="O163" t="s">
        <v>1403</v>
      </c>
      <c r="P163" t="s">
        <v>1412</v>
      </c>
    </row>
    <row r="164" spans="1:16" x14ac:dyDescent="0.3">
      <c r="A164" t="s">
        <v>494</v>
      </c>
      <c r="B164" t="s">
        <v>1269</v>
      </c>
      <c r="C164" t="s">
        <v>833</v>
      </c>
      <c r="D164" t="s">
        <v>5442</v>
      </c>
      <c r="E164" t="s">
        <v>518</v>
      </c>
      <c r="F164" t="s">
        <v>5933</v>
      </c>
      <c r="G164">
        <v>2031000</v>
      </c>
      <c r="H164">
        <v>2031000</v>
      </c>
      <c r="I164">
        <v>0</v>
      </c>
      <c r="J164">
        <v>2031000</v>
      </c>
      <c r="K164" t="s">
        <v>5536</v>
      </c>
      <c r="L164">
        <v>0</v>
      </c>
      <c r="M164" t="s">
        <v>5934</v>
      </c>
      <c r="N164" t="s">
        <v>5902</v>
      </c>
      <c r="O164" t="s">
        <v>1403</v>
      </c>
      <c r="P164" t="s">
        <v>1409</v>
      </c>
    </row>
    <row r="165" spans="1:16" x14ac:dyDescent="0.3">
      <c r="A165" t="s">
        <v>494</v>
      </c>
      <c r="B165" t="s">
        <v>1269</v>
      </c>
      <c r="C165" t="s">
        <v>833</v>
      </c>
      <c r="D165" t="s">
        <v>5455</v>
      </c>
      <c r="E165" t="s">
        <v>507</v>
      </c>
      <c r="F165" t="s">
        <v>5935</v>
      </c>
      <c r="G165">
        <v>750000</v>
      </c>
      <c r="H165">
        <v>750000</v>
      </c>
      <c r="I165">
        <v>0</v>
      </c>
      <c r="J165">
        <v>750000</v>
      </c>
      <c r="K165" t="s">
        <v>5536</v>
      </c>
      <c r="L165">
        <v>0</v>
      </c>
      <c r="M165" t="s">
        <v>5936</v>
      </c>
      <c r="N165" t="s">
        <v>5937</v>
      </c>
      <c r="O165" t="s">
        <v>1390</v>
      </c>
      <c r="P165" t="s">
        <v>1400</v>
      </c>
    </row>
    <row r="166" spans="1:16" x14ac:dyDescent="0.3">
      <c r="A166" t="s">
        <v>494</v>
      </c>
      <c r="B166" t="s">
        <v>1269</v>
      </c>
      <c r="C166" t="s">
        <v>833</v>
      </c>
      <c r="D166" t="s">
        <v>5455</v>
      </c>
      <c r="E166" t="s">
        <v>513</v>
      </c>
      <c r="F166" t="s">
        <v>5938</v>
      </c>
      <c r="G166">
        <v>12989000</v>
      </c>
      <c r="H166">
        <v>11338500</v>
      </c>
      <c r="I166">
        <v>0</v>
      </c>
      <c r="J166">
        <v>11338500</v>
      </c>
      <c r="K166" t="s">
        <v>5939</v>
      </c>
      <c r="L166">
        <v>1650500</v>
      </c>
      <c r="M166" t="s">
        <v>5940</v>
      </c>
      <c r="N166" t="s">
        <v>148</v>
      </c>
      <c r="O166" t="s">
        <v>1390</v>
      </c>
      <c r="P166" t="s">
        <v>1397</v>
      </c>
    </row>
    <row r="167" spans="1:16" x14ac:dyDescent="0.3">
      <c r="A167" t="s">
        <v>494</v>
      </c>
      <c r="B167" t="s">
        <v>1036</v>
      </c>
      <c r="C167" t="s">
        <v>1185</v>
      </c>
      <c r="D167" t="s">
        <v>5667</v>
      </c>
      <c r="E167" t="s">
        <v>513</v>
      </c>
      <c r="F167" t="s">
        <v>5941</v>
      </c>
      <c r="G167">
        <v>90946000</v>
      </c>
      <c r="H167">
        <v>18370600</v>
      </c>
      <c r="I167">
        <v>0</v>
      </c>
      <c r="J167">
        <v>18370600</v>
      </c>
      <c r="K167" t="s">
        <v>5942</v>
      </c>
      <c r="L167">
        <v>72575400</v>
      </c>
      <c r="M167" t="s">
        <v>5943</v>
      </c>
      <c r="N167" t="s">
        <v>5944</v>
      </c>
      <c r="O167" t="s">
        <v>1187</v>
      </c>
      <c r="P167" t="s">
        <v>1200</v>
      </c>
    </row>
    <row r="168" spans="1:16" x14ac:dyDescent="0.3">
      <c r="A168" t="s">
        <v>494</v>
      </c>
      <c r="B168" t="s">
        <v>823</v>
      </c>
      <c r="C168" t="s">
        <v>833</v>
      </c>
      <c r="D168" t="s">
        <v>5455</v>
      </c>
      <c r="E168" t="s">
        <v>528</v>
      </c>
      <c r="F168" t="s">
        <v>5945</v>
      </c>
      <c r="G168">
        <v>114200000</v>
      </c>
      <c r="H168">
        <v>114200000</v>
      </c>
      <c r="I168">
        <v>0</v>
      </c>
      <c r="J168">
        <v>114200000</v>
      </c>
      <c r="K168" t="s">
        <v>5536</v>
      </c>
      <c r="L168">
        <v>0</v>
      </c>
      <c r="M168" t="s">
        <v>5946</v>
      </c>
      <c r="N168" t="s">
        <v>5947</v>
      </c>
      <c r="O168" t="s">
        <v>835</v>
      </c>
      <c r="P168" t="s">
        <v>837</v>
      </c>
    </row>
    <row r="169" spans="1:16" x14ac:dyDescent="0.3">
      <c r="A169" t="s">
        <v>495</v>
      </c>
      <c r="B169" t="s">
        <v>3476</v>
      </c>
      <c r="C169" t="s">
        <v>3090</v>
      </c>
      <c r="D169" t="s">
        <v>5534</v>
      </c>
      <c r="E169" t="s">
        <v>537</v>
      </c>
      <c r="F169" t="s">
        <v>5948</v>
      </c>
      <c r="G169">
        <v>18000000</v>
      </c>
      <c r="H169">
        <v>2875000</v>
      </c>
      <c r="I169">
        <v>0</v>
      </c>
      <c r="J169">
        <v>2875000</v>
      </c>
      <c r="K169" t="s">
        <v>5949</v>
      </c>
      <c r="L169">
        <v>15125000</v>
      </c>
      <c r="M169" t="s">
        <v>5950</v>
      </c>
      <c r="N169" t="s">
        <v>5446</v>
      </c>
      <c r="O169" t="s">
        <v>3539</v>
      </c>
      <c r="P169" t="s">
        <v>3543</v>
      </c>
    </row>
    <row r="170" spans="1:16" x14ac:dyDescent="0.3">
      <c r="A170" t="s">
        <v>495</v>
      </c>
      <c r="B170" t="s">
        <v>3476</v>
      </c>
      <c r="C170" t="s">
        <v>3090</v>
      </c>
      <c r="D170" t="s">
        <v>5534</v>
      </c>
      <c r="E170" t="s">
        <v>537</v>
      </c>
      <c r="F170" t="s">
        <v>5951</v>
      </c>
      <c r="G170">
        <v>12000000</v>
      </c>
      <c r="H170">
        <v>1970000</v>
      </c>
      <c r="I170">
        <v>0</v>
      </c>
      <c r="J170">
        <v>1970000</v>
      </c>
      <c r="K170" t="s">
        <v>5952</v>
      </c>
      <c r="L170">
        <v>10030000</v>
      </c>
      <c r="M170" t="s">
        <v>5953</v>
      </c>
      <c r="N170" t="s">
        <v>5498</v>
      </c>
      <c r="O170" t="s">
        <v>3539</v>
      </c>
      <c r="P170" t="s">
        <v>3543</v>
      </c>
    </row>
    <row r="171" spans="1:16" x14ac:dyDescent="0.3">
      <c r="A171" t="s">
        <v>495</v>
      </c>
      <c r="B171" t="s">
        <v>3476</v>
      </c>
      <c r="C171" t="s">
        <v>3090</v>
      </c>
      <c r="D171" t="s">
        <v>5534</v>
      </c>
      <c r="E171" t="s">
        <v>503</v>
      </c>
      <c r="F171" t="s">
        <v>5954</v>
      </c>
      <c r="G171">
        <v>18000000</v>
      </c>
      <c r="H171">
        <v>2961000</v>
      </c>
      <c r="I171">
        <v>0</v>
      </c>
      <c r="J171">
        <v>2961000</v>
      </c>
      <c r="K171" t="s">
        <v>5955</v>
      </c>
      <c r="L171">
        <v>15039000</v>
      </c>
      <c r="M171" t="s">
        <v>5956</v>
      </c>
      <c r="N171" t="s">
        <v>5454</v>
      </c>
      <c r="O171" t="s">
        <v>3539</v>
      </c>
      <c r="P171" t="s">
        <v>3540</v>
      </c>
    </row>
    <row r="172" spans="1:16" x14ac:dyDescent="0.3">
      <c r="A172" t="s">
        <v>495</v>
      </c>
      <c r="B172" t="s">
        <v>3476</v>
      </c>
      <c r="C172" t="s">
        <v>833</v>
      </c>
      <c r="D172" t="s">
        <v>5442</v>
      </c>
      <c r="E172" t="s">
        <v>513</v>
      </c>
      <c r="F172" t="s">
        <v>5957</v>
      </c>
      <c r="G172">
        <v>156000000</v>
      </c>
      <c r="H172">
        <v>42723206</v>
      </c>
      <c r="I172">
        <v>0</v>
      </c>
      <c r="J172">
        <v>42723206</v>
      </c>
      <c r="K172" t="s">
        <v>5958</v>
      </c>
      <c r="L172">
        <v>113276794</v>
      </c>
      <c r="M172" t="s">
        <v>5959</v>
      </c>
      <c r="N172" t="s">
        <v>5459</v>
      </c>
      <c r="O172" t="s">
        <v>3505</v>
      </c>
      <c r="P172" t="s">
        <v>3519</v>
      </c>
    </row>
    <row r="173" spans="1:16" x14ac:dyDescent="0.3">
      <c r="A173" t="s">
        <v>495</v>
      </c>
      <c r="B173" t="s">
        <v>3476</v>
      </c>
      <c r="C173" t="s">
        <v>833</v>
      </c>
      <c r="D173" t="s">
        <v>5442</v>
      </c>
      <c r="E173" t="s">
        <v>537</v>
      </c>
      <c r="F173" t="s">
        <v>5960</v>
      </c>
      <c r="G173">
        <v>12000000</v>
      </c>
      <c r="H173">
        <v>1910000</v>
      </c>
      <c r="I173">
        <v>0</v>
      </c>
      <c r="J173">
        <v>1910000</v>
      </c>
      <c r="K173" t="s">
        <v>5961</v>
      </c>
      <c r="L173">
        <v>10090000</v>
      </c>
      <c r="M173" t="s">
        <v>5962</v>
      </c>
      <c r="N173" t="s">
        <v>5498</v>
      </c>
      <c r="O173" t="s">
        <v>3505</v>
      </c>
      <c r="P173" t="s">
        <v>3514</v>
      </c>
    </row>
    <row r="174" spans="1:16" x14ac:dyDescent="0.3">
      <c r="A174" t="s">
        <v>495</v>
      </c>
      <c r="B174" t="s">
        <v>3476</v>
      </c>
      <c r="C174" t="s">
        <v>833</v>
      </c>
      <c r="D174" t="s">
        <v>5455</v>
      </c>
      <c r="E174" t="s">
        <v>537</v>
      </c>
      <c r="F174" t="s">
        <v>5963</v>
      </c>
      <c r="G174">
        <v>15000000</v>
      </c>
      <c r="H174">
        <v>2920000</v>
      </c>
      <c r="I174">
        <v>0</v>
      </c>
      <c r="J174">
        <v>2920000</v>
      </c>
      <c r="K174" t="s">
        <v>5964</v>
      </c>
      <c r="L174">
        <v>12080000</v>
      </c>
      <c r="M174" t="s">
        <v>5965</v>
      </c>
      <c r="N174" t="s">
        <v>5446</v>
      </c>
      <c r="O174" t="s">
        <v>3479</v>
      </c>
      <c r="P174" t="s">
        <v>3492</v>
      </c>
    </row>
    <row r="175" spans="1:16" x14ac:dyDescent="0.3">
      <c r="A175" t="s">
        <v>495</v>
      </c>
      <c r="B175" t="s">
        <v>3476</v>
      </c>
      <c r="C175" t="s">
        <v>833</v>
      </c>
      <c r="D175" t="s">
        <v>5455</v>
      </c>
      <c r="E175" t="s">
        <v>537</v>
      </c>
      <c r="F175" t="s">
        <v>5966</v>
      </c>
      <c r="G175">
        <v>10000000</v>
      </c>
      <c r="H175">
        <v>1935000</v>
      </c>
      <c r="I175">
        <v>0</v>
      </c>
      <c r="J175">
        <v>1935000</v>
      </c>
      <c r="K175" t="s">
        <v>5967</v>
      </c>
      <c r="L175">
        <v>8065000</v>
      </c>
      <c r="M175" t="s">
        <v>5968</v>
      </c>
      <c r="N175" t="s">
        <v>5498</v>
      </c>
      <c r="O175" t="s">
        <v>3479</v>
      </c>
      <c r="P175" t="s">
        <v>3492</v>
      </c>
    </row>
    <row r="176" spans="1:16" x14ac:dyDescent="0.3">
      <c r="A176" t="s">
        <v>419</v>
      </c>
      <c r="B176" t="s">
        <v>616</v>
      </c>
      <c r="C176" t="s">
        <v>526</v>
      </c>
      <c r="D176" t="s">
        <v>5969</v>
      </c>
      <c r="E176" t="s">
        <v>513</v>
      </c>
      <c r="F176" t="s">
        <v>5970</v>
      </c>
      <c r="G176">
        <v>97416000</v>
      </c>
      <c r="H176">
        <v>57918610</v>
      </c>
      <c r="I176">
        <v>0</v>
      </c>
      <c r="J176">
        <v>57918610</v>
      </c>
      <c r="K176" t="s">
        <v>5971</v>
      </c>
      <c r="L176">
        <v>39497390</v>
      </c>
      <c r="M176" t="s">
        <v>5972</v>
      </c>
      <c r="N176" t="s">
        <v>5973</v>
      </c>
      <c r="O176" t="s">
        <v>485</v>
      </c>
      <c r="P176" t="s">
        <v>816</v>
      </c>
    </row>
    <row r="177" spans="1:16" x14ac:dyDescent="0.3">
      <c r="A177" t="s">
        <v>419</v>
      </c>
      <c r="B177" t="s">
        <v>616</v>
      </c>
      <c r="C177" t="s">
        <v>526</v>
      </c>
      <c r="D177" t="s">
        <v>5969</v>
      </c>
      <c r="E177" t="s">
        <v>516</v>
      </c>
      <c r="F177" t="s">
        <v>5974</v>
      </c>
      <c r="G177">
        <v>10000000</v>
      </c>
      <c r="H177">
        <v>7200000</v>
      </c>
      <c r="I177">
        <v>0</v>
      </c>
      <c r="J177">
        <v>7200000</v>
      </c>
      <c r="K177" t="s">
        <v>5975</v>
      </c>
      <c r="L177">
        <v>2800000</v>
      </c>
      <c r="M177" t="s">
        <v>5976</v>
      </c>
      <c r="N177" t="s">
        <v>5977</v>
      </c>
      <c r="O177" t="s">
        <v>485</v>
      </c>
      <c r="P177" t="s">
        <v>492</v>
      </c>
    </row>
    <row r="178" spans="1:16" x14ac:dyDescent="0.3">
      <c r="A178" t="s">
        <v>419</v>
      </c>
      <c r="B178" t="s">
        <v>616</v>
      </c>
      <c r="C178" t="s">
        <v>526</v>
      </c>
      <c r="D178" t="s">
        <v>5969</v>
      </c>
      <c r="E178" t="s">
        <v>503</v>
      </c>
      <c r="F178" t="s">
        <v>5978</v>
      </c>
      <c r="G178">
        <v>3000000</v>
      </c>
      <c r="H178">
        <v>2995000</v>
      </c>
      <c r="I178">
        <v>0</v>
      </c>
      <c r="J178">
        <v>2995000</v>
      </c>
      <c r="K178" t="s">
        <v>5979</v>
      </c>
      <c r="L178">
        <v>5000</v>
      </c>
      <c r="M178" t="s">
        <v>5980</v>
      </c>
      <c r="N178" t="s">
        <v>5498</v>
      </c>
      <c r="O178" t="s">
        <v>485</v>
      </c>
      <c r="P178" t="s">
        <v>486</v>
      </c>
    </row>
    <row r="179" spans="1:16" x14ac:dyDescent="0.3">
      <c r="A179" t="s">
        <v>419</v>
      </c>
      <c r="B179" t="s">
        <v>616</v>
      </c>
      <c r="C179" t="s">
        <v>526</v>
      </c>
      <c r="D179" t="s">
        <v>5969</v>
      </c>
      <c r="E179" t="s">
        <v>503</v>
      </c>
      <c r="F179" t="s">
        <v>5981</v>
      </c>
      <c r="G179">
        <v>2000000</v>
      </c>
      <c r="H179">
        <v>1996500</v>
      </c>
      <c r="I179">
        <v>0</v>
      </c>
      <c r="J179">
        <v>1996500</v>
      </c>
      <c r="K179" t="s">
        <v>5982</v>
      </c>
      <c r="L179">
        <v>3500</v>
      </c>
      <c r="M179" t="s">
        <v>5983</v>
      </c>
      <c r="N179" t="s">
        <v>5446</v>
      </c>
      <c r="O179" t="s">
        <v>485</v>
      </c>
      <c r="P179" t="s">
        <v>486</v>
      </c>
    </row>
    <row r="180" spans="1:16" x14ac:dyDescent="0.3">
      <c r="A180" t="s">
        <v>419</v>
      </c>
      <c r="B180" t="s">
        <v>616</v>
      </c>
      <c r="C180" t="s">
        <v>526</v>
      </c>
      <c r="D180" t="s">
        <v>5969</v>
      </c>
      <c r="E180" t="s">
        <v>503</v>
      </c>
      <c r="F180" t="s">
        <v>5984</v>
      </c>
      <c r="G180">
        <v>5900000</v>
      </c>
      <c r="H180">
        <v>1500000</v>
      </c>
      <c r="I180">
        <v>0</v>
      </c>
      <c r="J180">
        <v>1500000</v>
      </c>
      <c r="K180" t="s">
        <v>5985</v>
      </c>
      <c r="L180">
        <v>4400000</v>
      </c>
      <c r="M180" t="s">
        <v>5986</v>
      </c>
      <c r="N180" t="s">
        <v>5987</v>
      </c>
      <c r="O180" t="s">
        <v>485</v>
      </c>
      <c r="P180" t="s">
        <v>486</v>
      </c>
    </row>
    <row r="181" spans="1:16" x14ac:dyDescent="0.3">
      <c r="A181" t="s">
        <v>419</v>
      </c>
      <c r="B181" t="s">
        <v>616</v>
      </c>
      <c r="C181" t="s">
        <v>526</v>
      </c>
      <c r="D181" t="s">
        <v>5969</v>
      </c>
      <c r="E181" t="s">
        <v>503</v>
      </c>
      <c r="F181" t="s">
        <v>5988</v>
      </c>
      <c r="G181">
        <v>3000000</v>
      </c>
      <c r="H181">
        <v>2999250</v>
      </c>
      <c r="I181">
        <v>0</v>
      </c>
      <c r="J181">
        <v>2999250</v>
      </c>
      <c r="K181" t="s">
        <v>5989</v>
      </c>
      <c r="L181">
        <v>750</v>
      </c>
      <c r="M181" t="s">
        <v>5990</v>
      </c>
      <c r="N181" t="s">
        <v>5533</v>
      </c>
      <c r="O181" t="s">
        <v>485</v>
      </c>
      <c r="P181" t="s">
        <v>486</v>
      </c>
    </row>
    <row r="182" spans="1:16" x14ac:dyDescent="0.3">
      <c r="A182" t="s">
        <v>419</v>
      </c>
      <c r="B182" t="s">
        <v>616</v>
      </c>
      <c r="C182" t="s">
        <v>523</v>
      </c>
      <c r="D182" t="s">
        <v>5482</v>
      </c>
      <c r="E182" t="s">
        <v>518</v>
      </c>
      <c r="F182" t="s">
        <v>5991</v>
      </c>
      <c r="G182">
        <v>2000000</v>
      </c>
      <c r="H182">
        <v>365000</v>
      </c>
      <c r="I182">
        <v>0</v>
      </c>
      <c r="J182">
        <v>365000</v>
      </c>
      <c r="K182" t="s">
        <v>5992</v>
      </c>
      <c r="L182">
        <v>1635000</v>
      </c>
      <c r="M182" t="s">
        <v>5993</v>
      </c>
      <c r="N182" t="s">
        <v>5994</v>
      </c>
      <c r="O182" t="s">
        <v>469</v>
      </c>
      <c r="P182" t="s">
        <v>480</v>
      </c>
    </row>
    <row r="183" spans="1:16" x14ac:dyDescent="0.3">
      <c r="A183" t="s">
        <v>419</v>
      </c>
      <c r="B183" t="s">
        <v>616</v>
      </c>
      <c r="C183" t="s">
        <v>523</v>
      </c>
      <c r="D183" t="s">
        <v>5482</v>
      </c>
      <c r="E183" t="s">
        <v>516</v>
      </c>
      <c r="F183" t="s">
        <v>5995</v>
      </c>
      <c r="G183">
        <v>16200000</v>
      </c>
      <c r="H183">
        <v>6300000</v>
      </c>
      <c r="I183">
        <v>0</v>
      </c>
      <c r="J183">
        <v>6300000</v>
      </c>
      <c r="K183" t="s">
        <v>5996</v>
      </c>
      <c r="L183">
        <v>9900000</v>
      </c>
      <c r="M183" t="s">
        <v>5997</v>
      </c>
      <c r="N183" t="s">
        <v>5977</v>
      </c>
      <c r="O183" t="s">
        <v>469</v>
      </c>
      <c r="P183" t="s">
        <v>478</v>
      </c>
    </row>
    <row r="184" spans="1:16" x14ac:dyDescent="0.3">
      <c r="A184" t="s">
        <v>419</v>
      </c>
      <c r="B184" t="s">
        <v>616</v>
      </c>
      <c r="C184" t="s">
        <v>523</v>
      </c>
      <c r="D184" t="s">
        <v>5482</v>
      </c>
      <c r="E184" t="s">
        <v>537</v>
      </c>
      <c r="F184" t="s">
        <v>5998</v>
      </c>
      <c r="G184">
        <v>9000000</v>
      </c>
      <c r="H184">
        <v>1470000</v>
      </c>
      <c r="I184">
        <v>0</v>
      </c>
      <c r="J184">
        <v>1470000</v>
      </c>
      <c r="K184" t="s">
        <v>5999</v>
      </c>
      <c r="L184">
        <v>7530000</v>
      </c>
      <c r="M184" t="s">
        <v>6000</v>
      </c>
      <c r="N184" t="s">
        <v>5498</v>
      </c>
      <c r="O184" t="s">
        <v>469</v>
      </c>
      <c r="P184" t="s">
        <v>475</v>
      </c>
    </row>
    <row r="185" spans="1:16" x14ac:dyDescent="0.3">
      <c r="A185" t="s">
        <v>419</v>
      </c>
      <c r="B185" t="s">
        <v>616</v>
      </c>
      <c r="C185" t="s">
        <v>523</v>
      </c>
      <c r="D185" t="s">
        <v>5482</v>
      </c>
      <c r="E185" t="s">
        <v>537</v>
      </c>
      <c r="F185" t="s">
        <v>6001</v>
      </c>
      <c r="G185">
        <v>6000000</v>
      </c>
      <c r="H185">
        <v>983500</v>
      </c>
      <c r="I185">
        <v>0</v>
      </c>
      <c r="J185">
        <v>983500</v>
      </c>
      <c r="K185" t="s">
        <v>6002</v>
      </c>
      <c r="L185">
        <v>5016500</v>
      </c>
      <c r="M185" t="s">
        <v>6003</v>
      </c>
      <c r="N185" t="s">
        <v>5446</v>
      </c>
      <c r="O185" t="s">
        <v>469</v>
      </c>
      <c r="P185" t="s">
        <v>475</v>
      </c>
    </row>
    <row r="186" spans="1:16" x14ac:dyDescent="0.3">
      <c r="A186" t="s">
        <v>419</v>
      </c>
      <c r="B186" t="s">
        <v>616</v>
      </c>
      <c r="C186" t="s">
        <v>523</v>
      </c>
      <c r="D186" t="s">
        <v>5482</v>
      </c>
      <c r="E186" t="s">
        <v>533</v>
      </c>
      <c r="F186" t="s">
        <v>6004</v>
      </c>
      <c r="G186">
        <v>4000000</v>
      </c>
      <c r="H186">
        <v>3960000</v>
      </c>
      <c r="I186">
        <v>0</v>
      </c>
      <c r="J186">
        <v>3960000</v>
      </c>
      <c r="K186" t="s">
        <v>6005</v>
      </c>
      <c r="L186">
        <v>40000</v>
      </c>
      <c r="M186" t="s">
        <v>6006</v>
      </c>
      <c r="N186" t="s">
        <v>6007</v>
      </c>
      <c r="O186" t="s">
        <v>469</v>
      </c>
      <c r="P186" t="s">
        <v>473</v>
      </c>
    </row>
    <row r="187" spans="1:16" x14ac:dyDescent="0.3">
      <c r="A187" t="s">
        <v>419</v>
      </c>
      <c r="B187" t="s">
        <v>616</v>
      </c>
      <c r="C187" t="s">
        <v>523</v>
      </c>
      <c r="D187" t="s">
        <v>5482</v>
      </c>
      <c r="E187" t="s">
        <v>533</v>
      </c>
      <c r="F187" t="s">
        <v>6008</v>
      </c>
      <c r="G187">
        <v>1000000</v>
      </c>
      <c r="H187">
        <v>302850</v>
      </c>
      <c r="I187">
        <v>0</v>
      </c>
      <c r="J187">
        <v>302850</v>
      </c>
      <c r="K187" t="s">
        <v>6009</v>
      </c>
      <c r="L187">
        <v>697150</v>
      </c>
      <c r="M187" t="s">
        <v>6010</v>
      </c>
      <c r="N187" t="s">
        <v>5869</v>
      </c>
      <c r="O187" t="s">
        <v>469</v>
      </c>
      <c r="P187" t="s">
        <v>473</v>
      </c>
    </row>
    <row r="188" spans="1:16" x14ac:dyDescent="0.3">
      <c r="A188" t="s">
        <v>419</v>
      </c>
      <c r="B188" t="s">
        <v>616</v>
      </c>
      <c r="C188" t="s">
        <v>523</v>
      </c>
      <c r="D188" t="s">
        <v>5482</v>
      </c>
      <c r="E188" t="s">
        <v>503</v>
      </c>
      <c r="F188" t="s">
        <v>6011</v>
      </c>
      <c r="G188">
        <v>6000000</v>
      </c>
      <c r="H188">
        <v>1468550</v>
      </c>
      <c r="I188">
        <v>0</v>
      </c>
      <c r="J188">
        <v>1468550</v>
      </c>
      <c r="K188" t="s">
        <v>6012</v>
      </c>
      <c r="L188">
        <v>4531450</v>
      </c>
      <c r="M188" t="s">
        <v>6013</v>
      </c>
      <c r="N188" t="s">
        <v>5533</v>
      </c>
      <c r="O188" t="s">
        <v>469</v>
      </c>
      <c r="P188" t="s">
        <v>470</v>
      </c>
    </row>
    <row r="189" spans="1:16" x14ac:dyDescent="0.3">
      <c r="A189" t="s">
        <v>419</v>
      </c>
      <c r="B189" t="s">
        <v>616</v>
      </c>
      <c r="C189" t="s">
        <v>523</v>
      </c>
      <c r="D189" t="s">
        <v>5482</v>
      </c>
      <c r="E189" t="s">
        <v>503</v>
      </c>
      <c r="F189" t="s">
        <v>6014</v>
      </c>
      <c r="G189">
        <v>15456000</v>
      </c>
      <c r="H189">
        <v>8970000</v>
      </c>
      <c r="I189">
        <v>0</v>
      </c>
      <c r="J189">
        <v>8970000</v>
      </c>
      <c r="K189" t="s">
        <v>6015</v>
      </c>
      <c r="L189">
        <v>6486000</v>
      </c>
      <c r="M189" t="s">
        <v>6016</v>
      </c>
      <c r="N189" t="s">
        <v>5671</v>
      </c>
      <c r="O189" t="s">
        <v>469</v>
      </c>
      <c r="P189" t="s">
        <v>470</v>
      </c>
    </row>
    <row r="190" spans="1:16" x14ac:dyDescent="0.3">
      <c r="A190" t="s">
        <v>419</v>
      </c>
      <c r="B190" t="s">
        <v>616</v>
      </c>
      <c r="C190" t="s">
        <v>523</v>
      </c>
      <c r="D190" t="s">
        <v>6017</v>
      </c>
      <c r="E190" t="s">
        <v>513</v>
      </c>
      <c r="F190" t="s">
        <v>6018</v>
      </c>
      <c r="G190">
        <v>253324000</v>
      </c>
      <c r="H190">
        <v>33228650</v>
      </c>
      <c r="I190">
        <v>0</v>
      </c>
      <c r="J190">
        <v>33228650</v>
      </c>
      <c r="K190" t="s">
        <v>6019</v>
      </c>
      <c r="L190">
        <v>220095350</v>
      </c>
      <c r="M190" t="s">
        <v>6020</v>
      </c>
      <c r="N190" t="s">
        <v>6021</v>
      </c>
      <c r="O190" t="s">
        <v>451</v>
      </c>
      <c r="P190" t="s">
        <v>465</v>
      </c>
    </row>
    <row r="191" spans="1:16" x14ac:dyDescent="0.3">
      <c r="A191" t="s">
        <v>419</v>
      </c>
      <c r="B191" t="s">
        <v>616</v>
      </c>
      <c r="C191" t="s">
        <v>523</v>
      </c>
      <c r="D191" t="s">
        <v>6017</v>
      </c>
      <c r="E191" t="s">
        <v>516</v>
      </c>
      <c r="F191" t="s">
        <v>6022</v>
      </c>
      <c r="G191">
        <v>25200000</v>
      </c>
      <c r="H191">
        <v>9000000</v>
      </c>
      <c r="I191">
        <v>0</v>
      </c>
      <c r="J191">
        <v>9000000</v>
      </c>
      <c r="K191" t="s">
        <v>6023</v>
      </c>
      <c r="L191">
        <v>16200000</v>
      </c>
      <c r="M191" t="s">
        <v>6024</v>
      </c>
      <c r="N191" t="s">
        <v>5977</v>
      </c>
      <c r="O191" t="s">
        <v>451</v>
      </c>
      <c r="P191" t="s">
        <v>461</v>
      </c>
    </row>
    <row r="192" spans="1:16" x14ac:dyDescent="0.3">
      <c r="A192" t="s">
        <v>419</v>
      </c>
      <c r="B192" t="s">
        <v>616</v>
      </c>
      <c r="C192" t="s">
        <v>523</v>
      </c>
      <c r="D192" t="s">
        <v>6017</v>
      </c>
      <c r="E192" t="s">
        <v>537</v>
      </c>
      <c r="F192" t="s">
        <v>6025</v>
      </c>
      <c r="G192">
        <v>18000000</v>
      </c>
      <c r="H192">
        <v>5615000</v>
      </c>
      <c r="I192">
        <v>0</v>
      </c>
      <c r="J192">
        <v>5615000</v>
      </c>
      <c r="K192" t="s">
        <v>6026</v>
      </c>
      <c r="L192">
        <v>12385000</v>
      </c>
      <c r="M192" t="s">
        <v>6027</v>
      </c>
      <c r="N192" t="s">
        <v>5498</v>
      </c>
      <c r="O192" t="s">
        <v>451</v>
      </c>
      <c r="P192" t="s">
        <v>458</v>
      </c>
    </row>
    <row r="193" spans="1:16" x14ac:dyDescent="0.3">
      <c r="A193" t="s">
        <v>419</v>
      </c>
      <c r="B193" t="s">
        <v>616</v>
      </c>
      <c r="C193" t="s">
        <v>523</v>
      </c>
      <c r="D193" t="s">
        <v>6017</v>
      </c>
      <c r="E193" t="s">
        <v>537</v>
      </c>
      <c r="F193" t="s">
        <v>6028</v>
      </c>
      <c r="G193">
        <v>12000000</v>
      </c>
      <c r="H193">
        <v>3922000</v>
      </c>
      <c r="I193">
        <v>0</v>
      </c>
      <c r="J193">
        <v>3922000</v>
      </c>
      <c r="K193" t="s">
        <v>6029</v>
      </c>
      <c r="L193">
        <v>8078000</v>
      </c>
      <c r="M193" t="s">
        <v>6030</v>
      </c>
      <c r="N193" t="s">
        <v>5446</v>
      </c>
      <c r="O193" t="s">
        <v>451</v>
      </c>
      <c r="P193" t="s">
        <v>458</v>
      </c>
    </row>
    <row r="194" spans="1:16" x14ac:dyDescent="0.3">
      <c r="A194" t="s">
        <v>419</v>
      </c>
      <c r="B194" t="s">
        <v>616</v>
      </c>
      <c r="C194" t="s">
        <v>523</v>
      </c>
      <c r="D194" t="s">
        <v>6017</v>
      </c>
      <c r="E194" t="s">
        <v>533</v>
      </c>
      <c r="F194" t="s">
        <v>6031</v>
      </c>
      <c r="G194">
        <v>1000000</v>
      </c>
      <c r="H194">
        <v>963000</v>
      </c>
      <c r="I194">
        <v>0</v>
      </c>
      <c r="J194">
        <v>963000</v>
      </c>
      <c r="K194" t="s">
        <v>6032</v>
      </c>
      <c r="L194">
        <v>37000</v>
      </c>
      <c r="M194" t="s">
        <v>6033</v>
      </c>
      <c r="N194" t="s">
        <v>5869</v>
      </c>
      <c r="O194" t="s">
        <v>451</v>
      </c>
      <c r="P194" t="s">
        <v>455</v>
      </c>
    </row>
    <row r="195" spans="1:16" x14ac:dyDescent="0.3">
      <c r="A195" t="s">
        <v>419</v>
      </c>
      <c r="B195" t="s">
        <v>616</v>
      </c>
      <c r="C195" t="s">
        <v>523</v>
      </c>
      <c r="D195" t="s">
        <v>6017</v>
      </c>
      <c r="E195" t="s">
        <v>503</v>
      </c>
      <c r="F195" t="s">
        <v>6034</v>
      </c>
      <c r="G195">
        <v>6900000</v>
      </c>
      <c r="H195">
        <v>440000</v>
      </c>
      <c r="I195">
        <v>0</v>
      </c>
      <c r="J195">
        <v>440000</v>
      </c>
      <c r="K195" t="s">
        <v>6035</v>
      </c>
      <c r="L195">
        <v>6460000</v>
      </c>
      <c r="M195" t="s">
        <v>6036</v>
      </c>
      <c r="N195" t="s">
        <v>5671</v>
      </c>
      <c r="O195" t="s">
        <v>451</v>
      </c>
      <c r="P195" t="s">
        <v>452</v>
      </c>
    </row>
    <row r="196" spans="1:16" x14ac:dyDescent="0.3">
      <c r="A196" t="s">
        <v>419</v>
      </c>
      <c r="B196" t="s">
        <v>616</v>
      </c>
      <c r="C196" t="s">
        <v>523</v>
      </c>
      <c r="D196" t="s">
        <v>6017</v>
      </c>
      <c r="E196" t="s">
        <v>503</v>
      </c>
      <c r="F196" t="s">
        <v>6037</v>
      </c>
      <c r="G196">
        <v>18000000</v>
      </c>
      <c r="H196">
        <v>5755000</v>
      </c>
      <c r="I196">
        <v>0</v>
      </c>
      <c r="J196">
        <v>5755000</v>
      </c>
      <c r="K196" t="s">
        <v>6038</v>
      </c>
      <c r="L196">
        <v>12245000</v>
      </c>
      <c r="M196" t="s">
        <v>6039</v>
      </c>
      <c r="N196" t="s">
        <v>5533</v>
      </c>
      <c r="O196" t="s">
        <v>451</v>
      </c>
      <c r="P196" t="s">
        <v>452</v>
      </c>
    </row>
    <row r="197" spans="1:16" x14ac:dyDescent="0.3">
      <c r="A197" t="s">
        <v>419</v>
      </c>
      <c r="B197" t="s">
        <v>616</v>
      </c>
      <c r="C197" t="s">
        <v>520</v>
      </c>
      <c r="D197" t="s">
        <v>5487</v>
      </c>
      <c r="E197" t="s">
        <v>503</v>
      </c>
      <c r="F197" t="s">
        <v>6040</v>
      </c>
      <c r="G197">
        <v>3000000</v>
      </c>
      <c r="H197">
        <v>1470000</v>
      </c>
      <c r="I197">
        <v>0</v>
      </c>
      <c r="J197">
        <v>1470000</v>
      </c>
      <c r="K197" t="s">
        <v>6041</v>
      </c>
      <c r="L197">
        <v>1530000</v>
      </c>
      <c r="M197" t="s">
        <v>6042</v>
      </c>
      <c r="N197" t="s">
        <v>5498</v>
      </c>
      <c r="O197" t="s">
        <v>440</v>
      </c>
      <c r="P197" t="s">
        <v>441</v>
      </c>
    </row>
    <row r="198" spans="1:16" x14ac:dyDescent="0.3">
      <c r="A198" t="s">
        <v>419</v>
      </c>
      <c r="B198" t="s">
        <v>616</v>
      </c>
      <c r="C198" t="s">
        <v>520</v>
      </c>
      <c r="D198" t="s">
        <v>5487</v>
      </c>
      <c r="E198" t="s">
        <v>503</v>
      </c>
      <c r="F198" t="s">
        <v>6043</v>
      </c>
      <c r="G198">
        <v>2000000</v>
      </c>
      <c r="H198">
        <v>990000</v>
      </c>
      <c r="I198">
        <v>0</v>
      </c>
      <c r="J198">
        <v>990000</v>
      </c>
      <c r="K198" t="s">
        <v>6044</v>
      </c>
      <c r="L198">
        <v>1010000</v>
      </c>
      <c r="M198" t="s">
        <v>6045</v>
      </c>
      <c r="N198" t="s">
        <v>5446</v>
      </c>
      <c r="O198" t="s">
        <v>440</v>
      </c>
      <c r="P198" t="s">
        <v>441</v>
      </c>
    </row>
    <row r="199" spans="1:16" x14ac:dyDescent="0.3">
      <c r="A199" t="s">
        <v>419</v>
      </c>
      <c r="B199" t="s">
        <v>616</v>
      </c>
      <c r="C199" t="s">
        <v>520</v>
      </c>
      <c r="D199" t="s">
        <v>5487</v>
      </c>
      <c r="E199" t="s">
        <v>503</v>
      </c>
      <c r="F199" t="s">
        <v>6046</v>
      </c>
      <c r="G199">
        <v>3750000</v>
      </c>
      <c r="H199">
        <v>660000</v>
      </c>
      <c r="I199">
        <v>0</v>
      </c>
      <c r="J199">
        <v>660000</v>
      </c>
      <c r="K199" t="s">
        <v>6047</v>
      </c>
      <c r="L199">
        <v>3090000</v>
      </c>
      <c r="M199" t="s">
        <v>6048</v>
      </c>
      <c r="N199" t="s">
        <v>5472</v>
      </c>
      <c r="O199" t="s">
        <v>440</v>
      </c>
      <c r="P199" t="s">
        <v>441</v>
      </c>
    </row>
    <row r="200" spans="1:16" x14ac:dyDescent="0.3">
      <c r="A200" t="s">
        <v>419</v>
      </c>
      <c r="B200" t="s">
        <v>616</v>
      </c>
      <c r="C200" t="s">
        <v>502</v>
      </c>
      <c r="D200" t="s">
        <v>6049</v>
      </c>
      <c r="E200" t="s">
        <v>513</v>
      </c>
      <c r="F200" t="s">
        <v>6050</v>
      </c>
      <c r="G200">
        <v>17465000</v>
      </c>
      <c r="H200">
        <v>16620000</v>
      </c>
      <c r="I200">
        <v>0</v>
      </c>
      <c r="J200">
        <v>16620000</v>
      </c>
      <c r="K200" t="s">
        <v>6051</v>
      </c>
      <c r="L200">
        <v>845000</v>
      </c>
      <c r="M200" t="s">
        <v>6052</v>
      </c>
      <c r="N200" t="s">
        <v>6053</v>
      </c>
      <c r="O200" t="s">
        <v>431</v>
      </c>
      <c r="P200" t="s">
        <v>437</v>
      </c>
    </row>
    <row r="201" spans="1:16" x14ac:dyDescent="0.3">
      <c r="A201" t="s">
        <v>419</v>
      </c>
      <c r="B201" t="s">
        <v>616</v>
      </c>
      <c r="C201" t="s">
        <v>502</v>
      </c>
      <c r="D201" t="s">
        <v>6049</v>
      </c>
      <c r="E201" t="s">
        <v>516</v>
      </c>
      <c r="F201" t="s">
        <v>6054</v>
      </c>
      <c r="G201">
        <v>4000000</v>
      </c>
      <c r="H201">
        <v>900000</v>
      </c>
      <c r="I201">
        <v>0</v>
      </c>
      <c r="J201">
        <v>900000</v>
      </c>
      <c r="K201" t="s">
        <v>6055</v>
      </c>
      <c r="L201">
        <v>3100000</v>
      </c>
      <c r="M201" t="s">
        <v>6056</v>
      </c>
      <c r="N201" t="s">
        <v>5977</v>
      </c>
      <c r="O201" t="s">
        <v>431</v>
      </c>
      <c r="P201" t="s">
        <v>777</v>
      </c>
    </row>
    <row r="202" spans="1:16" x14ac:dyDescent="0.3">
      <c r="A202" t="s">
        <v>419</v>
      </c>
      <c r="B202" t="s">
        <v>616</v>
      </c>
      <c r="C202" t="s">
        <v>502</v>
      </c>
      <c r="D202" t="s">
        <v>6049</v>
      </c>
      <c r="E202" t="s">
        <v>503</v>
      </c>
      <c r="F202" t="s">
        <v>6057</v>
      </c>
      <c r="G202">
        <v>4500000</v>
      </c>
      <c r="H202">
        <v>1480000</v>
      </c>
      <c r="I202">
        <v>0</v>
      </c>
      <c r="J202">
        <v>1480000</v>
      </c>
      <c r="K202" t="s">
        <v>6058</v>
      </c>
      <c r="L202">
        <v>3020000</v>
      </c>
      <c r="M202" t="s">
        <v>6059</v>
      </c>
      <c r="N202" t="s">
        <v>5498</v>
      </c>
      <c r="O202" t="s">
        <v>431</v>
      </c>
      <c r="P202" t="s">
        <v>432</v>
      </c>
    </row>
    <row r="203" spans="1:16" x14ac:dyDescent="0.3">
      <c r="A203" t="s">
        <v>419</v>
      </c>
      <c r="B203" t="s">
        <v>616</v>
      </c>
      <c r="C203" t="s">
        <v>502</v>
      </c>
      <c r="D203" t="s">
        <v>6049</v>
      </c>
      <c r="E203" t="s">
        <v>503</v>
      </c>
      <c r="F203" t="s">
        <v>6060</v>
      </c>
      <c r="G203">
        <v>3000000</v>
      </c>
      <c r="H203">
        <v>997000</v>
      </c>
      <c r="I203">
        <v>0</v>
      </c>
      <c r="J203">
        <v>997000</v>
      </c>
      <c r="K203" t="s">
        <v>6061</v>
      </c>
      <c r="L203">
        <v>2003000</v>
      </c>
      <c r="M203" t="s">
        <v>6062</v>
      </c>
      <c r="N203" t="s">
        <v>5446</v>
      </c>
      <c r="O203" t="s">
        <v>431</v>
      </c>
      <c r="P203" t="s">
        <v>432</v>
      </c>
    </row>
    <row r="204" spans="1:16" x14ac:dyDescent="0.3">
      <c r="A204" t="s">
        <v>419</v>
      </c>
      <c r="B204" t="s">
        <v>616</v>
      </c>
      <c r="C204" t="s">
        <v>502</v>
      </c>
      <c r="D204" t="s">
        <v>6049</v>
      </c>
      <c r="E204" t="s">
        <v>503</v>
      </c>
      <c r="F204" t="s">
        <v>6063</v>
      </c>
      <c r="G204">
        <v>9000000</v>
      </c>
      <c r="H204">
        <v>1564000</v>
      </c>
      <c r="I204">
        <v>0</v>
      </c>
      <c r="J204">
        <v>1564000</v>
      </c>
      <c r="K204" t="s">
        <v>6064</v>
      </c>
      <c r="L204">
        <v>7436000</v>
      </c>
      <c r="M204" t="s">
        <v>6065</v>
      </c>
      <c r="N204" t="s">
        <v>5472</v>
      </c>
      <c r="O204" t="s">
        <v>431</v>
      </c>
      <c r="P204" t="s">
        <v>432</v>
      </c>
    </row>
    <row r="205" spans="1:16" x14ac:dyDescent="0.3">
      <c r="A205" t="s">
        <v>419</v>
      </c>
      <c r="B205" t="s">
        <v>616</v>
      </c>
      <c r="C205" t="s">
        <v>502</v>
      </c>
      <c r="D205" t="s">
        <v>6066</v>
      </c>
      <c r="E205" t="s">
        <v>513</v>
      </c>
      <c r="F205" t="s">
        <v>6067</v>
      </c>
      <c r="G205">
        <v>43260000</v>
      </c>
      <c r="H205">
        <v>24466000</v>
      </c>
      <c r="I205">
        <v>0</v>
      </c>
      <c r="J205">
        <v>24466000</v>
      </c>
      <c r="K205" t="s">
        <v>6068</v>
      </c>
      <c r="L205">
        <v>18794000</v>
      </c>
      <c r="M205" t="s">
        <v>6069</v>
      </c>
      <c r="N205" t="s">
        <v>6070</v>
      </c>
      <c r="O205" t="s">
        <v>423</v>
      </c>
      <c r="P205" t="s">
        <v>429</v>
      </c>
    </row>
    <row r="206" spans="1:16" x14ac:dyDescent="0.3">
      <c r="A206" t="s">
        <v>419</v>
      </c>
      <c r="B206" t="s">
        <v>616</v>
      </c>
      <c r="C206" t="s">
        <v>502</v>
      </c>
      <c r="D206" t="s">
        <v>6066</v>
      </c>
      <c r="E206" t="s">
        <v>516</v>
      </c>
      <c r="F206" t="s">
        <v>6071</v>
      </c>
      <c r="G206">
        <v>20000000</v>
      </c>
      <c r="H206">
        <v>900000</v>
      </c>
      <c r="I206">
        <v>0</v>
      </c>
      <c r="J206">
        <v>900000</v>
      </c>
      <c r="K206" t="s">
        <v>6072</v>
      </c>
      <c r="L206">
        <v>19100000</v>
      </c>
      <c r="M206" t="s">
        <v>6073</v>
      </c>
      <c r="N206" t="s">
        <v>5977</v>
      </c>
      <c r="O206" t="s">
        <v>423</v>
      </c>
      <c r="P206" t="s">
        <v>772</v>
      </c>
    </row>
    <row r="207" spans="1:16" x14ac:dyDescent="0.3">
      <c r="A207" t="s">
        <v>419</v>
      </c>
      <c r="B207" t="s">
        <v>616</v>
      </c>
      <c r="C207" t="s">
        <v>502</v>
      </c>
      <c r="D207" t="s">
        <v>6066</v>
      </c>
      <c r="E207" t="s">
        <v>503</v>
      </c>
      <c r="F207" t="s">
        <v>6074</v>
      </c>
      <c r="G207">
        <v>4500000</v>
      </c>
      <c r="H207">
        <v>1485000</v>
      </c>
      <c r="I207">
        <v>0</v>
      </c>
      <c r="J207">
        <v>1485000</v>
      </c>
      <c r="K207" t="s">
        <v>5794</v>
      </c>
      <c r="L207">
        <v>3015000</v>
      </c>
      <c r="M207" t="s">
        <v>6075</v>
      </c>
      <c r="N207" t="s">
        <v>5498</v>
      </c>
      <c r="O207" t="s">
        <v>423</v>
      </c>
      <c r="P207" t="s">
        <v>424</v>
      </c>
    </row>
    <row r="208" spans="1:16" x14ac:dyDescent="0.3">
      <c r="A208" t="s">
        <v>419</v>
      </c>
      <c r="B208" t="s">
        <v>616</v>
      </c>
      <c r="C208" t="s">
        <v>502</v>
      </c>
      <c r="D208" t="s">
        <v>6066</v>
      </c>
      <c r="E208" t="s">
        <v>503</v>
      </c>
      <c r="F208" t="s">
        <v>6076</v>
      </c>
      <c r="G208">
        <v>3000000</v>
      </c>
      <c r="H208">
        <v>990000</v>
      </c>
      <c r="I208">
        <v>0</v>
      </c>
      <c r="J208">
        <v>990000</v>
      </c>
      <c r="K208" t="s">
        <v>5794</v>
      </c>
      <c r="L208">
        <v>2010000</v>
      </c>
      <c r="M208" t="s">
        <v>6077</v>
      </c>
      <c r="N208" t="s">
        <v>5446</v>
      </c>
      <c r="O208" t="s">
        <v>423</v>
      </c>
      <c r="P208" t="s">
        <v>424</v>
      </c>
    </row>
    <row r="209" spans="1:16" x14ac:dyDescent="0.3">
      <c r="A209" t="s">
        <v>419</v>
      </c>
      <c r="B209" t="s">
        <v>616</v>
      </c>
      <c r="C209" t="s">
        <v>502</v>
      </c>
      <c r="D209" t="s">
        <v>6066</v>
      </c>
      <c r="E209" t="s">
        <v>503</v>
      </c>
      <c r="F209" t="s">
        <v>6078</v>
      </c>
      <c r="G209">
        <v>9375000</v>
      </c>
      <c r="H209">
        <v>3106000</v>
      </c>
      <c r="I209">
        <v>0</v>
      </c>
      <c r="J209">
        <v>3106000</v>
      </c>
      <c r="K209" t="s">
        <v>6079</v>
      </c>
      <c r="L209">
        <v>6269000</v>
      </c>
      <c r="M209" t="s">
        <v>6080</v>
      </c>
      <c r="N209" t="s">
        <v>5472</v>
      </c>
      <c r="O209" t="s">
        <v>423</v>
      </c>
      <c r="P209" t="s">
        <v>424</v>
      </c>
    </row>
    <row r="210" spans="1:16" x14ac:dyDescent="0.3">
      <c r="A210" t="s">
        <v>495</v>
      </c>
      <c r="B210" t="s">
        <v>3476</v>
      </c>
      <c r="C210" t="s">
        <v>3090</v>
      </c>
      <c r="D210" t="s">
        <v>5534</v>
      </c>
      <c r="E210" t="s">
        <v>513</v>
      </c>
      <c r="F210" t="s">
        <v>6081</v>
      </c>
      <c r="G210">
        <v>54200000</v>
      </c>
      <c r="H210">
        <v>0</v>
      </c>
      <c r="I210">
        <v>0</v>
      </c>
      <c r="J210">
        <v>0</v>
      </c>
      <c r="K210" t="s">
        <v>6082</v>
      </c>
      <c r="L210">
        <v>54200000</v>
      </c>
      <c r="M210" t="s">
        <v>6083</v>
      </c>
      <c r="N210" t="s">
        <v>6084</v>
      </c>
      <c r="O210" t="s">
        <v>3539</v>
      </c>
      <c r="P210" t="s">
        <v>3546</v>
      </c>
    </row>
    <row r="211" spans="1:16" x14ac:dyDescent="0.3">
      <c r="A211" t="s">
        <v>495</v>
      </c>
      <c r="B211" t="s">
        <v>3476</v>
      </c>
      <c r="C211" t="s">
        <v>3090</v>
      </c>
      <c r="D211" t="s">
        <v>5534</v>
      </c>
      <c r="E211" t="s">
        <v>503</v>
      </c>
      <c r="F211" t="s">
        <v>6085</v>
      </c>
      <c r="G211">
        <v>7000000</v>
      </c>
      <c r="H211">
        <v>0</v>
      </c>
      <c r="I211">
        <v>0</v>
      </c>
      <c r="J211">
        <v>0</v>
      </c>
      <c r="K211" t="s">
        <v>6082</v>
      </c>
      <c r="L211">
        <v>7000000</v>
      </c>
      <c r="M211" t="s">
        <v>6086</v>
      </c>
      <c r="N211" t="s">
        <v>5472</v>
      </c>
      <c r="O211" t="s">
        <v>3539</v>
      </c>
      <c r="P211" t="s">
        <v>3540</v>
      </c>
    </row>
    <row r="212" spans="1:16" x14ac:dyDescent="0.3">
      <c r="A212" t="s">
        <v>495</v>
      </c>
      <c r="B212" t="s">
        <v>3476</v>
      </c>
      <c r="C212" t="s">
        <v>833</v>
      </c>
      <c r="D212" t="s">
        <v>5510</v>
      </c>
      <c r="E212" t="s">
        <v>1150</v>
      </c>
      <c r="F212" t="s">
        <v>6087</v>
      </c>
      <c r="G212">
        <v>142041000</v>
      </c>
      <c r="H212">
        <v>0</v>
      </c>
      <c r="I212">
        <v>0</v>
      </c>
      <c r="J212">
        <v>0</v>
      </c>
      <c r="K212" t="s">
        <v>6082</v>
      </c>
      <c r="L212">
        <v>142041000</v>
      </c>
      <c r="M212" t="s">
        <v>6088</v>
      </c>
      <c r="N212" t="s">
        <v>6089</v>
      </c>
      <c r="O212" t="s">
        <v>3522</v>
      </c>
      <c r="P212" t="s">
        <v>3530</v>
      </c>
    </row>
    <row r="213" spans="1:16" x14ac:dyDescent="0.3">
      <c r="A213" t="s">
        <v>495</v>
      </c>
      <c r="B213" t="s">
        <v>3476</v>
      </c>
      <c r="C213" t="s">
        <v>833</v>
      </c>
      <c r="D213" t="s">
        <v>5510</v>
      </c>
      <c r="E213" t="s">
        <v>533</v>
      </c>
      <c r="F213" t="s">
        <v>6090</v>
      </c>
      <c r="G213">
        <v>20000000</v>
      </c>
      <c r="H213">
        <v>0</v>
      </c>
      <c r="I213">
        <v>0</v>
      </c>
      <c r="J213">
        <v>0</v>
      </c>
      <c r="K213" t="s">
        <v>6082</v>
      </c>
      <c r="L213">
        <v>20000000</v>
      </c>
      <c r="M213" t="s">
        <v>6091</v>
      </c>
      <c r="N213" t="s">
        <v>6092</v>
      </c>
      <c r="O213" t="s">
        <v>3522</v>
      </c>
      <c r="P213" t="s">
        <v>3527</v>
      </c>
    </row>
    <row r="214" spans="1:16" x14ac:dyDescent="0.3">
      <c r="A214" t="s">
        <v>495</v>
      </c>
      <c r="B214" t="s">
        <v>3476</v>
      </c>
      <c r="C214" t="s">
        <v>833</v>
      </c>
      <c r="D214" t="s">
        <v>5510</v>
      </c>
      <c r="E214" t="s">
        <v>503</v>
      </c>
      <c r="F214" t="s">
        <v>6093</v>
      </c>
      <c r="G214">
        <v>4500000</v>
      </c>
      <c r="H214">
        <v>0</v>
      </c>
      <c r="I214">
        <v>0</v>
      </c>
      <c r="J214">
        <v>0</v>
      </c>
      <c r="K214" t="s">
        <v>6082</v>
      </c>
      <c r="L214">
        <v>4500000</v>
      </c>
      <c r="M214" t="s">
        <v>6094</v>
      </c>
      <c r="N214" t="s">
        <v>5446</v>
      </c>
      <c r="O214" t="s">
        <v>3522</v>
      </c>
      <c r="P214" t="s">
        <v>3523</v>
      </c>
    </row>
    <row r="215" spans="1:16" x14ac:dyDescent="0.3">
      <c r="A215" t="s">
        <v>495</v>
      </c>
      <c r="B215" t="s">
        <v>3476</v>
      </c>
      <c r="C215" t="s">
        <v>833</v>
      </c>
      <c r="D215" t="s">
        <v>5510</v>
      </c>
      <c r="E215" t="s">
        <v>503</v>
      </c>
      <c r="F215" t="s">
        <v>6095</v>
      </c>
      <c r="G215">
        <v>3000000</v>
      </c>
      <c r="H215">
        <v>0</v>
      </c>
      <c r="I215">
        <v>0</v>
      </c>
      <c r="J215">
        <v>0</v>
      </c>
      <c r="K215" t="s">
        <v>6082</v>
      </c>
      <c r="L215">
        <v>3000000</v>
      </c>
      <c r="M215" t="s">
        <v>6096</v>
      </c>
      <c r="N215" t="s">
        <v>5498</v>
      </c>
      <c r="O215" t="s">
        <v>3522</v>
      </c>
      <c r="P215" t="s">
        <v>3523</v>
      </c>
    </row>
    <row r="216" spans="1:16" x14ac:dyDescent="0.3">
      <c r="A216" t="s">
        <v>495</v>
      </c>
      <c r="B216" t="s">
        <v>3476</v>
      </c>
      <c r="C216" t="s">
        <v>833</v>
      </c>
      <c r="D216" t="s">
        <v>5510</v>
      </c>
      <c r="E216" t="s">
        <v>503</v>
      </c>
      <c r="F216" t="s">
        <v>6097</v>
      </c>
      <c r="G216">
        <v>4500000</v>
      </c>
      <c r="H216">
        <v>0</v>
      </c>
      <c r="I216">
        <v>0</v>
      </c>
      <c r="J216">
        <v>0</v>
      </c>
      <c r="K216" t="s">
        <v>6082</v>
      </c>
      <c r="L216">
        <v>4500000</v>
      </c>
      <c r="M216" t="s">
        <v>6098</v>
      </c>
      <c r="N216" t="s">
        <v>5454</v>
      </c>
      <c r="O216" t="s">
        <v>3522</v>
      </c>
      <c r="P216" t="s">
        <v>3523</v>
      </c>
    </row>
    <row r="217" spans="1:16" x14ac:dyDescent="0.3">
      <c r="A217" t="s">
        <v>495</v>
      </c>
      <c r="B217" t="s">
        <v>3476</v>
      </c>
      <c r="C217" t="s">
        <v>833</v>
      </c>
      <c r="D217" t="s">
        <v>5442</v>
      </c>
      <c r="E217" t="s">
        <v>513</v>
      </c>
      <c r="F217" t="s">
        <v>6099</v>
      </c>
      <c r="G217">
        <v>60000000</v>
      </c>
      <c r="H217">
        <v>0</v>
      </c>
      <c r="I217">
        <v>0</v>
      </c>
      <c r="J217">
        <v>0</v>
      </c>
      <c r="K217" t="s">
        <v>6082</v>
      </c>
      <c r="L217">
        <v>60000000</v>
      </c>
      <c r="M217" t="s">
        <v>6100</v>
      </c>
      <c r="N217" t="s">
        <v>6101</v>
      </c>
      <c r="O217" t="s">
        <v>3505</v>
      </c>
      <c r="P217" t="s">
        <v>3519</v>
      </c>
    </row>
    <row r="218" spans="1:16" x14ac:dyDescent="0.3">
      <c r="A218" t="s">
        <v>495</v>
      </c>
      <c r="B218" t="s">
        <v>3476</v>
      </c>
      <c r="C218" t="s">
        <v>833</v>
      </c>
      <c r="D218" t="s">
        <v>5442</v>
      </c>
      <c r="E218" t="s">
        <v>516</v>
      </c>
      <c r="F218" t="s">
        <v>6102</v>
      </c>
      <c r="G218">
        <v>6000000</v>
      </c>
      <c r="H218">
        <v>0</v>
      </c>
      <c r="I218">
        <v>0</v>
      </c>
      <c r="J218">
        <v>0</v>
      </c>
      <c r="K218" t="s">
        <v>6082</v>
      </c>
      <c r="L218">
        <v>6000000</v>
      </c>
      <c r="M218" t="s">
        <v>6103</v>
      </c>
      <c r="N218" t="s">
        <v>5977</v>
      </c>
      <c r="O218" t="s">
        <v>3505</v>
      </c>
      <c r="P218" t="s">
        <v>3517</v>
      </c>
    </row>
    <row r="219" spans="1:16" x14ac:dyDescent="0.3">
      <c r="A219" t="s">
        <v>495</v>
      </c>
      <c r="B219" t="s">
        <v>3476</v>
      </c>
      <c r="C219" t="s">
        <v>833</v>
      </c>
      <c r="D219" t="s">
        <v>5442</v>
      </c>
      <c r="E219" t="s">
        <v>533</v>
      </c>
      <c r="F219" t="s">
        <v>6104</v>
      </c>
      <c r="G219">
        <v>7500000</v>
      </c>
      <c r="H219">
        <v>0</v>
      </c>
      <c r="I219">
        <v>0</v>
      </c>
      <c r="J219">
        <v>0</v>
      </c>
      <c r="K219" t="s">
        <v>6082</v>
      </c>
      <c r="L219">
        <v>7500000</v>
      </c>
      <c r="M219" t="s">
        <v>6105</v>
      </c>
      <c r="N219" t="s">
        <v>6106</v>
      </c>
      <c r="O219" t="s">
        <v>3505</v>
      </c>
      <c r="P219" t="s">
        <v>3509</v>
      </c>
    </row>
    <row r="220" spans="1:16" x14ac:dyDescent="0.3">
      <c r="A220" t="s">
        <v>495</v>
      </c>
      <c r="B220" t="s">
        <v>3476</v>
      </c>
      <c r="C220" t="s">
        <v>833</v>
      </c>
      <c r="D220" t="s">
        <v>5442</v>
      </c>
      <c r="E220" t="s">
        <v>533</v>
      </c>
      <c r="F220" t="s">
        <v>6107</v>
      </c>
      <c r="G220">
        <v>750000</v>
      </c>
      <c r="H220">
        <v>0</v>
      </c>
      <c r="I220">
        <v>0</v>
      </c>
      <c r="J220">
        <v>0</v>
      </c>
      <c r="K220" t="s">
        <v>6082</v>
      </c>
      <c r="L220">
        <v>750000</v>
      </c>
      <c r="M220" t="s">
        <v>6108</v>
      </c>
      <c r="N220" t="s">
        <v>5869</v>
      </c>
      <c r="O220" t="s">
        <v>3505</v>
      </c>
      <c r="P220" t="s">
        <v>3509</v>
      </c>
    </row>
    <row r="221" spans="1:16" x14ac:dyDescent="0.3">
      <c r="A221" t="s">
        <v>495</v>
      </c>
      <c r="B221" t="s">
        <v>3476</v>
      </c>
      <c r="C221" t="s">
        <v>833</v>
      </c>
      <c r="D221" t="s">
        <v>5442</v>
      </c>
      <c r="E221" t="s">
        <v>503</v>
      </c>
      <c r="F221" t="s">
        <v>6109</v>
      </c>
      <c r="G221">
        <v>7000000</v>
      </c>
      <c r="H221">
        <v>0</v>
      </c>
      <c r="I221">
        <v>0</v>
      </c>
      <c r="J221">
        <v>0</v>
      </c>
      <c r="K221" t="s">
        <v>6082</v>
      </c>
      <c r="L221">
        <v>7000000</v>
      </c>
      <c r="M221" t="s">
        <v>6110</v>
      </c>
      <c r="N221" t="s">
        <v>5472</v>
      </c>
      <c r="O221" t="s">
        <v>3505</v>
      </c>
      <c r="P221" t="s">
        <v>3506</v>
      </c>
    </row>
    <row r="222" spans="1:16" x14ac:dyDescent="0.3">
      <c r="A222" t="s">
        <v>495</v>
      </c>
      <c r="B222" t="s">
        <v>3476</v>
      </c>
      <c r="C222" t="s">
        <v>833</v>
      </c>
      <c r="D222" t="s">
        <v>5455</v>
      </c>
      <c r="E222" t="s">
        <v>513</v>
      </c>
      <c r="F222" t="s">
        <v>6111</v>
      </c>
      <c r="G222">
        <v>60000000</v>
      </c>
      <c r="H222">
        <v>0</v>
      </c>
      <c r="I222">
        <v>0</v>
      </c>
      <c r="J222">
        <v>0</v>
      </c>
      <c r="K222" t="s">
        <v>6082</v>
      </c>
      <c r="L222">
        <v>60000000</v>
      </c>
      <c r="M222" t="s">
        <v>6112</v>
      </c>
      <c r="N222" t="s">
        <v>6101</v>
      </c>
      <c r="O222" t="s">
        <v>3479</v>
      </c>
      <c r="P222" t="s">
        <v>3500</v>
      </c>
    </row>
    <row r="223" spans="1:16" x14ac:dyDescent="0.3">
      <c r="A223" t="s">
        <v>495</v>
      </c>
      <c r="B223" t="s">
        <v>3476</v>
      </c>
      <c r="C223" t="s">
        <v>833</v>
      </c>
      <c r="D223" t="s">
        <v>5455</v>
      </c>
      <c r="E223" t="s">
        <v>517</v>
      </c>
      <c r="F223" t="s">
        <v>6113</v>
      </c>
      <c r="G223">
        <v>102600000</v>
      </c>
      <c r="H223">
        <v>0</v>
      </c>
      <c r="I223">
        <v>0</v>
      </c>
      <c r="J223">
        <v>0</v>
      </c>
      <c r="K223" t="s">
        <v>6082</v>
      </c>
      <c r="L223">
        <v>102600000</v>
      </c>
      <c r="M223" t="s">
        <v>6114</v>
      </c>
      <c r="N223" t="s">
        <v>6115</v>
      </c>
      <c r="O223" t="s">
        <v>3479</v>
      </c>
      <c r="P223" t="s">
        <v>3497</v>
      </c>
    </row>
    <row r="224" spans="1:16" x14ac:dyDescent="0.3">
      <c r="A224" t="s">
        <v>495</v>
      </c>
      <c r="B224" t="s">
        <v>3476</v>
      </c>
      <c r="C224" t="s">
        <v>833</v>
      </c>
      <c r="D224" t="s">
        <v>5455</v>
      </c>
      <c r="E224" t="s">
        <v>516</v>
      </c>
      <c r="F224" t="s">
        <v>6116</v>
      </c>
      <c r="G224">
        <v>15000000</v>
      </c>
      <c r="H224">
        <v>0</v>
      </c>
      <c r="I224">
        <v>0</v>
      </c>
      <c r="J224">
        <v>0</v>
      </c>
      <c r="K224" t="s">
        <v>6082</v>
      </c>
      <c r="L224">
        <v>15000000</v>
      </c>
      <c r="M224" t="s">
        <v>6117</v>
      </c>
      <c r="N224" t="s">
        <v>5977</v>
      </c>
      <c r="O224" t="s">
        <v>3479</v>
      </c>
      <c r="P224" t="s">
        <v>3495</v>
      </c>
    </row>
    <row r="225" spans="1:16" x14ac:dyDescent="0.3">
      <c r="A225" t="s">
        <v>495</v>
      </c>
      <c r="B225" t="s">
        <v>3476</v>
      </c>
      <c r="C225" t="s">
        <v>833</v>
      </c>
      <c r="D225" t="s">
        <v>5455</v>
      </c>
      <c r="E225" t="s">
        <v>533</v>
      </c>
      <c r="F225" t="s">
        <v>6118</v>
      </c>
      <c r="G225">
        <v>250000</v>
      </c>
      <c r="H225">
        <v>0</v>
      </c>
      <c r="I225">
        <v>0</v>
      </c>
      <c r="J225">
        <v>0</v>
      </c>
      <c r="K225" t="s">
        <v>6082</v>
      </c>
      <c r="L225">
        <v>250000</v>
      </c>
      <c r="M225" t="s">
        <v>6119</v>
      </c>
      <c r="N225" t="s">
        <v>5869</v>
      </c>
      <c r="O225" t="s">
        <v>3479</v>
      </c>
      <c r="P225" t="s">
        <v>3488</v>
      </c>
    </row>
    <row r="226" spans="1:16" x14ac:dyDescent="0.3">
      <c r="A226" t="s">
        <v>495</v>
      </c>
      <c r="B226" t="s">
        <v>3476</v>
      </c>
      <c r="C226" t="s">
        <v>833</v>
      </c>
      <c r="D226" t="s">
        <v>5455</v>
      </c>
      <c r="E226" t="s">
        <v>533</v>
      </c>
      <c r="F226" t="s">
        <v>6120</v>
      </c>
      <c r="G226">
        <v>1333614000</v>
      </c>
      <c r="H226">
        <v>0</v>
      </c>
      <c r="I226">
        <v>0</v>
      </c>
      <c r="J226">
        <v>0</v>
      </c>
      <c r="K226" t="s">
        <v>6082</v>
      </c>
      <c r="L226">
        <v>1333614000</v>
      </c>
      <c r="M226" t="s">
        <v>6121</v>
      </c>
      <c r="N226" t="s">
        <v>5450</v>
      </c>
      <c r="O226" t="s">
        <v>3479</v>
      </c>
      <c r="P226" t="s">
        <v>3488</v>
      </c>
    </row>
    <row r="227" spans="1:16" x14ac:dyDescent="0.3">
      <c r="A227" t="s">
        <v>495</v>
      </c>
      <c r="B227" t="s">
        <v>3476</v>
      </c>
      <c r="C227" t="s">
        <v>833</v>
      </c>
      <c r="D227" t="s">
        <v>5455</v>
      </c>
      <c r="E227" t="s">
        <v>503</v>
      </c>
      <c r="F227" t="s">
        <v>6122</v>
      </c>
      <c r="G227">
        <v>22500000</v>
      </c>
      <c r="H227">
        <v>0</v>
      </c>
      <c r="I227">
        <v>0</v>
      </c>
      <c r="J227">
        <v>0</v>
      </c>
      <c r="K227" t="s">
        <v>6082</v>
      </c>
      <c r="L227">
        <v>22500000</v>
      </c>
      <c r="M227" t="s">
        <v>6123</v>
      </c>
      <c r="N227" t="s">
        <v>6124</v>
      </c>
      <c r="O227" t="s">
        <v>3479</v>
      </c>
      <c r="P227" t="s">
        <v>3480</v>
      </c>
    </row>
    <row r="228" spans="1:16" x14ac:dyDescent="0.3">
      <c r="A228" t="s">
        <v>495</v>
      </c>
      <c r="B228" t="s">
        <v>3476</v>
      </c>
      <c r="C228" t="s">
        <v>833</v>
      </c>
      <c r="D228" t="s">
        <v>5455</v>
      </c>
      <c r="E228" t="s">
        <v>503</v>
      </c>
      <c r="F228" t="s">
        <v>6125</v>
      </c>
      <c r="G228">
        <v>33600000</v>
      </c>
      <c r="H228">
        <v>0</v>
      </c>
      <c r="I228">
        <v>0</v>
      </c>
      <c r="J228">
        <v>0</v>
      </c>
      <c r="K228" t="s">
        <v>6082</v>
      </c>
      <c r="L228">
        <v>33600000</v>
      </c>
      <c r="M228" t="s">
        <v>6126</v>
      </c>
      <c r="N228" t="s">
        <v>6127</v>
      </c>
      <c r="O228" t="s">
        <v>3479</v>
      </c>
      <c r="P228" t="s">
        <v>3480</v>
      </c>
    </row>
    <row r="229" spans="1:16" x14ac:dyDescent="0.3">
      <c r="A229" t="s">
        <v>495</v>
      </c>
      <c r="B229" t="s">
        <v>3476</v>
      </c>
      <c r="C229" t="s">
        <v>833</v>
      </c>
      <c r="D229" t="s">
        <v>5455</v>
      </c>
      <c r="E229" t="s">
        <v>503</v>
      </c>
      <c r="F229" t="s">
        <v>6128</v>
      </c>
      <c r="G229">
        <v>15000000</v>
      </c>
      <c r="H229">
        <v>0</v>
      </c>
      <c r="I229">
        <v>0</v>
      </c>
      <c r="J229">
        <v>0</v>
      </c>
      <c r="K229" t="s">
        <v>6082</v>
      </c>
      <c r="L229">
        <v>15000000</v>
      </c>
      <c r="M229" t="s">
        <v>6129</v>
      </c>
      <c r="N229" t="s">
        <v>5454</v>
      </c>
      <c r="O229" t="s">
        <v>3479</v>
      </c>
      <c r="P229" t="s">
        <v>3480</v>
      </c>
    </row>
    <row r="230" spans="1:16" x14ac:dyDescent="0.3">
      <c r="A230" t="s">
        <v>495</v>
      </c>
      <c r="B230" t="s">
        <v>3476</v>
      </c>
      <c r="C230" t="s">
        <v>833</v>
      </c>
      <c r="D230" t="s">
        <v>5455</v>
      </c>
      <c r="E230" t="s">
        <v>503</v>
      </c>
      <c r="F230" t="s">
        <v>6130</v>
      </c>
      <c r="G230">
        <v>28000000</v>
      </c>
      <c r="H230">
        <v>0</v>
      </c>
      <c r="I230">
        <v>0</v>
      </c>
      <c r="J230">
        <v>0</v>
      </c>
      <c r="K230" t="s">
        <v>6082</v>
      </c>
      <c r="L230">
        <v>28000000</v>
      </c>
      <c r="M230" t="s">
        <v>6131</v>
      </c>
      <c r="N230" t="s">
        <v>5472</v>
      </c>
      <c r="O230" t="s">
        <v>3479</v>
      </c>
      <c r="P230" t="s">
        <v>3480</v>
      </c>
    </row>
    <row r="231" spans="1:16" x14ac:dyDescent="0.3">
      <c r="A231" t="s">
        <v>494</v>
      </c>
      <c r="B231" t="s">
        <v>3105</v>
      </c>
      <c r="C231" t="s">
        <v>833</v>
      </c>
      <c r="D231" t="s">
        <v>5460</v>
      </c>
      <c r="E231" t="s">
        <v>503</v>
      </c>
      <c r="F231" t="s">
        <v>6132</v>
      </c>
      <c r="G231">
        <v>4800000</v>
      </c>
      <c r="H231">
        <v>0</v>
      </c>
      <c r="I231">
        <v>0</v>
      </c>
      <c r="J231">
        <v>0</v>
      </c>
      <c r="K231" t="s">
        <v>6082</v>
      </c>
      <c r="L231">
        <v>4800000</v>
      </c>
      <c r="M231" t="s">
        <v>6133</v>
      </c>
      <c r="N231" t="s">
        <v>6134</v>
      </c>
      <c r="O231" t="s">
        <v>3377</v>
      </c>
      <c r="P231" t="s">
        <v>3378</v>
      </c>
    </row>
    <row r="232" spans="1:16" x14ac:dyDescent="0.3">
      <c r="A232" t="s">
        <v>494</v>
      </c>
      <c r="B232" t="s">
        <v>2785</v>
      </c>
      <c r="C232" t="s">
        <v>3090</v>
      </c>
      <c r="D232" t="s">
        <v>5534</v>
      </c>
      <c r="E232" t="s">
        <v>533</v>
      </c>
      <c r="F232" t="s">
        <v>6135</v>
      </c>
      <c r="G232">
        <v>2000000</v>
      </c>
      <c r="H232">
        <v>0</v>
      </c>
      <c r="I232">
        <v>0</v>
      </c>
      <c r="J232">
        <v>0</v>
      </c>
      <c r="K232" t="s">
        <v>6082</v>
      </c>
      <c r="L232">
        <v>2000000</v>
      </c>
      <c r="M232" t="s">
        <v>6136</v>
      </c>
      <c r="N232" t="s">
        <v>5850</v>
      </c>
      <c r="O232" t="s">
        <v>3092</v>
      </c>
      <c r="P232" t="s">
        <v>3100</v>
      </c>
    </row>
    <row r="233" spans="1:16" x14ac:dyDescent="0.3">
      <c r="A233" t="s">
        <v>494</v>
      </c>
      <c r="B233" t="s">
        <v>2785</v>
      </c>
      <c r="C233" t="s">
        <v>833</v>
      </c>
      <c r="D233" t="s">
        <v>5455</v>
      </c>
      <c r="E233" t="s">
        <v>513</v>
      </c>
      <c r="F233" t="s">
        <v>6137</v>
      </c>
      <c r="G233">
        <v>18539000</v>
      </c>
      <c r="H233">
        <v>0</v>
      </c>
      <c r="I233">
        <v>0</v>
      </c>
      <c r="J233">
        <v>0</v>
      </c>
      <c r="K233" t="s">
        <v>6082</v>
      </c>
      <c r="L233">
        <v>18539000</v>
      </c>
      <c r="M233" t="s">
        <v>6138</v>
      </c>
      <c r="N233" t="s">
        <v>6139</v>
      </c>
      <c r="O233" t="s">
        <v>3054</v>
      </c>
      <c r="P233" t="s">
        <v>3064</v>
      </c>
    </row>
    <row r="234" spans="1:16" x14ac:dyDescent="0.3">
      <c r="A234" t="s">
        <v>494</v>
      </c>
      <c r="B234" t="s">
        <v>2785</v>
      </c>
      <c r="C234" t="s">
        <v>833</v>
      </c>
      <c r="D234" t="s">
        <v>5455</v>
      </c>
      <c r="E234" t="s">
        <v>503</v>
      </c>
      <c r="F234" t="s">
        <v>6140</v>
      </c>
      <c r="G234">
        <v>4500000</v>
      </c>
      <c r="H234">
        <v>0</v>
      </c>
      <c r="I234">
        <v>0</v>
      </c>
      <c r="J234">
        <v>0</v>
      </c>
      <c r="K234" t="s">
        <v>6082</v>
      </c>
      <c r="L234">
        <v>4500000</v>
      </c>
      <c r="M234" t="s">
        <v>6141</v>
      </c>
      <c r="N234" t="s">
        <v>5533</v>
      </c>
      <c r="O234" t="s">
        <v>3054</v>
      </c>
      <c r="P234" t="s">
        <v>3055</v>
      </c>
    </row>
    <row r="235" spans="1:16" x14ac:dyDescent="0.3">
      <c r="A235" t="s">
        <v>494</v>
      </c>
      <c r="B235" t="s">
        <v>2469</v>
      </c>
      <c r="C235" t="s">
        <v>833</v>
      </c>
      <c r="D235" t="s">
        <v>5442</v>
      </c>
      <c r="E235" t="s">
        <v>533</v>
      </c>
      <c r="F235" t="s">
        <v>6142</v>
      </c>
      <c r="G235">
        <v>1000000</v>
      </c>
      <c r="H235">
        <v>0</v>
      </c>
      <c r="I235">
        <v>0</v>
      </c>
      <c r="J235">
        <v>0</v>
      </c>
      <c r="K235" t="s">
        <v>6082</v>
      </c>
      <c r="L235">
        <v>1000000</v>
      </c>
      <c r="M235" t="s">
        <v>6143</v>
      </c>
      <c r="N235" t="s">
        <v>5869</v>
      </c>
      <c r="O235" t="s">
        <v>2756</v>
      </c>
      <c r="P235" t="s">
        <v>2761</v>
      </c>
    </row>
    <row r="236" spans="1:16" x14ac:dyDescent="0.3">
      <c r="A236" t="s">
        <v>494</v>
      </c>
      <c r="B236" t="s">
        <v>1700</v>
      </c>
      <c r="C236" t="s">
        <v>557</v>
      </c>
      <c r="D236" t="s">
        <v>5733</v>
      </c>
      <c r="E236" t="s">
        <v>570</v>
      </c>
      <c r="F236" t="s">
        <v>6144</v>
      </c>
      <c r="G236">
        <v>300000</v>
      </c>
      <c r="H236">
        <v>0</v>
      </c>
      <c r="I236">
        <v>0</v>
      </c>
      <c r="J236">
        <v>0</v>
      </c>
      <c r="K236" t="s">
        <v>6082</v>
      </c>
      <c r="L236">
        <v>300000</v>
      </c>
      <c r="M236" t="s">
        <v>6145</v>
      </c>
      <c r="N236" t="s">
        <v>6146</v>
      </c>
      <c r="O236" t="s">
        <v>2238</v>
      </c>
      <c r="P236" t="s">
        <v>2247</v>
      </c>
    </row>
    <row r="237" spans="1:16" x14ac:dyDescent="0.3">
      <c r="A237" t="s">
        <v>494</v>
      </c>
      <c r="B237" t="s">
        <v>1700</v>
      </c>
      <c r="C237" t="s">
        <v>557</v>
      </c>
      <c r="D237" t="s">
        <v>5733</v>
      </c>
      <c r="E237" t="s">
        <v>570</v>
      </c>
      <c r="F237" t="s">
        <v>6147</v>
      </c>
      <c r="G237">
        <v>400000</v>
      </c>
      <c r="H237">
        <v>0</v>
      </c>
      <c r="I237">
        <v>0</v>
      </c>
      <c r="J237">
        <v>0</v>
      </c>
      <c r="K237" t="s">
        <v>6082</v>
      </c>
      <c r="L237">
        <v>400000</v>
      </c>
      <c r="M237" t="s">
        <v>6148</v>
      </c>
      <c r="N237" t="s">
        <v>6149</v>
      </c>
      <c r="O237" t="s">
        <v>2238</v>
      </c>
      <c r="P237" t="s">
        <v>2247</v>
      </c>
    </row>
    <row r="238" spans="1:16" x14ac:dyDescent="0.3">
      <c r="A238" t="s">
        <v>494</v>
      </c>
      <c r="B238" t="s">
        <v>1700</v>
      </c>
      <c r="C238" t="s">
        <v>557</v>
      </c>
      <c r="D238" t="s">
        <v>5733</v>
      </c>
      <c r="E238" t="s">
        <v>570</v>
      </c>
      <c r="F238" t="s">
        <v>6150</v>
      </c>
      <c r="G238">
        <v>900000</v>
      </c>
      <c r="H238">
        <v>0</v>
      </c>
      <c r="I238">
        <v>0</v>
      </c>
      <c r="J238">
        <v>0</v>
      </c>
      <c r="K238" t="s">
        <v>6082</v>
      </c>
      <c r="L238">
        <v>900000</v>
      </c>
      <c r="M238" t="s">
        <v>6151</v>
      </c>
      <c r="N238" t="s">
        <v>6152</v>
      </c>
      <c r="O238" t="s">
        <v>2238</v>
      </c>
      <c r="P238" t="s">
        <v>2247</v>
      </c>
    </row>
    <row r="239" spans="1:16" x14ac:dyDescent="0.3">
      <c r="A239" t="s">
        <v>494</v>
      </c>
      <c r="B239" t="s">
        <v>1700</v>
      </c>
      <c r="C239" t="s">
        <v>557</v>
      </c>
      <c r="D239" t="s">
        <v>5733</v>
      </c>
      <c r="E239" t="s">
        <v>559</v>
      </c>
      <c r="F239" t="s">
        <v>6153</v>
      </c>
      <c r="G239">
        <v>15340000</v>
      </c>
      <c r="H239">
        <v>0</v>
      </c>
      <c r="I239">
        <v>0</v>
      </c>
      <c r="J239">
        <v>0</v>
      </c>
      <c r="K239" t="s">
        <v>6082</v>
      </c>
      <c r="L239">
        <v>15340000</v>
      </c>
      <c r="M239" t="s">
        <v>6154</v>
      </c>
      <c r="N239" t="s">
        <v>6155</v>
      </c>
      <c r="O239" t="s">
        <v>2238</v>
      </c>
      <c r="P239" t="s">
        <v>2241</v>
      </c>
    </row>
    <row r="240" spans="1:16" x14ac:dyDescent="0.3">
      <c r="A240" t="s">
        <v>494</v>
      </c>
      <c r="B240" t="s">
        <v>1700</v>
      </c>
      <c r="C240" t="s">
        <v>557</v>
      </c>
      <c r="D240" t="s">
        <v>5760</v>
      </c>
      <c r="E240" t="s">
        <v>567</v>
      </c>
      <c r="F240" t="s">
        <v>6156</v>
      </c>
      <c r="G240">
        <v>52250000</v>
      </c>
      <c r="H240">
        <v>0</v>
      </c>
      <c r="I240">
        <v>0</v>
      </c>
      <c r="J240">
        <v>0</v>
      </c>
      <c r="K240" t="s">
        <v>6082</v>
      </c>
      <c r="L240">
        <v>52250000</v>
      </c>
      <c r="M240" t="s">
        <v>6157</v>
      </c>
      <c r="N240" t="s">
        <v>6158</v>
      </c>
      <c r="O240" t="s">
        <v>2218</v>
      </c>
      <c r="P240" t="s">
        <v>2221</v>
      </c>
    </row>
    <row r="241" spans="1:16" x14ac:dyDescent="0.3">
      <c r="A241" t="s">
        <v>494</v>
      </c>
      <c r="B241" t="s">
        <v>1700</v>
      </c>
      <c r="C241" t="s">
        <v>557</v>
      </c>
      <c r="D241" t="s">
        <v>5760</v>
      </c>
      <c r="E241" t="s">
        <v>567</v>
      </c>
      <c r="F241" t="s">
        <v>6159</v>
      </c>
      <c r="G241">
        <v>29200000</v>
      </c>
      <c r="H241">
        <v>0</v>
      </c>
      <c r="I241">
        <v>0</v>
      </c>
      <c r="J241">
        <v>0</v>
      </c>
      <c r="K241" t="s">
        <v>6082</v>
      </c>
      <c r="L241">
        <v>29200000</v>
      </c>
      <c r="M241" t="s">
        <v>6160</v>
      </c>
      <c r="N241" t="s">
        <v>6161</v>
      </c>
      <c r="O241" t="s">
        <v>2218</v>
      </c>
      <c r="P241" t="s">
        <v>2221</v>
      </c>
    </row>
    <row r="242" spans="1:16" x14ac:dyDescent="0.3">
      <c r="A242" t="s">
        <v>494</v>
      </c>
      <c r="B242" t="s">
        <v>1700</v>
      </c>
      <c r="C242" t="s">
        <v>557</v>
      </c>
      <c r="D242" t="s">
        <v>5792</v>
      </c>
      <c r="E242" t="s">
        <v>564</v>
      </c>
      <c r="F242" t="s">
        <v>6162</v>
      </c>
      <c r="G242">
        <v>58852000</v>
      </c>
      <c r="H242">
        <v>0</v>
      </c>
      <c r="I242">
        <v>0</v>
      </c>
      <c r="J242">
        <v>0</v>
      </c>
      <c r="K242" t="s">
        <v>6082</v>
      </c>
      <c r="L242">
        <v>58852000</v>
      </c>
      <c r="M242" t="s">
        <v>6163</v>
      </c>
      <c r="N242" t="s">
        <v>6164</v>
      </c>
      <c r="O242" t="s">
        <v>2207</v>
      </c>
      <c r="P242" t="s">
        <v>2213</v>
      </c>
    </row>
    <row r="243" spans="1:16" x14ac:dyDescent="0.3">
      <c r="A243" t="s">
        <v>494</v>
      </c>
      <c r="B243" t="s">
        <v>1700</v>
      </c>
      <c r="C243" t="s">
        <v>557</v>
      </c>
      <c r="D243" t="s">
        <v>5699</v>
      </c>
      <c r="E243" t="s">
        <v>537</v>
      </c>
      <c r="F243" t="s">
        <v>6165</v>
      </c>
      <c r="G243">
        <v>20000000</v>
      </c>
      <c r="H243">
        <v>0</v>
      </c>
      <c r="I243">
        <v>0</v>
      </c>
      <c r="J243">
        <v>0</v>
      </c>
      <c r="K243" t="s">
        <v>6082</v>
      </c>
      <c r="L243">
        <v>20000000</v>
      </c>
      <c r="M243" t="s">
        <v>6166</v>
      </c>
      <c r="N243" t="s">
        <v>6167</v>
      </c>
      <c r="O243" t="s">
        <v>2170</v>
      </c>
      <c r="P243" t="s">
        <v>2189</v>
      </c>
    </row>
    <row r="244" spans="1:16" x14ac:dyDescent="0.3">
      <c r="A244" t="s">
        <v>494</v>
      </c>
      <c r="B244" t="s">
        <v>1700</v>
      </c>
      <c r="C244" t="s">
        <v>557</v>
      </c>
      <c r="D244" t="s">
        <v>5699</v>
      </c>
      <c r="E244" t="s">
        <v>559</v>
      </c>
      <c r="F244" t="s">
        <v>6168</v>
      </c>
      <c r="G244">
        <v>67000000</v>
      </c>
      <c r="H244">
        <v>0</v>
      </c>
      <c r="I244">
        <v>0</v>
      </c>
      <c r="J244">
        <v>0</v>
      </c>
      <c r="K244" t="s">
        <v>6082</v>
      </c>
      <c r="L244">
        <v>67000000</v>
      </c>
      <c r="M244" t="s">
        <v>6169</v>
      </c>
      <c r="N244" t="s">
        <v>6170</v>
      </c>
      <c r="O244" t="s">
        <v>2170</v>
      </c>
      <c r="P244" t="s">
        <v>2172</v>
      </c>
    </row>
    <row r="245" spans="1:16" x14ac:dyDescent="0.3">
      <c r="A245" t="s">
        <v>494</v>
      </c>
      <c r="B245" t="s">
        <v>1700</v>
      </c>
      <c r="C245" t="s">
        <v>501</v>
      </c>
      <c r="D245" t="s">
        <v>6250</v>
      </c>
      <c r="E245" t="s">
        <v>555</v>
      </c>
      <c r="F245" t="s">
        <v>6327</v>
      </c>
      <c r="G245">
        <v>6100000</v>
      </c>
      <c r="H245">
        <v>0</v>
      </c>
      <c r="I245">
        <v>0</v>
      </c>
      <c r="J245">
        <v>0</v>
      </c>
      <c r="K245" t="s">
        <v>6082</v>
      </c>
      <c r="L245">
        <v>6100000</v>
      </c>
      <c r="M245" t="s">
        <v>6328</v>
      </c>
      <c r="N245" t="s">
        <v>6329</v>
      </c>
      <c r="O245" t="s">
        <v>1806</v>
      </c>
      <c r="P245" t="s">
        <v>1841</v>
      </c>
    </row>
    <row r="246" spans="1:16" x14ac:dyDescent="0.3">
      <c r="A246" t="s">
        <v>494</v>
      </c>
      <c r="B246" t="s">
        <v>1700</v>
      </c>
      <c r="C246" t="s">
        <v>501</v>
      </c>
      <c r="D246" t="s">
        <v>6250</v>
      </c>
      <c r="E246" t="s">
        <v>552</v>
      </c>
      <c r="F246" t="s">
        <v>6330</v>
      </c>
      <c r="G246">
        <v>3366000</v>
      </c>
      <c r="H246">
        <v>0</v>
      </c>
      <c r="I246">
        <v>0</v>
      </c>
      <c r="J246">
        <v>0</v>
      </c>
      <c r="K246" t="s">
        <v>6082</v>
      </c>
      <c r="L246">
        <v>3366000</v>
      </c>
      <c r="M246" t="s">
        <v>6331</v>
      </c>
      <c r="N246" t="s">
        <v>6332</v>
      </c>
      <c r="O246" t="s">
        <v>1806</v>
      </c>
      <c r="P246" t="s">
        <v>1833</v>
      </c>
    </row>
    <row r="247" spans="1:16" x14ac:dyDescent="0.3">
      <c r="A247" t="s">
        <v>494</v>
      </c>
      <c r="B247" t="s">
        <v>1700</v>
      </c>
      <c r="C247" t="s">
        <v>501</v>
      </c>
      <c r="D247" t="s">
        <v>6250</v>
      </c>
      <c r="E247" t="s">
        <v>551</v>
      </c>
      <c r="F247" t="s">
        <v>6333</v>
      </c>
      <c r="G247">
        <v>2000000</v>
      </c>
      <c r="H247">
        <v>0</v>
      </c>
      <c r="I247">
        <v>0</v>
      </c>
      <c r="J247">
        <v>0</v>
      </c>
      <c r="K247" t="s">
        <v>6082</v>
      </c>
      <c r="L247">
        <v>2000000</v>
      </c>
      <c r="M247" t="s">
        <v>6334</v>
      </c>
      <c r="N247" t="s">
        <v>6335</v>
      </c>
      <c r="O247" t="s">
        <v>1806</v>
      </c>
      <c r="P247" t="s">
        <v>1829</v>
      </c>
    </row>
    <row r="248" spans="1:16" x14ac:dyDescent="0.3">
      <c r="A248" t="s">
        <v>494</v>
      </c>
      <c r="B248" t="s">
        <v>1700</v>
      </c>
      <c r="C248" t="s">
        <v>501</v>
      </c>
      <c r="D248" t="s">
        <v>6250</v>
      </c>
      <c r="E248" t="s">
        <v>550</v>
      </c>
      <c r="F248" t="s">
        <v>6336</v>
      </c>
      <c r="G248">
        <v>12070000</v>
      </c>
      <c r="H248">
        <v>0</v>
      </c>
      <c r="I248">
        <v>0</v>
      </c>
      <c r="J248">
        <v>0</v>
      </c>
      <c r="K248" t="s">
        <v>6082</v>
      </c>
      <c r="L248">
        <v>12070000</v>
      </c>
      <c r="M248" t="s">
        <v>6337</v>
      </c>
      <c r="N248" t="s">
        <v>6338</v>
      </c>
      <c r="O248" t="s">
        <v>1806</v>
      </c>
      <c r="P248" t="s">
        <v>1825</v>
      </c>
    </row>
    <row r="249" spans="1:16" x14ac:dyDescent="0.3">
      <c r="A249" t="s">
        <v>494</v>
      </c>
      <c r="B249" t="s">
        <v>1700</v>
      </c>
      <c r="C249" t="s">
        <v>501</v>
      </c>
      <c r="D249" t="s">
        <v>6250</v>
      </c>
      <c r="E249" t="s">
        <v>549</v>
      </c>
      <c r="F249" t="s">
        <v>6339</v>
      </c>
      <c r="G249">
        <v>3338000</v>
      </c>
      <c r="H249">
        <v>0</v>
      </c>
      <c r="I249">
        <v>0</v>
      </c>
      <c r="J249">
        <v>0</v>
      </c>
      <c r="K249" t="s">
        <v>6082</v>
      </c>
      <c r="L249">
        <v>3338000</v>
      </c>
      <c r="M249" t="s">
        <v>6340</v>
      </c>
      <c r="N249" t="s">
        <v>6341</v>
      </c>
      <c r="O249" t="s">
        <v>1806</v>
      </c>
      <c r="P249" t="s">
        <v>1821</v>
      </c>
    </row>
    <row r="250" spans="1:16" x14ac:dyDescent="0.3">
      <c r="A250" t="s">
        <v>494</v>
      </c>
      <c r="B250" t="s">
        <v>1700</v>
      </c>
      <c r="C250" t="s">
        <v>501</v>
      </c>
      <c r="D250" t="s">
        <v>6250</v>
      </c>
      <c r="E250" t="s">
        <v>548</v>
      </c>
      <c r="F250" t="s">
        <v>6342</v>
      </c>
      <c r="G250">
        <v>12494000</v>
      </c>
      <c r="H250">
        <v>0</v>
      </c>
      <c r="I250">
        <v>0</v>
      </c>
      <c r="J250">
        <v>0</v>
      </c>
      <c r="K250" t="s">
        <v>6082</v>
      </c>
      <c r="L250">
        <v>12494000</v>
      </c>
      <c r="M250" t="s">
        <v>6343</v>
      </c>
      <c r="N250" t="s">
        <v>6344</v>
      </c>
      <c r="O250" t="s">
        <v>1806</v>
      </c>
      <c r="P250" t="s">
        <v>1817</v>
      </c>
    </row>
    <row r="251" spans="1:16" x14ac:dyDescent="0.3">
      <c r="A251" t="s">
        <v>494</v>
      </c>
      <c r="B251" t="s">
        <v>1700</v>
      </c>
      <c r="C251" t="s">
        <v>501</v>
      </c>
      <c r="D251" t="s">
        <v>6250</v>
      </c>
      <c r="E251" t="s">
        <v>547</v>
      </c>
      <c r="F251" t="s">
        <v>6345</v>
      </c>
      <c r="G251">
        <v>3000</v>
      </c>
      <c r="H251">
        <v>0</v>
      </c>
      <c r="I251">
        <v>0</v>
      </c>
      <c r="J251">
        <v>0</v>
      </c>
      <c r="K251" t="s">
        <v>6082</v>
      </c>
      <c r="L251">
        <v>3000</v>
      </c>
      <c r="M251" t="s">
        <v>6346</v>
      </c>
      <c r="N251" t="s">
        <v>6347</v>
      </c>
      <c r="O251" t="s">
        <v>1806</v>
      </c>
      <c r="P251" t="s">
        <v>1813</v>
      </c>
    </row>
    <row r="252" spans="1:16" x14ac:dyDescent="0.3">
      <c r="A252" t="s">
        <v>494</v>
      </c>
      <c r="B252" t="s">
        <v>1700</v>
      </c>
      <c r="C252" t="s">
        <v>501</v>
      </c>
      <c r="D252" t="s">
        <v>6250</v>
      </c>
      <c r="E252" t="s">
        <v>544</v>
      </c>
      <c r="F252" t="s">
        <v>6348</v>
      </c>
      <c r="G252">
        <v>180000000</v>
      </c>
      <c r="H252">
        <v>0</v>
      </c>
      <c r="I252">
        <v>0</v>
      </c>
      <c r="J252">
        <v>0</v>
      </c>
      <c r="K252" t="s">
        <v>6082</v>
      </c>
      <c r="L252">
        <v>180000000</v>
      </c>
      <c r="M252" t="s">
        <v>6349</v>
      </c>
      <c r="N252" t="s">
        <v>6350</v>
      </c>
      <c r="O252" t="s">
        <v>1806</v>
      </c>
      <c r="P252" t="s">
        <v>1809</v>
      </c>
    </row>
    <row r="253" spans="1:16" x14ac:dyDescent="0.3">
      <c r="A253" t="s">
        <v>494</v>
      </c>
      <c r="B253" t="s">
        <v>1269</v>
      </c>
      <c r="C253" t="s">
        <v>833</v>
      </c>
      <c r="D253" t="s">
        <v>5581</v>
      </c>
      <c r="E253" t="s">
        <v>533</v>
      </c>
      <c r="F253" t="s">
        <v>6171</v>
      </c>
      <c r="G253">
        <v>24651000</v>
      </c>
      <c r="H253">
        <v>0</v>
      </c>
      <c r="I253">
        <v>0</v>
      </c>
      <c r="J253">
        <v>0</v>
      </c>
      <c r="K253" t="s">
        <v>6082</v>
      </c>
      <c r="L253">
        <v>24651000</v>
      </c>
      <c r="M253" t="s">
        <v>6172</v>
      </c>
      <c r="N253" t="s">
        <v>6173</v>
      </c>
      <c r="O253" t="s">
        <v>1536</v>
      </c>
      <c r="P253" t="s">
        <v>1549</v>
      </c>
    </row>
    <row r="254" spans="1:16" x14ac:dyDescent="0.3">
      <c r="A254" t="s">
        <v>494</v>
      </c>
      <c r="B254" t="s">
        <v>1269</v>
      </c>
      <c r="C254" t="s">
        <v>833</v>
      </c>
      <c r="D254" t="s">
        <v>5581</v>
      </c>
      <c r="E254" t="s">
        <v>503</v>
      </c>
      <c r="F254" t="s">
        <v>6174</v>
      </c>
      <c r="G254">
        <v>2500000</v>
      </c>
      <c r="H254">
        <v>0</v>
      </c>
      <c r="I254">
        <v>0</v>
      </c>
      <c r="J254">
        <v>0</v>
      </c>
      <c r="K254" t="s">
        <v>6082</v>
      </c>
      <c r="L254">
        <v>2500000</v>
      </c>
      <c r="M254" t="s">
        <v>6175</v>
      </c>
      <c r="N254" t="s">
        <v>6176</v>
      </c>
      <c r="O254" t="s">
        <v>1536</v>
      </c>
      <c r="P254" t="s">
        <v>1538</v>
      </c>
    </row>
    <row r="255" spans="1:16" x14ac:dyDescent="0.3">
      <c r="A255" t="s">
        <v>494</v>
      </c>
      <c r="B255" t="s">
        <v>1269</v>
      </c>
      <c r="C255" t="s">
        <v>833</v>
      </c>
      <c r="D255" t="s">
        <v>5581</v>
      </c>
      <c r="E255" t="s">
        <v>503</v>
      </c>
      <c r="F255" t="s">
        <v>6177</v>
      </c>
      <c r="G255">
        <v>2000000</v>
      </c>
      <c r="H255">
        <v>0</v>
      </c>
      <c r="I255">
        <v>0</v>
      </c>
      <c r="J255">
        <v>0</v>
      </c>
      <c r="K255" t="s">
        <v>6082</v>
      </c>
      <c r="L255">
        <v>2000000</v>
      </c>
      <c r="M255" t="s">
        <v>6178</v>
      </c>
      <c r="N255" t="s">
        <v>5533</v>
      </c>
      <c r="O255" t="s">
        <v>1536</v>
      </c>
      <c r="P255" t="s">
        <v>1538</v>
      </c>
    </row>
    <row r="256" spans="1:16" x14ac:dyDescent="0.3">
      <c r="A256" t="s">
        <v>494</v>
      </c>
      <c r="B256" t="s">
        <v>1269</v>
      </c>
      <c r="C256" t="s">
        <v>833</v>
      </c>
      <c r="D256" t="s">
        <v>5491</v>
      </c>
      <c r="E256" t="s">
        <v>517</v>
      </c>
      <c r="F256" t="s">
        <v>6179</v>
      </c>
      <c r="G256">
        <v>1606000</v>
      </c>
      <c r="H256">
        <v>0</v>
      </c>
      <c r="I256">
        <v>0</v>
      </c>
      <c r="J256">
        <v>0</v>
      </c>
      <c r="K256" t="s">
        <v>6082</v>
      </c>
      <c r="L256">
        <v>1606000</v>
      </c>
      <c r="M256" t="s">
        <v>6180</v>
      </c>
      <c r="N256" t="s">
        <v>6181</v>
      </c>
      <c r="O256" t="s">
        <v>1448</v>
      </c>
      <c r="P256" t="s">
        <v>4835</v>
      </c>
    </row>
    <row r="257" spans="1:16" x14ac:dyDescent="0.3">
      <c r="A257" t="s">
        <v>494</v>
      </c>
      <c r="B257" t="s">
        <v>1269</v>
      </c>
      <c r="C257" t="s">
        <v>833</v>
      </c>
      <c r="D257" t="s">
        <v>5510</v>
      </c>
      <c r="E257" t="s">
        <v>564</v>
      </c>
      <c r="F257" t="s">
        <v>6182</v>
      </c>
      <c r="G257">
        <v>3000000</v>
      </c>
      <c r="H257">
        <v>0</v>
      </c>
      <c r="I257">
        <v>0</v>
      </c>
      <c r="J257">
        <v>0</v>
      </c>
      <c r="K257" t="s">
        <v>6082</v>
      </c>
      <c r="L257">
        <v>3000000</v>
      </c>
      <c r="M257" t="s">
        <v>6183</v>
      </c>
      <c r="N257" t="s">
        <v>6184</v>
      </c>
      <c r="O257" t="s">
        <v>1417</v>
      </c>
      <c r="P257" t="s">
        <v>1428</v>
      </c>
    </row>
    <row r="258" spans="1:16" x14ac:dyDescent="0.3">
      <c r="A258" t="s">
        <v>419</v>
      </c>
      <c r="B258" t="s">
        <v>616</v>
      </c>
      <c r="C258" t="s">
        <v>526</v>
      </c>
      <c r="D258" t="s">
        <v>5969</v>
      </c>
      <c r="E258" t="s">
        <v>518</v>
      </c>
      <c r="F258" t="s">
        <v>6185</v>
      </c>
      <c r="G258">
        <v>5000000</v>
      </c>
      <c r="H258">
        <v>0</v>
      </c>
      <c r="I258">
        <v>0</v>
      </c>
      <c r="J258">
        <v>0</v>
      </c>
      <c r="K258" t="s">
        <v>6082</v>
      </c>
      <c r="L258">
        <v>5000000</v>
      </c>
      <c r="M258" t="s">
        <v>6186</v>
      </c>
      <c r="N258" t="s">
        <v>6187</v>
      </c>
      <c r="O258" t="s">
        <v>485</v>
      </c>
      <c r="P258" t="s">
        <v>813</v>
      </c>
    </row>
    <row r="259" spans="1:16" x14ac:dyDescent="0.3">
      <c r="A259" t="s">
        <v>419</v>
      </c>
      <c r="B259" t="s">
        <v>616</v>
      </c>
      <c r="C259" t="s">
        <v>526</v>
      </c>
      <c r="D259" t="s">
        <v>5969</v>
      </c>
      <c r="E259" t="s">
        <v>533</v>
      </c>
      <c r="F259" t="s">
        <v>6188</v>
      </c>
      <c r="G259">
        <v>8784000</v>
      </c>
      <c r="H259">
        <v>0</v>
      </c>
      <c r="I259">
        <v>0</v>
      </c>
      <c r="J259">
        <v>0</v>
      </c>
      <c r="K259" t="s">
        <v>6082</v>
      </c>
      <c r="L259">
        <v>8784000</v>
      </c>
      <c r="M259" t="s">
        <v>6189</v>
      </c>
      <c r="N259" t="s">
        <v>6190</v>
      </c>
      <c r="O259" t="s">
        <v>485</v>
      </c>
      <c r="P259" t="s">
        <v>490</v>
      </c>
    </row>
    <row r="260" spans="1:16" x14ac:dyDescent="0.3">
      <c r="A260" t="s">
        <v>419</v>
      </c>
      <c r="B260" t="s">
        <v>616</v>
      </c>
      <c r="C260" t="s">
        <v>523</v>
      </c>
      <c r="D260" t="s">
        <v>6191</v>
      </c>
      <c r="E260" t="s">
        <v>513</v>
      </c>
      <c r="F260" t="s">
        <v>6192</v>
      </c>
      <c r="G260">
        <v>23030000</v>
      </c>
      <c r="H260">
        <v>0</v>
      </c>
      <c r="I260">
        <v>0</v>
      </c>
      <c r="J260">
        <v>0</v>
      </c>
      <c r="K260" t="s">
        <v>6082</v>
      </c>
      <c r="L260">
        <v>23030000</v>
      </c>
      <c r="M260" t="s">
        <v>6193</v>
      </c>
      <c r="N260" t="s">
        <v>6194</v>
      </c>
      <c r="O260" t="s">
        <v>794</v>
      </c>
      <c r="P260" t="s">
        <v>805</v>
      </c>
    </row>
    <row r="261" spans="1:16" x14ac:dyDescent="0.3">
      <c r="A261" t="s">
        <v>419</v>
      </c>
      <c r="B261" t="s">
        <v>616</v>
      </c>
      <c r="C261" t="s">
        <v>523</v>
      </c>
      <c r="D261" t="s">
        <v>6191</v>
      </c>
      <c r="E261" t="s">
        <v>516</v>
      </c>
      <c r="F261" t="s">
        <v>6195</v>
      </c>
      <c r="G261">
        <v>7200000</v>
      </c>
      <c r="H261">
        <v>0</v>
      </c>
      <c r="I261">
        <v>0</v>
      </c>
      <c r="J261">
        <v>0</v>
      </c>
      <c r="K261" t="s">
        <v>6082</v>
      </c>
      <c r="L261">
        <v>7200000</v>
      </c>
      <c r="M261" t="s">
        <v>6196</v>
      </c>
      <c r="N261" t="s">
        <v>5977</v>
      </c>
      <c r="O261" t="s">
        <v>794</v>
      </c>
      <c r="P261" t="s">
        <v>803</v>
      </c>
    </row>
    <row r="262" spans="1:16" x14ac:dyDescent="0.3">
      <c r="A262" t="s">
        <v>419</v>
      </c>
      <c r="B262" t="s">
        <v>616</v>
      </c>
      <c r="C262" t="s">
        <v>523</v>
      </c>
      <c r="D262" t="s">
        <v>6191</v>
      </c>
      <c r="E262" t="s">
        <v>533</v>
      </c>
      <c r="F262" t="s">
        <v>6197</v>
      </c>
      <c r="G262">
        <v>500000</v>
      </c>
      <c r="H262">
        <v>0</v>
      </c>
      <c r="I262">
        <v>0</v>
      </c>
      <c r="J262">
        <v>0</v>
      </c>
      <c r="K262" t="s">
        <v>6082</v>
      </c>
      <c r="L262">
        <v>500000</v>
      </c>
      <c r="M262" t="s">
        <v>6198</v>
      </c>
      <c r="N262" t="s">
        <v>5869</v>
      </c>
      <c r="O262" t="s">
        <v>794</v>
      </c>
      <c r="P262" t="s">
        <v>801</v>
      </c>
    </row>
    <row r="263" spans="1:16" x14ac:dyDescent="0.3">
      <c r="A263" t="s">
        <v>419</v>
      </c>
      <c r="B263" t="s">
        <v>616</v>
      </c>
      <c r="C263" t="s">
        <v>523</v>
      </c>
      <c r="D263" t="s">
        <v>6191</v>
      </c>
      <c r="E263" t="s">
        <v>503</v>
      </c>
      <c r="F263" t="s">
        <v>6199</v>
      </c>
      <c r="G263">
        <v>6000000</v>
      </c>
      <c r="H263">
        <v>0</v>
      </c>
      <c r="I263">
        <v>0</v>
      </c>
      <c r="J263">
        <v>0</v>
      </c>
      <c r="K263" t="s">
        <v>6082</v>
      </c>
      <c r="L263">
        <v>6000000</v>
      </c>
      <c r="M263" t="s">
        <v>6200</v>
      </c>
      <c r="N263" t="s">
        <v>5533</v>
      </c>
      <c r="O263" t="s">
        <v>794</v>
      </c>
      <c r="P263" t="s">
        <v>796</v>
      </c>
    </row>
    <row r="264" spans="1:16" x14ac:dyDescent="0.3">
      <c r="A264" t="s">
        <v>419</v>
      </c>
      <c r="B264" t="s">
        <v>616</v>
      </c>
      <c r="C264" t="s">
        <v>523</v>
      </c>
      <c r="D264" t="s">
        <v>6191</v>
      </c>
      <c r="E264" t="s">
        <v>503</v>
      </c>
      <c r="F264" t="s">
        <v>6201</v>
      </c>
      <c r="G264">
        <v>4830000</v>
      </c>
      <c r="H264">
        <v>0</v>
      </c>
      <c r="I264">
        <v>0</v>
      </c>
      <c r="J264">
        <v>0</v>
      </c>
      <c r="K264" t="s">
        <v>6082</v>
      </c>
      <c r="L264">
        <v>4830000</v>
      </c>
      <c r="M264" t="s">
        <v>6202</v>
      </c>
      <c r="N264" t="s">
        <v>5671</v>
      </c>
      <c r="O264" t="s">
        <v>794</v>
      </c>
      <c r="P264" t="s">
        <v>796</v>
      </c>
    </row>
    <row r="265" spans="1:16" x14ac:dyDescent="0.3">
      <c r="A265" t="s">
        <v>419</v>
      </c>
      <c r="B265" t="s">
        <v>616</v>
      </c>
      <c r="C265" t="s">
        <v>523</v>
      </c>
      <c r="D265" t="s">
        <v>6191</v>
      </c>
      <c r="E265" t="s">
        <v>503</v>
      </c>
      <c r="F265" t="s">
        <v>6203</v>
      </c>
      <c r="G265">
        <v>6000000</v>
      </c>
      <c r="H265">
        <v>0</v>
      </c>
      <c r="I265">
        <v>0</v>
      </c>
      <c r="J265">
        <v>0</v>
      </c>
      <c r="K265" t="s">
        <v>6082</v>
      </c>
      <c r="L265">
        <v>6000000</v>
      </c>
      <c r="M265" t="s">
        <v>6204</v>
      </c>
      <c r="N265" t="s">
        <v>5498</v>
      </c>
      <c r="O265" t="s">
        <v>794</v>
      </c>
      <c r="P265" t="s">
        <v>796</v>
      </c>
    </row>
    <row r="266" spans="1:16" x14ac:dyDescent="0.3">
      <c r="A266" t="s">
        <v>419</v>
      </c>
      <c r="B266" t="s">
        <v>616</v>
      </c>
      <c r="C266" t="s">
        <v>523</v>
      </c>
      <c r="D266" t="s">
        <v>6191</v>
      </c>
      <c r="E266" t="s">
        <v>503</v>
      </c>
      <c r="F266" t="s">
        <v>6205</v>
      </c>
      <c r="G266">
        <v>4000000</v>
      </c>
      <c r="H266">
        <v>0</v>
      </c>
      <c r="I266">
        <v>0</v>
      </c>
      <c r="J266">
        <v>0</v>
      </c>
      <c r="K266" t="s">
        <v>6082</v>
      </c>
      <c r="L266">
        <v>4000000</v>
      </c>
      <c r="M266" t="s">
        <v>6206</v>
      </c>
      <c r="N266" t="s">
        <v>5446</v>
      </c>
      <c r="O266" t="s">
        <v>794</v>
      </c>
      <c r="P266" t="s">
        <v>796</v>
      </c>
    </row>
    <row r="267" spans="1:16" x14ac:dyDescent="0.3">
      <c r="A267" t="s">
        <v>419</v>
      </c>
      <c r="B267" t="s">
        <v>616</v>
      </c>
      <c r="C267" t="s">
        <v>523</v>
      </c>
      <c r="D267" t="s">
        <v>5482</v>
      </c>
      <c r="E267" t="s">
        <v>503</v>
      </c>
      <c r="F267" t="s">
        <v>6207</v>
      </c>
      <c r="G267">
        <v>50000000</v>
      </c>
      <c r="H267">
        <v>0</v>
      </c>
      <c r="I267">
        <v>0</v>
      </c>
      <c r="J267">
        <v>0</v>
      </c>
      <c r="K267" t="s">
        <v>6082</v>
      </c>
      <c r="L267">
        <v>50000000</v>
      </c>
      <c r="M267" t="s">
        <v>6208</v>
      </c>
      <c r="N267" t="s">
        <v>6209</v>
      </c>
      <c r="O267" t="s">
        <v>469</v>
      </c>
      <c r="P267" t="s">
        <v>470</v>
      </c>
    </row>
    <row r="268" spans="1:16" x14ac:dyDescent="0.3">
      <c r="A268" t="s">
        <v>419</v>
      </c>
      <c r="B268" t="s">
        <v>616</v>
      </c>
      <c r="C268" t="s">
        <v>523</v>
      </c>
      <c r="D268" t="s">
        <v>6017</v>
      </c>
      <c r="E268" t="s">
        <v>507</v>
      </c>
      <c r="F268" t="s">
        <v>6210</v>
      </c>
      <c r="G268">
        <v>1500000</v>
      </c>
      <c r="H268">
        <v>0</v>
      </c>
      <c r="I268">
        <v>0</v>
      </c>
      <c r="J268">
        <v>0</v>
      </c>
      <c r="K268" t="s">
        <v>6082</v>
      </c>
      <c r="L268">
        <v>1500000</v>
      </c>
      <c r="M268" t="s">
        <v>6211</v>
      </c>
      <c r="N268" t="s">
        <v>6212</v>
      </c>
      <c r="O268" t="s">
        <v>451</v>
      </c>
      <c r="P268" t="s">
        <v>467</v>
      </c>
    </row>
    <row r="269" spans="1:16" x14ac:dyDescent="0.3">
      <c r="A269" t="s">
        <v>419</v>
      </c>
      <c r="B269" t="s">
        <v>616</v>
      </c>
      <c r="C269" t="s">
        <v>523</v>
      </c>
      <c r="D269" t="s">
        <v>6017</v>
      </c>
      <c r="E269" t="s">
        <v>518</v>
      </c>
      <c r="F269" t="s">
        <v>6213</v>
      </c>
      <c r="G269">
        <v>6000000</v>
      </c>
      <c r="H269">
        <v>0</v>
      </c>
      <c r="I269">
        <v>0</v>
      </c>
      <c r="J269">
        <v>0</v>
      </c>
      <c r="K269" t="s">
        <v>6082</v>
      </c>
      <c r="L269">
        <v>6000000</v>
      </c>
      <c r="M269" t="s">
        <v>6214</v>
      </c>
      <c r="N269" t="s">
        <v>5994</v>
      </c>
      <c r="O269" t="s">
        <v>451</v>
      </c>
      <c r="P269" t="s">
        <v>463</v>
      </c>
    </row>
    <row r="270" spans="1:16" x14ac:dyDescent="0.3">
      <c r="A270" t="s">
        <v>419</v>
      </c>
      <c r="B270" t="s">
        <v>616</v>
      </c>
      <c r="C270" t="s">
        <v>523</v>
      </c>
      <c r="D270" t="s">
        <v>6017</v>
      </c>
      <c r="E270" t="s">
        <v>533</v>
      </c>
      <c r="F270" t="s">
        <v>6215</v>
      </c>
      <c r="G270">
        <v>5000000</v>
      </c>
      <c r="H270">
        <v>0</v>
      </c>
      <c r="I270">
        <v>0</v>
      </c>
      <c r="J270">
        <v>0</v>
      </c>
      <c r="K270" t="s">
        <v>6082</v>
      </c>
      <c r="L270">
        <v>5000000</v>
      </c>
      <c r="M270" t="s">
        <v>6216</v>
      </c>
      <c r="N270" t="s">
        <v>6007</v>
      </c>
      <c r="O270" t="s">
        <v>451</v>
      </c>
      <c r="P270" t="s">
        <v>455</v>
      </c>
    </row>
    <row r="271" spans="1:16" x14ac:dyDescent="0.3">
      <c r="A271" t="s">
        <v>419</v>
      </c>
      <c r="B271" t="s">
        <v>616</v>
      </c>
      <c r="C271" t="s">
        <v>523</v>
      </c>
      <c r="D271" t="s">
        <v>6017</v>
      </c>
      <c r="E271" t="s">
        <v>503</v>
      </c>
      <c r="F271" t="s">
        <v>6217</v>
      </c>
      <c r="G271">
        <v>40000000</v>
      </c>
      <c r="H271">
        <v>0</v>
      </c>
      <c r="I271">
        <v>0</v>
      </c>
      <c r="J271">
        <v>0</v>
      </c>
      <c r="K271" t="s">
        <v>6082</v>
      </c>
      <c r="L271">
        <v>40000000</v>
      </c>
      <c r="M271" t="s">
        <v>6218</v>
      </c>
      <c r="N271" t="s">
        <v>6219</v>
      </c>
      <c r="O271" t="s">
        <v>451</v>
      </c>
      <c r="P271" t="s">
        <v>452</v>
      </c>
    </row>
    <row r="272" spans="1:16" x14ac:dyDescent="0.3">
      <c r="A272" t="s">
        <v>419</v>
      </c>
      <c r="B272" t="s">
        <v>616</v>
      </c>
      <c r="C272" t="s">
        <v>520</v>
      </c>
      <c r="D272" t="s">
        <v>5487</v>
      </c>
      <c r="E272" t="s">
        <v>503</v>
      </c>
      <c r="F272" t="s">
        <v>6220</v>
      </c>
      <c r="G272">
        <v>5750000</v>
      </c>
      <c r="H272">
        <v>0</v>
      </c>
      <c r="I272">
        <v>0</v>
      </c>
      <c r="J272">
        <v>0</v>
      </c>
      <c r="K272" t="s">
        <v>6082</v>
      </c>
      <c r="L272">
        <v>5750000</v>
      </c>
      <c r="M272" t="s">
        <v>6221</v>
      </c>
      <c r="N272" t="s">
        <v>6222</v>
      </c>
      <c r="O272" t="s">
        <v>440</v>
      </c>
      <c r="P272" t="s">
        <v>441</v>
      </c>
    </row>
    <row r="273" spans="1:16" x14ac:dyDescent="0.3">
      <c r="A273" t="s">
        <v>419</v>
      </c>
      <c r="B273" t="s">
        <v>616</v>
      </c>
      <c r="C273" t="s">
        <v>520</v>
      </c>
      <c r="D273" t="s">
        <v>5487</v>
      </c>
      <c r="E273" t="s">
        <v>503</v>
      </c>
      <c r="F273" t="s">
        <v>6223</v>
      </c>
      <c r="G273">
        <v>5750000</v>
      </c>
      <c r="H273">
        <v>0</v>
      </c>
      <c r="I273">
        <v>0</v>
      </c>
      <c r="J273">
        <v>0</v>
      </c>
      <c r="K273" t="s">
        <v>6082</v>
      </c>
      <c r="L273">
        <v>5750000</v>
      </c>
      <c r="M273" t="s">
        <v>6224</v>
      </c>
      <c r="N273" t="s">
        <v>6225</v>
      </c>
      <c r="O273" t="s">
        <v>440</v>
      </c>
      <c r="P273" t="s">
        <v>441</v>
      </c>
    </row>
    <row r="274" spans="1:16" x14ac:dyDescent="0.3">
      <c r="A274" t="s">
        <v>419</v>
      </c>
      <c r="B274" t="s">
        <v>616</v>
      </c>
      <c r="C274" t="s">
        <v>520</v>
      </c>
      <c r="D274" t="s">
        <v>5487</v>
      </c>
      <c r="E274" t="s">
        <v>503</v>
      </c>
      <c r="F274" t="s">
        <v>6226</v>
      </c>
      <c r="G274">
        <v>1000000</v>
      </c>
      <c r="H274">
        <v>0</v>
      </c>
      <c r="I274">
        <v>0</v>
      </c>
      <c r="J274">
        <v>0</v>
      </c>
      <c r="K274" t="s">
        <v>6082</v>
      </c>
      <c r="L274">
        <v>1000000</v>
      </c>
      <c r="M274" t="s">
        <v>6227</v>
      </c>
      <c r="N274" t="s">
        <v>5533</v>
      </c>
      <c r="O274" t="s">
        <v>440</v>
      </c>
      <c r="P274" t="s">
        <v>441</v>
      </c>
    </row>
    <row r="275" spans="1:16" x14ac:dyDescent="0.3">
      <c r="A275" t="s">
        <v>419</v>
      </c>
      <c r="B275" t="s">
        <v>616</v>
      </c>
      <c r="C275" t="s">
        <v>502</v>
      </c>
      <c r="D275" t="s">
        <v>6049</v>
      </c>
      <c r="E275" t="s">
        <v>503</v>
      </c>
      <c r="F275" t="s">
        <v>6228</v>
      </c>
      <c r="G275">
        <v>3000000</v>
      </c>
      <c r="H275">
        <v>0</v>
      </c>
      <c r="I275">
        <v>0</v>
      </c>
      <c r="J275">
        <v>0</v>
      </c>
      <c r="K275" t="s">
        <v>6082</v>
      </c>
      <c r="L275">
        <v>3000000</v>
      </c>
      <c r="M275" t="s">
        <v>6229</v>
      </c>
      <c r="N275" t="s">
        <v>5533</v>
      </c>
      <c r="O275" t="s">
        <v>431</v>
      </c>
      <c r="P275" t="s">
        <v>432</v>
      </c>
    </row>
    <row r="276" spans="1:16" x14ac:dyDescent="0.3">
      <c r="A276" t="s">
        <v>419</v>
      </c>
      <c r="B276" t="s">
        <v>616</v>
      </c>
      <c r="C276" t="s">
        <v>502</v>
      </c>
      <c r="D276" t="s">
        <v>6066</v>
      </c>
      <c r="E276" t="s">
        <v>503</v>
      </c>
      <c r="F276" t="s">
        <v>6230</v>
      </c>
      <c r="G276">
        <v>3000000</v>
      </c>
      <c r="H276">
        <v>0</v>
      </c>
      <c r="I276">
        <v>0</v>
      </c>
      <c r="J276">
        <v>0</v>
      </c>
      <c r="K276" t="s">
        <v>6082</v>
      </c>
      <c r="L276">
        <v>3000000</v>
      </c>
      <c r="M276" t="s">
        <v>6231</v>
      </c>
      <c r="N276" t="s">
        <v>5533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64</vt:i4>
      </vt:variant>
    </vt:vector>
  </HeadingPairs>
  <TitlesOfParts>
    <vt:vector size="83"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Sheet2</vt:lpstr>
      <vt:lpstr>PERSUBBID</vt:lpstr>
      <vt:lpstr>TANPA GAJI</vt:lpstr>
      <vt:lpstr>PERSUBBID + Gaji</vt:lpstr>
      <vt:lpstr>PERSUBBID GAJI</vt:lpstr>
      <vt:lpstr>DENGAN GAJI</vt:lpstr>
      <vt:lpstr>DIPA2</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 Gaji'!Print_Area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2022-06-15T02:21:43Z</cp:lastPrinted>
  <dcterms:created xsi:type="dcterms:W3CDTF">2021-07-27T04:05:22Z</dcterms:created>
  <dcterms:modified xsi:type="dcterms:W3CDTF">2022-06-15T10:58:06Z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