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6.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8_{94BE6F04-43C7-44A8-B899-414662B9991D}" xr6:coauthVersionLast="47" xr6:coauthVersionMax="47" xr10:uidLastSave="{00000000-0000-0000-0000-000000000000}"/>
  <bookViews>
    <workbookView xWindow="-108" yWindow="-108" windowWidth="23256" windowHeight="12576" tabRatio="872" firstSheet="5" activeTab="8"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Sheet2" sheetId="29" r:id="rId13"/>
    <sheet name="PERSUBBID" sheetId="14" r:id="rId14"/>
    <sheet name="TANPA GAJI" sheetId="17" r:id="rId15"/>
    <sheet name="PERSUBBID GAJI" sheetId="25" r:id="rId16"/>
    <sheet name="DENGAN GAJI" sheetId="27" r:id="rId17"/>
    <sheet name="Sheet2 (2)" sheetId="28"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BULAN'!$B$12:$BF$231</definedName>
    <definedName name="_xlnm._FilterDatabase" localSheetId="8" hidden="1">PERAKUN!$C$1:$H$246</definedName>
    <definedName name="_xlnm._FilterDatabase" localSheetId="10" hidden="1">SP2D!$A$3:$AU$144</definedName>
    <definedName name="_xlnm._FilterDatabase" localSheetId="7" hidden="1">'SP2D ON'!$B$10:$K$100</definedName>
    <definedName name="Belanja_Perjalanan_Dinas_Paket_Meeting_Dalam_Kota._Uang_Saku_RDK_dalam__Verifikasi_dan_Pembuatan_Format_Standart_Data_BKU_Satker_Pusat_Pendidikan_KP___tgl.__27__Februari__2020">#REF!</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 localSheetId="17">#REF!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 localSheetId="17">#REF!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 localSheetId="17">#REF!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 localSheetId="17">#REF!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 localSheetId="17">#REF!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 localSheetId="17">#REF!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 localSheetId="17">#REF!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 localSheetId="17">#REF!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 localSheetId="17">#REF!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 localSheetId="17">#REF!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 localSheetId="17">#REF!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 localSheetId="17">#REF!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 localSheetId="17">#REF!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 localSheetId="17">#REF!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 localSheetId="17">#REF!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 localSheetId="17">#REF!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 localSheetId="17">#REF!</definedName>
    <definedName name="Entri_Es4">#REF!</definedName>
    <definedName name="Eselon3">[2]eselon3_4!$A$2:$A$7</definedName>
    <definedName name="Eselon4">[2]eselon3_4!$B$2:$B$11</definedName>
    <definedName name="ExternalData_1" localSheetId="17" hidden="1">'Sheet2 (2)'!$A$1:$Q$249</definedName>
    <definedName name="FILTER_LAP" localSheetId="17">'[1]DASHBOARD SP2D'!#REF!</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 localSheetId="17">[3]DIPA_AWAL!$T$2:$T$2</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6">'DENGAN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BULAN'!$B$4:$AU$231</definedName>
    <definedName name="_xlnm.Print_Area" localSheetId="8">PERAKUN!$C$1:$H$246</definedName>
    <definedName name="_xlnm.Print_Area" localSheetId="13">PERSUBBID!$A$1:$G$55</definedName>
    <definedName name="_xlnm.Print_Area" localSheetId="15">'PERSUBBID GAJI'!$A$1:$G$60</definedName>
    <definedName name="_xlnm.Print_Area" localSheetId="14">'TANPA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 localSheetId="17">'[4]Tambahan Realisasi'!$C$2</definedName>
    <definedName name="rngSP2D">'[5]Tambahan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 localSheetId="17">#REF!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 localSheetId="17">#REF!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 localSheetId="17">#REF!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 localSheetId="17">#REF!</definedName>
    <definedName name="rowSubKoord">#REF!</definedName>
    <definedName name="Slicer_koordinator">#N/A</definedName>
    <definedName name="Slicer_Pagu">#N/A</definedName>
    <definedName name="Slicer_Subkoordinator">#N/A</definedName>
    <definedName name="SSBP" localSheetId="17">[1]SSBP!#REF!</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 localSheetId="17">#REF!</definedName>
    <definedName name="Start_Jadi">#REF!</definedName>
    <definedName name="TGL_SP2D">[1]DASHBOARD!$I$1</definedName>
  </definedNames>
  <calcPr calcId="191029"/>
  <pivotCaches>
    <pivotCache cacheId="9" r:id="rId24"/>
    <pivotCache cacheId="10" r:id="rId25"/>
    <pivotCache cacheId="11" r:id="rId26"/>
  </pivotCaches>
  <fileRecoveryPr repairLoad="1"/>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3" i="14" l="1"/>
  <c r="G52" i="14"/>
  <c r="G51" i="14"/>
  <c r="G50" i="14"/>
  <c r="G49" i="14"/>
  <c r="G48" i="14"/>
  <c r="G47" i="14"/>
  <c r="G46" i="14"/>
  <c r="G45" i="14"/>
  <c r="G44" i="14"/>
  <c r="G43" i="14"/>
  <c r="G42" i="14"/>
  <c r="G41" i="14"/>
  <c r="E53" i="14"/>
  <c r="E52" i="14"/>
  <c r="E51" i="14"/>
  <c r="E50" i="14"/>
  <c r="E49" i="14"/>
  <c r="E48" i="14"/>
  <c r="E47" i="14"/>
  <c r="E46" i="14"/>
  <c r="E45" i="14"/>
  <c r="E44" i="14"/>
  <c r="E43" i="14"/>
  <c r="E41" i="14"/>
  <c r="D51" i="14" a="1"/>
  <c r="D51" i="14" s="1"/>
  <c r="D50" i="14" a="1"/>
  <c r="D50" i="14" s="1"/>
  <c r="D48" i="14" a="1"/>
  <c r="D48" i="14" s="1"/>
  <c r="D47" i="14" a="1"/>
  <c r="D47" i="14" s="1"/>
  <c r="D45" i="14" a="1"/>
  <c r="D45" i="14" s="1"/>
  <c r="D44" i="14" a="1"/>
  <c r="D44" i="14" s="1"/>
  <c r="D42" i="14" a="1"/>
  <c r="D42" i="14" s="1"/>
  <c r="D41" i="14" a="1"/>
  <c r="D41" i="14" s="1"/>
  <c r="AO5" i="16"/>
  <c r="AO6" i="16"/>
  <c r="AO7" i="16"/>
  <c r="AO8" i="16"/>
  <c r="AO9" i="16"/>
  <c r="AO10" i="16"/>
  <c r="AO11" i="16"/>
  <c r="AO12" i="16"/>
  <c r="AO13" i="16"/>
  <c r="AO14" i="16"/>
  <c r="AO15" i="16"/>
  <c r="AO16" i="16"/>
  <c r="AO17" i="16"/>
  <c r="AO18" i="16"/>
  <c r="AO19" i="16"/>
  <c r="AO20" i="16"/>
  <c r="AO21" i="16"/>
  <c r="AO22" i="16"/>
  <c r="AO23" i="16"/>
  <c r="AO24" i="16"/>
  <c r="AO25" i="16"/>
  <c r="AO26" i="16"/>
  <c r="AO27" i="16"/>
  <c r="AO28" i="16"/>
  <c r="AO29" i="16"/>
  <c r="AO30" i="16"/>
  <c r="AO31" i="16"/>
  <c r="AO32" i="16"/>
  <c r="AO33" i="16"/>
  <c r="AO34" i="16"/>
  <c r="AO35" i="16"/>
  <c r="AO36" i="16"/>
  <c r="AO37" i="16"/>
  <c r="AO38" i="16"/>
  <c r="AO39" i="16"/>
  <c r="AO40" i="16"/>
  <c r="AO41" i="16"/>
  <c r="AO42" i="16"/>
  <c r="AO43" i="16"/>
  <c r="AO44" i="16"/>
  <c r="AO45" i="16"/>
  <c r="AO46" i="16"/>
  <c r="AO47" i="16"/>
  <c r="AO48" i="16"/>
  <c r="AO49" i="16"/>
  <c r="AO50" i="16"/>
  <c r="AO51" i="16"/>
  <c r="AO52" i="16"/>
  <c r="AO53" i="16"/>
  <c r="AO54" i="16"/>
  <c r="AO55" i="16"/>
  <c r="AO56" i="16"/>
  <c r="AO57" i="16"/>
  <c r="AO58" i="16"/>
  <c r="AO59" i="16"/>
  <c r="AO60" i="16"/>
  <c r="AO61" i="16"/>
  <c r="AO62" i="16"/>
  <c r="AO63" i="16"/>
  <c r="AO64" i="16"/>
  <c r="AO65" i="16"/>
  <c r="AO66" i="16"/>
  <c r="AO67" i="16"/>
  <c r="AO68" i="16"/>
  <c r="AO69" i="16"/>
  <c r="AO70" i="16"/>
  <c r="AO71" i="16"/>
  <c r="AO72" i="16"/>
  <c r="AO73" i="16"/>
  <c r="AO74" i="16"/>
  <c r="AO75" i="16"/>
  <c r="AO76" i="16"/>
  <c r="AO77" i="16"/>
  <c r="AO78" i="16"/>
  <c r="AO79" i="16"/>
  <c r="AO80" i="16"/>
  <c r="AO81" i="16"/>
  <c r="AO82" i="16"/>
  <c r="AO83" i="16"/>
  <c r="AO84" i="16"/>
  <c r="AO85" i="16"/>
  <c r="AO86" i="16"/>
  <c r="AO87" i="16"/>
  <c r="AO88" i="16"/>
  <c r="AO89" i="16"/>
  <c r="AO90" i="16"/>
  <c r="AO91" i="16"/>
  <c r="AO92" i="16"/>
  <c r="AO93" i="16"/>
  <c r="AO94" i="16"/>
  <c r="AO95" i="16"/>
  <c r="AO96" i="16"/>
  <c r="AO97" i="16"/>
  <c r="AO98" i="16"/>
  <c r="AO99" i="16"/>
  <c r="AO100" i="16"/>
  <c r="AO101" i="16"/>
  <c r="AO102" i="16"/>
  <c r="AO103" i="16"/>
  <c r="AO104" i="16"/>
  <c r="AO105" i="16"/>
  <c r="AO106" i="16"/>
  <c r="AO107" i="16"/>
  <c r="AO108" i="16"/>
  <c r="AO109" i="16"/>
  <c r="AO110" i="16"/>
  <c r="AO111" i="16"/>
  <c r="AO112" i="16"/>
  <c r="AO113" i="16"/>
  <c r="AO114" i="16"/>
  <c r="AO115" i="16"/>
  <c r="AO116" i="16"/>
  <c r="AO117" i="16"/>
  <c r="AO118" i="16"/>
  <c r="AO119" i="16"/>
  <c r="AO120" i="16"/>
  <c r="AO121" i="16"/>
  <c r="AO122" i="16"/>
  <c r="AO123" i="16"/>
  <c r="AO124" i="16"/>
  <c r="AO125" i="16"/>
  <c r="AO126" i="16"/>
  <c r="AO127" i="16"/>
  <c r="AO128" i="16"/>
  <c r="AO129" i="16"/>
  <c r="AO130" i="16"/>
  <c r="AO131" i="16"/>
  <c r="AO132" i="16"/>
  <c r="AO133" i="16"/>
  <c r="AO134" i="16"/>
  <c r="AO135" i="16"/>
  <c r="AO136" i="16"/>
  <c r="AO137" i="16"/>
  <c r="AO138" i="16"/>
  <c r="AO139" i="16"/>
  <c r="AO140" i="16"/>
  <c r="AO141" i="16"/>
  <c r="AO142" i="16"/>
  <c r="AO143" i="16"/>
  <c r="AO4" i="16"/>
  <c r="C47" i="14" l="1" a="1"/>
  <c r="C47" i="14" s="1"/>
  <c r="C42" i="14" a="1"/>
  <c r="C42" i="14" s="1"/>
  <c r="C48" i="14" a="1"/>
  <c r="C48" i="14" s="1"/>
  <c r="C45" i="14" a="1"/>
  <c r="C45" i="14" s="1"/>
  <c r="G31" i="14" l="1"/>
  <c r="E31" i="14"/>
  <c r="AQ4" i="16"/>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P5" i="16"/>
  <c r="AP6" i="16"/>
  <c r="AP7" i="16"/>
  <c r="AP8" i="16"/>
  <c r="AP9" i="16"/>
  <c r="AP10" i="16"/>
  <c r="AP11" i="16"/>
  <c r="AP12" i="16"/>
  <c r="AP13" i="16"/>
  <c r="AP14" i="16"/>
  <c r="AP15" i="16"/>
  <c r="AP16" i="16"/>
  <c r="AP17" i="16"/>
  <c r="AP18" i="16"/>
  <c r="AP19" i="16"/>
  <c r="AP20" i="16"/>
  <c r="AP21" i="16"/>
  <c r="AP22" i="16"/>
  <c r="AP23" i="16"/>
  <c r="AP24" i="16"/>
  <c r="AP25" i="16"/>
  <c r="AP26" i="16"/>
  <c r="AP27" i="16"/>
  <c r="AP28" i="16"/>
  <c r="AP29" i="16"/>
  <c r="AP30" i="16"/>
  <c r="AP31" i="16"/>
  <c r="AP32" i="16"/>
  <c r="AP33" i="16"/>
  <c r="AP34" i="16"/>
  <c r="AP35" i="16"/>
  <c r="AP36" i="16"/>
  <c r="AP37" i="16"/>
  <c r="AP38" i="16"/>
  <c r="AP39" i="16"/>
  <c r="AP40" i="16"/>
  <c r="AP41" i="16"/>
  <c r="AP42" i="16"/>
  <c r="AP43" i="16"/>
  <c r="AP44" i="16"/>
  <c r="AP45" i="16"/>
  <c r="AP46" i="16"/>
  <c r="AP47" i="16"/>
  <c r="AP48" i="16"/>
  <c r="AP49" i="16"/>
  <c r="AP50" i="16"/>
  <c r="AP51" i="16"/>
  <c r="AP52" i="16"/>
  <c r="AP53" i="16"/>
  <c r="AP54" i="16"/>
  <c r="AP55" i="16"/>
  <c r="AP56" i="16"/>
  <c r="AP57" i="16"/>
  <c r="AP58" i="16"/>
  <c r="AP59" i="16"/>
  <c r="AP60" i="16"/>
  <c r="AP61" i="16"/>
  <c r="AP62" i="16"/>
  <c r="AP63" i="16"/>
  <c r="AP64" i="16"/>
  <c r="AP65" i="16"/>
  <c r="AP66" i="16"/>
  <c r="AP67" i="16"/>
  <c r="AP68" i="16"/>
  <c r="AP69" i="16"/>
  <c r="AP70" i="16"/>
  <c r="AP71" i="16"/>
  <c r="AP72" i="16"/>
  <c r="AP73" i="16"/>
  <c r="AP74" i="16"/>
  <c r="AP75" i="16"/>
  <c r="AP76" i="16"/>
  <c r="AP77" i="16"/>
  <c r="AP78" i="16"/>
  <c r="AP79" i="16"/>
  <c r="AP80" i="16"/>
  <c r="AP81" i="16"/>
  <c r="AP82" i="16"/>
  <c r="AP83" i="16"/>
  <c r="AP84" i="16"/>
  <c r="AP85" i="16"/>
  <c r="AP86" i="16"/>
  <c r="AP87" i="16"/>
  <c r="AP88" i="16"/>
  <c r="AP89" i="16"/>
  <c r="AP90" i="16"/>
  <c r="AP91" i="16"/>
  <c r="AP92" i="16"/>
  <c r="AP93" i="16"/>
  <c r="AP94" i="16"/>
  <c r="AP95" i="16"/>
  <c r="AP96" i="16"/>
  <c r="AP97" i="16"/>
  <c r="AP98" i="16"/>
  <c r="AP99" i="16"/>
  <c r="AP100" i="16"/>
  <c r="AP101" i="16"/>
  <c r="AP102" i="16"/>
  <c r="AP103" i="16"/>
  <c r="AP104" i="16"/>
  <c r="AP105" i="16"/>
  <c r="AP106" i="16"/>
  <c r="AP107" i="16"/>
  <c r="AP108" i="16"/>
  <c r="AP109" i="16"/>
  <c r="AP110" i="16"/>
  <c r="AP111" i="16"/>
  <c r="AP112" i="16"/>
  <c r="AP113" i="16"/>
  <c r="AP114" i="16"/>
  <c r="AP115" i="16"/>
  <c r="AP116" i="16"/>
  <c r="AP117" i="16"/>
  <c r="AP118" i="16"/>
  <c r="AP119" i="16"/>
  <c r="AP120" i="16"/>
  <c r="AP121" i="16"/>
  <c r="AP122" i="16"/>
  <c r="AP123" i="16"/>
  <c r="AP124" i="16"/>
  <c r="AP125" i="16"/>
  <c r="AP126" i="16"/>
  <c r="AP127" i="16"/>
  <c r="AP128" i="16"/>
  <c r="AP129" i="16"/>
  <c r="AP130" i="16"/>
  <c r="AP131" i="16"/>
  <c r="AP132" i="16"/>
  <c r="AP133" i="16"/>
  <c r="AP134" i="16"/>
  <c r="AP135" i="16"/>
  <c r="AP136" i="16"/>
  <c r="AP137" i="16"/>
  <c r="AP138" i="16"/>
  <c r="AP139" i="16"/>
  <c r="AP140" i="16"/>
  <c r="AP141" i="16"/>
  <c r="AP142" i="16"/>
  <c r="AP143" i="16"/>
  <c r="AP4" i="16"/>
  <c r="G8" i="14" l="1"/>
  <c r="G9" i="14"/>
  <c r="G10" i="14"/>
  <c r="G11" i="14"/>
  <c r="G7" i="14"/>
  <c r="E8" i="14"/>
  <c r="E9" i="14"/>
  <c r="E10" i="14"/>
  <c r="E11" i="14"/>
  <c r="E7" i="14"/>
  <c r="W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N5" i="16"/>
  <c r="AN6" i="16"/>
  <c r="Q6" i="16" s="1" a="1"/>
  <c r="Q6" i="16" s="1"/>
  <c r="AN7" i="16"/>
  <c r="Q7" i="16" s="1" a="1"/>
  <c r="Q7" i="16" s="1"/>
  <c r="AN8" i="16"/>
  <c r="AN9" i="16"/>
  <c r="AN10" i="16"/>
  <c r="AN11" i="16"/>
  <c r="Q11" i="16" s="1" a="1"/>
  <c r="Q11" i="16" s="1"/>
  <c r="AN12" i="16"/>
  <c r="AN13" i="16"/>
  <c r="Q13" i="16" s="1" a="1"/>
  <c r="Q13" i="16" s="1"/>
  <c r="AN14" i="16"/>
  <c r="Q14" i="16" s="1" a="1"/>
  <c r="Q14" i="16" s="1"/>
  <c r="AN15" i="16"/>
  <c r="Q15" i="16" s="1" a="1"/>
  <c r="Q15" i="16" s="1"/>
  <c r="AN16" i="16"/>
  <c r="AN17" i="16"/>
  <c r="AN18" i="16"/>
  <c r="Q18" i="16" s="1" a="1"/>
  <c r="Q18" i="16" s="1"/>
  <c r="AN19" i="16"/>
  <c r="Q19" i="16" s="1" a="1"/>
  <c r="Q19" i="16" s="1"/>
  <c r="AN20" i="16"/>
  <c r="AN21" i="16"/>
  <c r="Q21" i="16" s="1" a="1"/>
  <c r="Q21" i="16" s="1"/>
  <c r="AN22" i="16"/>
  <c r="Q22" i="16" s="1" a="1"/>
  <c r="Q22" i="16" s="1"/>
  <c r="AN23" i="16"/>
  <c r="Q23" i="16" s="1" a="1"/>
  <c r="Q23" i="16" s="1"/>
  <c r="AN24" i="16"/>
  <c r="AN25" i="16"/>
  <c r="Q25" i="16" s="1" a="1"/>
  <c r="Q25" i="16" s="1"/>
  <c r="AN26" i="16"/>
  <c r="Q26" i="16" s="1" a="1"/>
  <c r="Q26" i="16" s="1"/>
  <c r="AN27" i="16"/>
  <c r="Q27" i="16" s="1" a="1"/>
  <c r="Q27" i="16" s="1"/>
  <c r="AN28" i="16"/>
  <c r="AN29" i="16"/>
  <c r="AN30" i="16"/>
  <c r="Q30" i="16" s="1" a="1"/>
  <c r="Q30" i="16" s="1"/>
  <c r="AN31" i="16"/>
  <c r="Q31" i="16" s="1" a="1"/>
  <c r="Q31" i="16" s="1"/>
  <c r="AN32" i="16"/>
  <c r="AN33" i="16"/>
  <c r="Q33" i="16" s="1" a="1"/>
  <c r="Q33" i="16" s="1"/>
  <c r="AN34" i="16"/>
  <c r="Q34" i="16" s="1" a="1"/>
  <c r="Q34" i="16" s="1"/>
  <c r="AN35" i="16"/>
  <c r="Q35" i="16" s="1" a="1"/>
  <c r="Q35" i="16" s="1"/>
  <c r="AN36" i="16"/>
  <c r="AN37" i="16"/>
  <c r="Q37" i="16" s="1" a="1"/>
  <c r="Q37" i="16" s="1"/>
  <c r="AN38" i="16"/>
  <c r="Q38" i="16" s="1" a="1"/>
  <c r="Q38" i="16" s="1"/>
  <c r="AN39" i="16"/>
  <c r="Q39" i="16" s="1" a="1"/>
  <c r="Q39" i="16" s="1"/>
  <c r="AN40" i="16"/>
  <c r="AN41" i="16"/>
  <c r="Q41" i="16" s="1" a="1"/>
  <c r="Q41" i="16" s="1"/>
  <c r="AN42" i="16"/>
  <c r="Q42" i="16" s="1" a="1"/>
  <c r="Q42" i="16" s="1"/>
  <c r="AN43" i="16"/>
  <c r="Q43" i="16" s="1" a="1"/>
  <c r="Q43" i="16" s="1"/>
  <c r="AN44" i="16"/>
  <c r="AN45" i="16"/>
  <c r="AN46" i="16"/>
  <c r="Q46" i="16" s="1" a="1"/>
  <c r="Q46" i="16" s="1"/>
  <c r="AN47" i="16"/>
  <c r="Q47" i="16" s="1" a="1"/>
  <c r="Q47" i="16" s="1"/>
  <c r="AN48" i="16"/>
  <c r="AN49" i="16"/>
  <c r="Q49" i="16" s="1" a="1"/>
  <c r="Q49" i="16" s="1"/>
  <c r="AN50" i="16"/>
  <c r="Q50" i="16" s="1" a="1"/>
  <c r="Q50" i="16" s="1"/>
  <c r="AN51" i="16"/>
  <c r="Q51" i="16" s="1" a="1"/>
  <c r="Q51" i="16" s="1"/>
  <c r="AN52" i="16"/>
  <c r="AN53" i="16"/>
  <c r="Q53" i="16" s="1" a="1"/>
  <c r="Q53" i="16" s="1"/>
  <c r="AN54" i="16"/>
  <c r="Q54" i="16" s="1" a="1"/>
  <c r="Q54" i="16" s="1"/>
  <c r="AN55" i="16"/>
  <c r="Q55" i="16" s="1" a="1"/>
  <c r="Q55" i="16" s="1"/>
  <c r="AN56" i="16"/>
  <c r="AN57" i="16"/>
  <c r="Q57" i="16" s="1" a="1"/>
  <c r="Q57" i="16" s="1"/>
  <c r="AN58" i="16"/>
  <c r="Q58" i="16" s="1" a="1"/>
  <c r="Q58" i="16" s="1"/>
  <c r="AN59" i="16"/>
  <c r="Q59" i="16" s="1" a="1"/>
  <c r="Q59" i="16" s="1"/>
  <c r="AN60" i="16"/>
  <c r="AN61" i="16"/>
  <c r="Q61" i="16" s="1" a="1"/>
  <c r="Q61" i="16" s="1"/>
  <c r="AN62" i="16"/>
  <c r="Q62" i="16" s="1" a="1"/>
  <c r="Q62" i="16" s="1"/>
  <c r="AN63" i="16"/>
  <c r="Q63" i="16" s="1" a="1"/>
  <c r="Q63" i="16" s="1"/>
  <c r="AN64" i="16"/>
  <c r="AN65" i="16"/>
  <c r="AN66" i="16"/>
  <c r="Q66" i="16" s="1" a="1"/>
  <c r="Q66" i="16" s="1"/>
  <c r="AN67" i="16"/>
  <c r="Q67" i="16" s="1" a="1"/>
  <c r="Q67" i="16" s="1"/>
  <c r="AN68" i="16"/>
  <c r="AN69" i="16"/>
  <c r="Q69" i="16" s="1" a="1"/>
  <c r="Q69" i="16" s="1"/>
  <c r="AN70" i="16"/>
  <c r="Q70" i="16" s="1" a="1"/>
  <c r="Q70" i="16" s="1"/>
  <c r="AN71" i="16"/>
  <c r="Q71" i="16" s="1" a="1"/>
  <c r="Q71" i="16" s="1"/>
  <c r="AN72" i="16"/>
  <c r="AN73" i="16"/>
  <c r="AN74" i="16"/>
  <c r="Q74" i="16" s="1" a="1"/>
  <c r="Q74" i="16" s="1"/>
  <c r="AN75" i="16"/>
  <c r="Q75" i="16" s="1" a="1"/>
  <c r="Q75" i="16" s="1"/>
  <c r="AN76" i="16"/>
  <c r="Q76" i="16" s="1" a="1"/>
  <c r="Q76" i="16" s="1"/>
  <c r="AN77" i="16"/>
  <c r="AN78" i="16"/>
  <c r="Q78" i="16" s="1" a="1"/>
  <c r="Q78" i="16" s="1"/>
  <c r="AN79" i="16"/>
  <c r="Q79" i="16" s="1" a="1"/>
  <c r="Q79" i="16" s="1"/>
  <c r="AN80" i="16"/>
  <c r="AN81" i="16"/>
  <c r="Q81" i="16" s="1" a="1"/>
  <c r="Q81" i="16" s="1"/>
  <c r="AN82" i="16"/>
  <c r="Q82" i="16" s="1" a="1"/>
  <c r="Q82" i="16" s="1"/>
  <c r="AN83" i="16"/>
  <c r="Q83" i="16" s="1" a="1"/>
  <c r="Q83" i="16" s="1"/>
  <c r="AN84" i="16"/>
  <c r="AN85" i="16"/>
  <c r="AN86" i="16"/>
  <c r="Q86" i="16" s="1" a="1"/>
  <c r="Q86" i="16" s="1"/>
  <c r="AN87" i="16"/>
  <c r="Q87" i="16" s="1" a="1"/>
  <c r="Q87" i="16" s="1"/>
  <c r="AN88" i="16"/>
  <c r="AN89" i="16"/>
  <c r="Q89" i="16" s="1" a="1"/>
  <c r="Q89" i="16" s="1"/>
  <c r="AN90" i="16"/>
  <c r="Q90" i="16" s="1" a="1"/>
  <c r="Q90" i="16" s="1"/>
  <c r="AN91" i="16"/>
  <c r="Q91" i="16" s="1" a="1"/>
  <c r="Q91" i="16" s="1"/>
  <c r="AN92" i="16"/>
  <c r="AN93" i="16"/>
  <c r="Q93" i="16" s="1" a="1"/>
  <c r="Q93" i="16" s="1"/>
  <c r="AN94" i="16"/>
  <c r="Q94" i="16" s="1" a="1"/>
  <c r="Q94" i="16" s="1"/>
  <c r="AN95" i="16"/>
  <c r="Q95" i="16" s="1" a="1"/>
  <c r="Q95" i="16" s="1"/>
  <c r="AN96" i="16"/>
  <c r="Q96" i="16" s="1" a="1"/>
  <c r="Q96" i="16" s="1"/>
  <c r="AN97" i="16"/>
  <c r="AN98" i="16"/>
  <c r="Q98" i="16" s="1" a="1"/>
  <c r="Q98" i="16" s="1"/>
  <c r="AN99" i="16"/>
  <c r="Q99" i="16" s="1" a="1"/>
  <c r="Q99" i="16" s="1"/>
  <c r="AN100" i="16"/>
  <c r="Q100" i="16" s="1" a="1"/>
  <c r="Q100" i="16" s="1"/>
  <c r="AN101" i="16"/>
  <c r="Q101" i="16" s="1" a="1"/>
  <c r="Q101" i="16" s="1"/>
  <c r="AN102" i="16"/>
  <c r="Q102" i="16" s="1" a="1"/>
  <c r="Q102" i="16" s="1"/>
  <c r="AN103" i="16"/>
  <c r="Q103" i="16" s="1" a="1"/>
  <c r="Q103" i="16" s="1"/>
  <c r="AN104" i="16"/>
  <c r="Q104" i="16" s="1" a="1"/>
  <c r="Q104" i="16" s="1"/>
  <c r="AN105" i="16"/>
  <c r="AN106" i="16"/>
  <c r="Q106" i="16" s="1" a="1"/>
  <c r="Q106" i="16" s="1"/>
  <c r="AN107" i="16"/>
  <c r="Q107" i="16" s="1" a="1"/>
  <c r="Q107" i="16" s="1"/>
  <c r="AN108" i="16"/>
  <c r="Q108" i="16" s="1" a="1"/>
  <c r="Q108" i="16" s="1"/>
  <c r="AN109" i="16"/>
  <c r="AN110" i="16"/>
  <c r="Q110" i="16" s="1" a="1"/>
  <c r="Q110" i="16" s="1"/>
  <c r="AN111" i="16"/>
  <c r="Q111" i="16" s="1" a="1"/>
  <c r="Q111" i="16" s="1"/>
  <c r="AN112" i="16"/>
  <c r="Q112" i="16" s="1" a="1"/>
  <c r="Q112" i="16" s="1"/>
  <c r="AN113" i="16"/>
  <c r="Q113" i="16" s="1" a="1"/>
  <c r="Q113" i="16" s="1"/>
  <c r="AN114" i="16"/>
  <c r="Q114" i="16" s="1" a="1"/>
  <c r="Q114" i="16" s="1"/>
  <c r="AN115" i="16"/>
  <c r="Q115" i="16" s="1" a="1"/>
  <c r="Q115" i="16" s="1"/>
  <c r="AN116" i="16"/>
  <c r="Q116" i="16" s="1" a="1"/>
  <c r="Q116" i="16" s="1"/>
  <c r="AN117" i="16"/>
  <c r="Q117" i="16" s="1" a="1"/>
  <c r="Q117" i="16" s="1"/>
  <c r="AN118" i="16"/>
  <c r="Q118" i="16" s="1" a="1"/>
  <c r="Q118" i="16" s="1"/>
  <c r="AN119" i="16"/>
  <c r="Q119" i="16" s="1" a="1"/>
  <c r="Q119" i="16" s="1"/>
  <c r="AN120" i="16"/>
  <c r="Q120" i="16" s="1" a="1"/>
  <c r="Q120" i="16" s="1"/>
  <c r="AN121" i="16"/>
  <c r="Q121" i="16" s="1" a="1"/>
  <c r="Q121" i="16" s="1"/>
  <c r="AN122" i="16"/>
  <c r="Q122" i="16" s="1" a="1"/>
  <c r="Q122" i="16" s="1"/>
  <c r="AN123" i="16"/>
  <c r="Q123" i="16" s="1" a="1"/>
  <c r="Q123" i="16" s="1"/>
  <c r="AN124" i="16"/>
  <c r="Q124" i="16" s="1" a="1"/>
  <c r="Q124" i="16" s="1"/>
  <c r="AN125" i="16"/>
  <c r="Q125" i="16" s="1" a="1"/>
  <c r="Q125" i="16" s="1"/>
  <c r="AN126" i="16"/>
  <c r="Q126" i="16" s="1" a="1"/>
  <c r="Q126" i="16" s="1"/>
  <c r="AN127" i="16"/>
  <c r="Q127" i="16" s="1" a="1"/>
  <c r="Q127" i="16" s="1"/>
  <c r="AN128" i="16"/>
  <c r="Q128" i="16" s="1" a="1"/>
  <c r="Q128" i="16" s="1"/>
  <c r="AN129" i="16"/>
  <c r="AN130" i="16"/>
  <c r="Q130" i="16" s="1" a="1"/>
  <c r="Q130" i="16" s="1"/>
  <c r="AN131" i="16"/>
  <c r="Q131" i="16" s="1" a="1"/>
  <c r="Q131" i="16" s="1"/>
  <c r="AN132" i="16"/>
  <c r="Q132" i="16" s="1" a="1"/>
  <c r="Q132" i="16" s="1"/>
  <c r="AN133" i="16"/>
  <c r="Q133" i="16" s="1" a="1"/>
  <c r="Q133" i="16" s="1"/>
  <c r="AN134" i="16"/>
  <c r="Q134" i="16" s="1" a="1"/>
  <c r="Q134" i="16" s="1"/>
  <c r="AN135" i="16"/>
  <c r="Q135" i="16" s="1" a="1"/>
  <c r="Q135" i="16" s="1"/>
  <c r="AN136" i="16"/>
  <c r="Q136" i="16" s="1" a="1"/>
  <c r="Q136" i="16" s="1"/>
  <c r="AN137" i="16"/>
  <c r="Q137" i="16" s="1" a="1"/>
  <c r="Q137" i="16" s="1"/>
  <c r="AN138" i="16"/>
  <c r="Q138" i="16" s="1" a="1"/>
  <c r="Q138" i="16" s="1"/>
  <c r="AN139" i="16"/>
  <c r="Q139" i="16" s="1" a="1"/>
  <c r="Q139" i="16" s="1"/>
  <c r="AN140" i="16"/>
  <c r="Q140" i="16" s="1" a="1"/>
  <c r="Q140" i="16" s="1"/>
  <c r="C44" i="14" s="1" a="1"/>
  <c r="C44" i="14" s="1"/>
  <c r="AN141" i="16"/>
  <c r="AN142" i="16"/>
  <c r="Q142" i="16" s="1" a="1"/>
  <c r="Q142" i="16" s="1"/>
  <c r="AN143" i="16"/>
  <c r="Q143" i="16" s="1" a="1"/>
  <c r="Q143" i="16" s="1"/>
  <c r="AN4" i="16"/>
  <c r="G4" i="29"/>
  <c r="Q5" i="16" a="1"/>
  <c r="Q5" i="16" s="1"/>
  <c r="Q8" i="16" a="1"/>
  <c r="Q8" i="16" s="1"/>
  <c r="Q9" i="16" a="1"/>
  <c r="Q9" i="16" s="1"/>
  <c r="Q10" i="16" a="1"/>
  <c r="Q10" i="16" s="1"/>
  <c r="Q12" i="16" a="1"/>
  <c r="Q12" i="16" s="1"/>
  <c r="Q16" i="16" a="1"/>
  <c r="Q16" i="16" s="1"/>
  <c r="C50" i="14" s="1" a="1"/>
  <c r="C50" i="14" s="1"/>
  <c r="Q17" i="16" a="1"/>
  <c r="Q17" i="16" s="1"/>
  <c r="Q20" i="16" a="1"/>
  <c r="Q20" i="16" s="1"/>
  <c r="Q24" i="16" a="1"/>
  <c r="Q24" i="16" s="1"/>
  <c r="Q28" i="16" a="1"/>
  <c r="Q28" i="16" s="1"/>
  <c r="Q29" i="16" a="1"/>
  <c r="Q29" i="16" s="1"/>
  <c r="Q32" i="16" a="1"/>
  <c r="Q32" i="16" s="1"/>
  <c r="C51" i="14" s="1" a="1"/>
  <c r="C51" i="14" s="1"/>
  <c r="Q36" i="16" a="1"/>
  <c r="Q36" i="16" s="1"/>
  <c r="Q40" i="16" a="1"/>
  <c r="Q40" i="16" s="1"/>
  <c r="Q44" i="16" a="1"/>
  <c r="Q44" i="16" s="1"/>
  <c r="Q45" i="16" a="1"/>
  <c r="Q45" i="16" s="1"/>
  <c r="Q48" i="16" a="1"/>
  <c r="Q48" i="16" s="1"/>
  <c r="Q52" i="16" a="1"/>
  <c r="Q52" i="16" s="1"/>
  <c r="Q56" i="16" a="1"/>
  <c r="Q56" i="16" s="1"/>
  <c r="Q60" i="16" a="1"/>
  <c r="Q60" i="16" s="1"/>
  <c r="Q64" i="16" a="1"/>
  <c r="Q64" i="16" s="1"/>
  <c r="Q65" i="16" a="1"/>
  <c r="Q65" i="16" s="1"/>
  <c r="Q68" i="16" a="1"/>
  <c r="Q68" i="16" s="1"/>
  <c r="Q72" i="16" a="1"/>
  <c r="Q72" i="16" s="1"/>
  <c r="Q73" i="16" a="1"/>
  <c r="Q73" i="16" s="1"/>
  <c r="Q77" i="16" a="1"/>
  <c r="Q77" i="16" s="1"/>
  <c r="Q80" i="16" a="1"/>
  <c r="Q80" i="16" s="1"/>
  <c r="Q84" i="16" a="1"/>
  <c r="Q84" i="16" s="1"/>
  <c r="Q85" i="16" a="1"/>
  <c r="Q85" i="16" s="1"/>
  <c r="Q88" i="16" a="1"/>
  <c r="Q88" i="16" s="1"/>
  <c r="Q92" i="16" a="1"/>
  <c r="Q92" i="16" s="1"/>
  <c r="Q97" i="16" a="1"/>
  <c r="Q97" i="16" s="1"/>
  <c r="Q105" i="16" a="1"/>
  <c r="Q105" i="16" s="1"/>
  <c r="Q109" i="16" a="1"/>
  <c r="Q109" i="16" s="1"/>
  <c r="Q129" i="16" a="1"/>
  <c r="Q129" i="16" s="1"/>
  <c r="Q141" i="16" a="1"/>
  <c r="Q141" i="16" s="1"/>
  <c r="Q4" i="16" a="1"/>
  <c r="Q4" i="16" s="1"/>
  <c r="R9" i="16"/>
  <c r="R8" i="16"/>
  <c r="R7" i="16"/>
  <c r="R6" i="16"/>
  <c r="R5" i="16"/>
  <c r="G228" i="13"/>
  <c r="G227" i="13" s="1"/>
  <c r="G225" i="13"/>
  <c r="G221" i="13"/>
  <c r="G215" i="13"/>
  <c r="G208" i="13"/>
  <c r="G207" i="13" s="1"/>
  <c r="G206" i="13" s="1"/>
  <c r="G205" i="13" s="1"/>
  <c r="G204" i="13" s="1"/>
  <c r="G200" i="13"/>
  <c r="G197" i="13"/>
  <c r="G193" i="13"/>
  <c r="G190" i="13"/>
  <c r="G187" i="13"/>
  <c r="G184" i="13"/>
  <c r="G183" i="13" s="1"/>
  <c r="G182" i="13" s="1"/>
  <c r="G178" i="13"/>
  <c r="G177" i="13"/>
  <c r="G171" i="13"/>
  <c r="G166" i="13" s="1"/>
  <c r="G165" i="13" s="1"/>
  <c r="G167" i="13"/>
  <c r="G160" i="13"/>
  <c r="G154" i="13"/>
  <c r="G149" i="13"/>
  <c r="G148" i="13"/>
  <c r="G147" i="13" s="1"/>
  <c r="G146" i="13" s="1"/>
  <c r="G144" i="13"/>
  <c r="G143" i="13"/>
  <c r="G142" i="13" s="1"/>
  <c r="G141" i="13" s="1"/>
  <c r="G137" i="13"/>
  <c r="G134" i="13"/>
  <c r="G131" i="13"/>
  <c r="G128" i="13"/>
  <c r="G125" i="13"/>
  <c r="G124" i="13"/>
  <c r="G123" i="13" s="1"/>
  <c r="G118" i="13"/>
  <c r="G113" i="13"/>
  <c r="G108" i="13"/>
  <c r="G102" i="13"/>
  <c r="G95" i="13"/>
  <c r="G91" i="13"/>
  <c r="G86" i="13"/>
  <c r="G82" i="13"/>
  <c r="G78" i="13"/>
  <c r="G77" i="13" s="1"/>
  <c r="G76" i="13" s="1"/>
  <c r="G70" i="13"/>
  <c r="G69" i="13" s="1"/>
  <c r="G68" i="13" s="1"/>
  <c r="G65" i="13"/>
  <c r="G64" i="13" s="1"/>
  <c r="G63" i="13" s="1"/>
  <c r="G62" i="13" s="1"/>
  <c r="G54" i="13"/>
  <c r="G53" i="13"/>
  <c r="G48" i="13"/>
  <c r="G41" i="13"/>
  <c r="G33" i="13"/>
  <c r="G32" i="13"/>
  <c r="G29" i="13"/>
  <c r="G28" i="13" s="1"/>
  <c r="G24" i="13"/>
  <c r="G20" i="13"/>
  <c r="G19" i="13" s="1"/>
  <c r="G18" i="13" s="1"/>
  <c r="G17" i="13" s="1"/>
  <c r="G16" i="13" s="1"/>
  <c r="G15" i="13" s="1"/>
  <c r="W217" i="13"/>
  <c r="H330" i="11"/>
  <c r="C32" i="14" l="1" a="1"/>
  <c r="C32" i="14" s="1"/>
  <c r="E32" i="14" s="1"/>
  <c r="C33" i="14" a="1"/>
  <c r="C33" i="14" s="1"/>
  <c r="C41" i="14" a="1"/>
  <c r="C41" i="14" s="1"/>
  <c r="C30" i="14" a="1"/>
  <c r="C30" i="14" s="1"/>
  <c r="R144" i="16"/>
  <c r="R146" i="16" s="1"/>
  <c r="E145" i="29"/>
  <c r="G67" i="13"/>
  <c r="G61" i="13" s="1"/>
  <c r="G60" i="13" s="1"/>
  <c r="G14" i="13" s="1"/>
  <c r="T10" i="23" a="1"/>
  <c r="T10" i="23" s="1"/>
  <c r="W112" i="13"/>
  <c r="W47" i="13"/>
  <c r="O4" i="23" l="1"/>
  <c r="H511" i="10"/>
  <c r="M16" i="24"/>
  <c r="O9" i="23" l="1"/>
  <c r="J37" i="25" s="1"/>
  <c r="O7" i="23"/>
  <c r="J34" i="25" s="1"/>
  <c r="O2" i="23"/>
  <c r="O5" i="2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Y144" i="16" l="1"/>
  <c r="BF20" i="13"/>
  <c r="BF24" i="13"/>
  <c r="BF19" i="13" s="1"/>
  <c r="BF29" i="13"/>
  <c r="BF28" i="13" s="1"/>
  <c r="BF33" i="13"/>
  <c r="BF41" i="13"/>
  <c r="BF48" i="13"/>
  <c r="BF54" i="13"/>
  <c r="BF53" i="13" s="1"/>
  <c r="BF65" i="13"/>
  <c r="BF64" i="13" s="1"/>
  <c r="BF63" i="13" s="1"/>
  <c r="BF62" i="13" s="1"/>
  <c r="BF70" i="13"/>
  <c r="BF69" i="13" s="1"/>
  <c r="BF68" i="13" s="1"/>
  <c r="BF78" i="13"/>
  <c r="BF82" i="13"/>
  <c r="BF86" i="13"/>
  <c r="BF91" i="13"/>
  <c r="BF95" i="13"/>
  <c r="BF102" i="13"/>
  <c r="BF108" i="13"/>
  <c r="BF113" i="13"/>
  <c r="BF118" i="13"/>
  <c r="BF125" i="13"/>
  <c r="BF128" i="13"/>
  <c r="BF131" i="13"/>
  <c r="BF134" i="13"/>
  <c r="BF137" i="13"/>
  <c r="BF144" i="13"/>
  <c r="BF143" i="13" s="1"/>
  <c r="BF142" i="13" s="1"/>
  <c r="BF141" i="13" s="1"/>
  <c r="BF149" i="13"/>
  <c r="BF154" i="13"/>
  <c r="BF160" i="13"/>
  <c r="BF167" i="13"/>
  <c r="BF171" i="13"/>
  <c r="BF178" i="13"/>
  <c r="BF177" i="13" s="1"/>
  <c r="BF184" i="13"/>
  <c r="BF187" i="13"/>
  <c r="BF190" i="13"/>
  <c r="BF193" i="13"/>
  <c r="BF197" i="13"/>
  <c r="BF200" i="13"/>
  <c r="BF208" i="13"/>
  <c r="BF215" i="13"/>
  <c r="BF221" i="13"/>
  <c r="BF225" i="13"/>
  <c r="BF228" i="13"/>
  <c r="BF227" i="13" s="1"/>
  <c r="BF207" i="13" l="1"/>
  <c r="BF206" i="13" s="1"/>
  <c r="BF205" i="13" s="1"/>
  <c r="BF204" i="13" s="1"/>
  <c r="BF148" i="13"/>
  <c r="BF147" i="13" s="1"/>
  <c r="BF183" i="13"/>
  <c r="BF182" i="13" s="1"/>
  <c r="BF166" i="13"/>
  <c r="BF165" i="13" s="1"/>
  <c r="BF124" i="13"/>
  <c r="BF123" i="13" s="1"/>
  <c r="BF77" i="13"/>
  <c r="BF76" i="13" s="1"/>
  <c r="BF32" i="13"/>
  <c r="BF18" i="13" s="1"/>
  <c r="BF17" i="13" s="1"/>
  <c r="BF16" i="13" s="1"/>
  <c r="BF15" i="13" s="1"/>
  <c r="O3" i="23"/>
  <c r="W107" i="13"/>
  <c r="J246" i="20"/>
  <c r="W220" i="13"/>
  <c r="J247" i="20"/>
  <c r="BF146" i="13" l="1"/>
  <c r="BF67" i="13"/>
  <c r="BF61" i="13" s="1"/>
  <c r="BF60" i="13" s="1"/>
  <c r="BF14" i="13" s="1"/>
  <c r="W59" i="13"/>
  <c r="F70" i="13"/>
  <c r="F69" i="13" s="1"/>
  <c r="U185" i="13"/>
  <c r="U135"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X94" i="16"/>
  <c r="AW95" i="16"/>
  <c r="AX95" i="16"/>
  <c r="AW96" i="16"/>
  <c r="AX96" i="16"/>
  <c r="AW97" i="16"/>
  <c r="AX97" i="16"/>
  <c r="AW98" i="16"/>
  <c r="AX98" i="16"/>
  <c r="AW99" i="16"/>
  <c r="AX99" i="16"/>
  <c r="AW100" i="16"/>
  <c r="AX100" i="16"/>
  <c r="AW101" i="16"/>
  <c r="AX101" i="16"/>
  <c r="AW102" i="16"/>
  <c r="AX102" i="16"/>
  <c r="AW103" i="16"/>
  <c r="AX103" i="16"/>
  <c r="AW104" i="16"/>
  <c r="AX104" i="16"/>
  <c r="AW105" i="16"/>
  <c r="AX105" i="16"/>
  <c r="AW106" i="16"/>
  <c r="AX106" i="16"/>
  <c r="AW107" i="16"/>
  <c r="AX107" i="16"/>
  <c r="AW108" i="16"/>
  <c r="AX108" i="16"/>
  <c r="AW109" i="16"/>
  <c r="AX109" i="16"/>
  <c r="AW110" i="16"/>
  <c r="AX110" i="16"/>
  <c r="AW111" i="16"/>
  <c r="AX111" i="16"/>
  <c r="AW112" i="16"/>
  <c r="AX112" i="16"/>
  <c r="AW113" i="16"/>
  <c r="AX113" i="16"/>
  <c r="AW114" i="16"/>
  <c r="AX114" i="16"/>
  <c r="AW115" i="16"/>
  <c r="AX115" i="16"/>
  <c r="AW116" i="16"/>
  <c r="AX116" i="16"/>
  <c r="AW117" i="16"/>
  <c r="AX117" i="16"/>
  <c r="AW118" i="16"/>
  <c r="AX118" i="16"/>
  <c r="AW119" i="16"/>
  <c r="AX119" i="16"/>
  <c r="AW120" i="16"/>
  <c r="AX120" i="16"/>
  <c r="AW121" i="16"/>
  <c r="AX121" i="16"/>
  <c r="AW122" i="16"/>
  <c r="AX122" i="16"/>
  <c r="AW123" i="16"/>
  <c r="AX123" i="16"/>
  <c r="AW124" i="16"/>
  <c r="AX124" i="16"/>
  <c r="AW125" i="16"/>
  <c r="AX125" i="16"/>
  <c r="AW126" i="16"/>
  <c r="AX126" i="16"/>
  <c r="AW127" i="16"/>
  <c r="AX127" i="16"/>
  <c r="AW128" i="16"/>
  <c r="AX128" i="16"/>
  <c r="AW129" i="16"/>
  <c r="AX129" i="16"/>
  <c r="AW130" i="16"/>
  <c r="AX130" i="16"/>
  <c r="AW131" i="16"/>
  <c r="AX131" i="16"/>
  <c r="AW132" i="16"/>
  <c r="AX132" i="16"/>
  <c r="AW133" i="16"/>
  <c r="AX133" i="16"/>
  <c r="AW134" i="16"/>
  <c r="AX134" i="16"/>
  <c r="AW135" i="16"/>
  <c r="AX135" i="16"/>
  <c r="AW136" i="16"/>
  <c r="AX136" i="16"/>
  <c r="AW137" i="16"/>
  <c r="AX137" i="16"/>
  <c r="AW138" i="16"/>
  <c r="AX138" i="16"/>
  <c r="AW139" i="16"/>
  <c r="AX139" i="16"/>
  <c r="AW140" i="16"/>
  <c r="AX140" i="16"/>
  <c r="AW141" i="16"/>
  <c r="AX141" i="16"/>
  <c r="AW142" i="16"/>
  <c r="AX142" i="16"/>
  <c r="AW143" i="16"/>
  <c r="AX143" i="16"/>
  <c r="T112" i="13"/>
  <c r="T159" i="13"/>
  <c r="T153" i="13"/>
  <c r="U194" i="13"/>
  <c r="U132" i="13"/>
  <c r="U129" i="13"/>
  <c r="U127" i="13"/>
  <c r="U126" i="13"/>
  <c r="U104" i="13"/>
  <c r="U100" i="13"/>
  <c r="U89" i="13"/>
  <c r="U85" i="13"/>
  <c r="BD20" i="13"/>
  <c r="BE20" i="13"/>
  <c r="BD24" i="13"/>
  <c r="BE24" i="13"/>
  <c r="BD29" i="13"/>
  <c r="BD28" i="13" s="1"/>
  <c r="BE29" i="13"/>
  <c r="BE28" i="13" s="1"/>
  <c r="BD33" i="13"/>
  <c r="BE33" i="13"/>
  <c r="BD41" i="13"/>
  <c r="BE41" i="13"/>
  <c r="BD48" i="13"/>
  <c r="BE48" i="13"/>
  <c r="BD54" i="13"/>
  <c r="BD53" i="13" s="1"/>
  <c r="BE54" i="13"/>
  <c r="BE53" i="13" s="1"/>
  <c r="BD65" i="13"/>
  <c r="BD64" i="13" s="1"/>
  <c r="BD63" i="13" s="1"/>
  <c r="BD62" i="13" s="1"/>
  <c r="BE65" i="13"/>
  <c r="BE64" i="13" s="1"/>
  <c r="BE63" i="13" s="1"/>
  <c r="BE62" i="13" s="1"/>
  <c r="BD70" i="13"/>
  <c r="BD69" i="13" s="1"/>
  <c r="BD68" i="13" s="1"/>
  <c r="BE70" i="13"/>
  <c r="BE69" i="13" s="1"/>
  <c r="BE68" i="13" s="1"/>
  <c r="BD78" i="13"/>
  <c r="BE78" i="13"/>
  <c r="BD82" i="13"/>
  <c r="BE82" i="13"/>
  <c r="BD86" i="13"/>
  <c r="BE86" i="13"/>
  <c r="BD91" i="13"/>
  <c r="BE91" i="13"/>
  <c r="BD95" i="13"/>
  <c r="BE95" i="13"/>
  <c r="BD102" i="13"/>
  <c r="BE102" i="13"/>
  <c r="BD108" i="13"/>
  <c r="BE108" i="13"/>
  <c r="BD113" i="13"/>
  <c r="BE113" i="13"/>
  <c r="BD118" i="13"/>
  <c r="BE118" i="13"/>
  <c r="BD125" i="13"/>
  <c r="BE125" i="13"/>
  <c r="BD128" i="13"/>
  <c r="BE128" i="13"/>
  <c r="BD131" i="13"/>
  <c r="BE131" i="13"/>
  <c r="BD134" i="13"/>
  <c r="BE134" i="13"/>
  <c r="BD137" i="13"/>
  <c r="BE137" i="13"/>
  <c r="BD144" i="13"/>
  <c r="BD143" i="13" s="1"/>
  <c r="BD142" i="13" s="1"/>
  <c r="BD141" i="13" s="1"/>
  <c r="BE144" i="13"/>
  <c r="BE143" i="13" s="1"/>
  <c r="BE142" i="13" s="1"/>
  <c r="BE141" i="13" s="1"/>
  <c r="BD149" i="13"/>
  <c r="BE149" i="13"/>
  <c r="BD154" i="13"/>
  <c r="BE154" i="13"/>
  <c r="BD160" i="13"/>
  <c r="BE160" i="13"/>
  <c r="BD167" i="13"/>
  <c r="BE167" i="13"/>
  <c r="BD171" i="13"/>
  <c r="BE171" i="13"/>
  <c r="BD178" i="13"/>
  <c r="BD177" i="13" s="1"/>
  <c r="BE178" i="13"/>
  <c r="BE177" i="13" s="1"/>
  <c r="BD184" i="13"/>
  <c r="BE184" i="13"/>
  <c r="BD187" i="13"/>
  <c r="BE187" i="13"/>
  <c r="BD190" i="13"/>
  <c r="BE190" i="13"/>
  <c r="BD193" i="13"/>
  <c r="BE193" i="13"/>
  <c r="BD197" i="13"/>
  <c r="BE197" i="13"/>
  <c r="BD200" i="13"/>
  <c r="BE200" i="13"/>
  <c r="BD208" i="13"/>
  <c r="BE208" i="13"/>
  <c r="BD215" i="13"/>
  <c r="BE215" i="13"/>
  <c r="BD221" i="13"/>
  <c r="BE221" i="13"/>
  <c r="BD225" i="13"/>
  <c r="BE225" i="13"/>
  <c r="BD228" i="13"/>
  <c r="BD227" i="13" s="1"/>
  <c r="BE228" i="13"/>
  <c r="BE227" i="13" s="1"/>
  <c r="AX144" i="16" l="1"/>
  <c r="AW144" i="16"/>
  <c r="BD166" i="13"/>
  <c r="BE183" i="13"/>
  <c r="BE182" i="13" s="1"/>
  <c r="BD32" i="13"/>
  <c r="BE207" i="13"/>
  <c r="BE206" i="13" s="1"/>
  <c r="BE205" i="13" s="1"/>
  <c r="BE204" i="13" s="1"/>
  <c r="BE77" i="13"/>
  <c r="BE76" i="13" s="1"/>
  <c r="BE32" i="13"/>
  <c r="BE166" i="13"/>
  <c r="BE165" i="13" s="1"/>
  <c r="BE148" i="13"/>
  <c r="BE147" i="13" s="1"/>
  <c r="BE124" i="13"/>
  <c r="BE123" i="13" s="1"/>
  <c r="BE19" i="13"/>
  <c r="BD77" i="13"/>
  <c r="BD76" i="13" s="1"/>
  <c r="BD207" i="13"/>
  <c r="BD206" i="13" s="1"/>
  <c r="BD205" i="13" s="1"/>
  <c r="BD204" i="13" s="1"/>
  <c r="BD183" i="13"/>
  <c r="BD182" i="13" s="1"/>
  <c r="BD148" i="13"/>
  <c r="BD147" i="13" s="1"/>
  <c r="BD124" i="13"/>
  <c r="BD123" i="13" s="1"/>
  <c r="BD19" i="13"/>
  <c r="BD165" i="13"/>
  <c r="BD18" i="13" l="1"/>
  <c r="BD17" i="13" s="1"/>
  <c r="BD16" i="13" s="1"/>
  <c r="BD15" i="13" s="1"/>
  <c r="BE146" i="13"/>
  <c r="BE18" i="13"/>
  <c r="BE17" i="13" s="1"/>
  <c r="BE16" i="13" s="1"/>
  <c r="BE15" i="13" s="1"/>
  <c r="BD146" i="13"/>
  <c r="BD67" i="13"/>
  <c r="BE67" i="13"/>
  <c r="BD61" i="13" l="1"/>
  <c r="BD60" i="13" s="1"/>
  <c r="BD14" i="13" s="1"/>
  <c r="BE61" i="13"/>
  <c r="BE60" i="13" s="1"/>
  <c r="BE14" i="13" s="1"/>
  <c r="U86" i="13" l="1"/>
  <c r="V24" i="13"/>
  <c r="V29" i="13"/>
  <c r="V28" i="13" s="1"/>
  <c r="V33" i="13"/>
  <c r="V41" i="13"/>
  <c r="V48" i="13"/>
  <c r="V54" i="13"/>
  <c r="V53" i="13" s="1"/>
  <c r="V65" i="13"/>
  <c r="V64" i="13" s="1"/>
  <c r="V63" i="13" s="1"/>
  <c r="V62" i="13" s="1"/>
  <c r="V70" i="13"/>
  <c r="V69" i="13" s="1"/>
  <c r="V68" i="13" s="1"/>
  <c r="V78" i="13"/>
  <c r="V82" i="13"/>
  <c r="V86" i="13"/>
  <c r="V91" i="13"/>
  <c r="V95" i="13"/>
  <c r="V102" i="13"/>
  <c r="V108" i="13"/>
  <c r="V113" i="13"/>
  <c r="V118" i="13"/>
  <c r="V125" i="13"/>
  <c r="V128" i="13"/>
  <c r="V131" i="13"/>
  <c r="V134" i="13"/>
  <c r="V137" i="13"/>
  <c r="V144" i="13"/>
  <c r="V143" i="13" s="1"/>
  <c r="V142" i="13" s="1"/>
  <c r="V141" i="13" s="1"/>
  <c r="V149" i="13"/>
  <c r="V154" i="13"/>
  <c r="V160" i="13"/>
  <c r="V148" i="13" l="1"/>
  <c r="V147" i="13" s="1"/>
  <c r="V124" i="13"/>
  <c r="V123" i="13" s="1"/>
  <c r="V32" i="13"/>
  <c r="V77" i="13"/>
  <c r="V76" i="13" s="1"/>
  <c r="V67" i="13" l="1"/>
  <c r="AV143" i="16" l="1"/>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V144" i="16" l="1"/>
  <c r="BC20" i="13"/>
  <c r="BC24" i="13"/>
  <c r="BC29" i="13"/>
  <c r="BC28" i="13" s="1"/>
  <c r="BC33" i="13"/>
  <c r="BC41" i="13"/>
  <c r="BC48" i="13"/>
  <c r="BC54" i="13"/>
  <c r="BC53" i="13" s="1"/>
  <c r="BC65" i="13"/>
  <c r="BC64" i="13" s="1"/>
  <c r="BC63" i="13" s="1"/>
  <c r="BC62" i="13" s="1"/>
  <c r="BC70" i="13"/>
  <c r="BC69" i="13" s="1"/>
  <c r="BC68" i="13" s="1"/>
  <c r="BC78" i="13"/>
  <c r="BC82" i="13"/>
  <c r="BC86" i="13"/>
  <c r="BC91" i="13"/>
  <c r="BC95" i="13"/>
  <c r="BC102" i="13"/>
  <c r="BC108" i="13"/>
  <c r="BC113" i="13"/>
  <c r="BC118" i="13"/>
  <c r="BC125" i="13"/>
  <c r="BC128" i="13"/>
  <c r="BC131" i="13"/>
  <c r="BC134" i="13"/>
  <c r="BC137" i="13"/>
  <c r="BC144" i="13"/>
  <c r="BC143" i="13" s="1"/>
  <c r="BC142" i="13" s="1"/>
  <c r="BC141" i="13" s="1"/>
  <c r="BC149" i="13"/>
  <c r="BC154" i="13"/>
  <c r="BC160" i="13"/>
  <c r="BC167" i="13"/>
  <c r="BC171" i="13"/>
  <c r="BC178" i="13"/>
  <c r="BC177" i="13" s="1"/>
  <c r="BC184" i="13"/>
  <c r="BC187" i="13"/>
  <c r="BC190" i="13"/>
  <c r="BC193" i="13"/>
  <c r="BC197" i="13"/>
  <c r="BC200" i="13"/>
  <c r="BC208" i="13"/>
  <c r="BC215" i="13"/>
  <c r="BC221" i="13"/>
  <c r="BC225" i="13"/>
  <c r="BC228" i="13"/>
  <c r="BC227" i="13" s="1"/>
  <c r="A3" i="25"/>
  <c r="BC166" i="13" l="1"/>
  <c r="BC165" i="13" s="1"/>
  <c r="BC77" i="13"/>
  <c r="BC76" i="13" s="1"/>
  <c r="BC148" i="13"/>
  <c r="BC147" i="13" s="1"/>
  <c r="BC19" i="13"/>
  <c r="BC32" i="13"/>
  <c r="BC207" i="13"/>
  <c r="BC206" i="13" s="1"/>
  <c r="BC205" i="13" s="1"/>
  <c r="BC204" i="13" s="1"/>
  <c r="BC183" i="13"/>
  <c r="BC182" i="13" s="1"/>
  <c r="BC124" i="13"/>
  <c r="BC123" i="13" s="1"/>
  <c r="Q181" i="13"/>
  <c r="Q217" i="13"/>
  <c r="BC18" i="13" l="1"/>
  <c r="BC17" i="13" s="1"/>
  <c r="BC16" i="13" s="1"/>
  <c r="BC15" i="13" s="1"/>
  <c r="BC67" i="13"/>
  <c r="BC146" i="13"/>
  <c r="C37" i="25"/>
  <c r="C36" i="25"/>
  <c r="BC61" i="13" l="1"/>
  <c r="BC60" i="13" s="1"/>
  <c r="BC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Q126" i="13"/>
  <c r="F65" i="23"/>
  <c r="Q23" i="13"/>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4" i="16"/>
  <c r="BB225" i="13"/>
  <c r="BB228" i="13"/>
  <c r="BB227" i="13" s="1"/>
  <c r="BB221" i="13"/>
  <c r="BB215" i="13"/>
  <c r="BB208" i="13"/>
  <c r="BB200" i="13"/>
  <c r="BB197" i="13"/>
  <c r="BB193" i="13"/>
  <c r="BB190" i="13"/>
  <c r="BB187" i="13"/>
  <c r="BB184" i="13"/>
  <c r="BB178" i="13"/>
  <c r="BB177" i="13" s="1"/>
  <c r="BB171" i="13"/>
  <c r="BB167" i="13"/>
  <c r="BB160" i="13"/>
  <c r="BB154" i="13"/>
  <c r="BB149" i="13"/>
  <c r="BB144" i="13"/>
  <c r="BB143" i="13" s="1"/>
  <c r="BB142" i="13" s="1"/>
  <c r="BB141" i="13" s="1"/>
  <c r="BB137" i="13"/>
  <c r="BB134" i="13"/>
  <c r="BB131" i="13"/>
  <c r="BB128" i="13"/>
  <c r="BB125" i="13"/>
  <c r="BB118" i="13"/>
  <c r="BB113" i="13"/>
  <c r="BB108" i="13"/>
  <c r="BB102" i="13"/>
  <c r="BB95" i="13"/>
  <c r="BB91" i="13"/>
  <c r="BB86" i="13"/>
  <c r="BB82" i="13"/>
  <c r="BB78" i="13"/>
  <c r="BB70" i="13"/>
  <c r="BB69" i="13" s="1"/>
  <c r="BB68" i="13" s="1"/>
  <c r="BB65" i="13"/>
  <c r="BB64" i="13" s="1"/>
  <c r="BB63" i="13" s="1"/>
  <c r="BB62" i="13" s="1"/>
  <c r="BB54" i="13"/>
  <c r="BB53" i="13" s="1"/>
  <c r="BB48" i="13"/>
  <c r="BB41" i="13"/>
  <c r="BB33" i="13"/>
  <c r="BB29" i="13"/>
  <c r="BB28" i="13" s="1"/>
  <c r="BB24" i="13"/>
  <c r="BB20" i="13"/>
  <c r="G13" i="24" l="1"/>
  <c r="J14" i="24"/>
  <c r="K14" i="24" s="1"/>
  <c r="I14" i="24"/>
  <c r="O8" i="23"/>
  <c r="J31" i="25" s="1"/>
  <c r="BB166" i="13"/>
  <c r="BB124" i="13"/>
  <c r="BB123" i="13" s="1"/>
  <c r="BB183" i="13"/>
  <c r="BB182" i="13" s="1"/>
  <c r="AU144" i="16"/>
  <c r="BB207" i="13"/>
  <c r="BB206" i="13" s="1"/>
  <c r="BB205" i="13" s="1"/>
  <c r="BB204" i="13" s="1"/>
  <c r="BB148" i="13"/>
  <c r="BB147" i="13" s="1"/>
  <c r="BB77" i="13"/>
  <c r="BB76" i="13" s="1"/>
  <c r="BB67" i="13" s="1"/>
  <c r="BB165" i="13"/>
  <c r="BB32" i="13"/>
  <c r="BB19" i="13"/>
  <c r="Q31" i="13"/>
  <c r="BA178" i="13"/>
  <c r="BA177" i="13" s="1"/>
  <c r="BA167" i="13"/>
  <c r="AZ167" i="13"/>
  <c r="BA154" i="13"/>
  <c r="AZ154" i="13"/>
  <c r="AY154" i="13"/>
  <c r="BA144" i="13"/>
  <c r="AZ144" i="13"/>
  <c r="AZ143" i="13" s="1"/>
  <c r="AZ142" i="13" s="1"/>
  <c r="AZ141" i="13" s="1"/>
  <c r="AR231" i="13"/>
  <c r="AR152" i="13"/>
  <c r="AS152" i="13" s="1"/>
  <c r="AR150" i="13"/>
  <c r="AT150" i="13" s="1"/>
  <c r="AU150" i="13" s="1"/>
  <c r="AR145" i="13"/>
  <c r="AT145" i="13" s="1"/>
  <c r="AR140" i="13"/>
  <c r="AT140" i="13" s="1"/>
  <c r="AU140" i="13" s="1"/>
  <c r="AR139" i="13"/>
  <c r="AS139" i="13" s="1"/>
  <c r="AR138" i="13"/>
  <c r="AT138" i="13" s="1"/>
  <c r="AU138" i="13" s="1"/>
  <c r="AR135" i="13"/>
  <c r="AT135" i="13" s="1"/>
  <c r="AU135" i="13" s="1"/>
  <c r="AR136" i="13"/>
  <c r="AT136" i="13" s="1"/>
  <c r="AR133" i="13"/>
  <c r="AT133" i="13" s="1"/>
  <c r="AU133" i="13" s="1"/>
  <c r="AR130" i="13"/>
  <c r="AS130" i="13" s="1"/>
  <c r="AY128" i="13"/>
  <c r="AR155" i="13"/>
  <c r="AR151" i="13"/>
  <c r="AS151" i="13" s="1"/>
  <c r="AR153" i="13"/>
  <c r="AS153" i="13" s="1"/>
  <c r="AD55" i="16"/>
  <c r="AC55" i="16"/>
  <c r="AB55" i="16"/>
  <c r="AA55" i="16"/>
  <c r="Z55" i="16"/>
  <c r="Y55" i="16"/>
  <c r="X55" i="16"/>
  <c r="W55" i="16"/>
  <c r="V55" i="16"/>
  <c r="U55" i="16"/>
  <c r="T55" i="16"/>
  <c r="S55" i="16"/>
  <c r="T54" i="16"/>
  <c r="S54" i="16"/>
  <c r="S53" i="16"/>
  <c r="S142" i="16"/>
  <c r="S141" i="16"/>
  <c r="S138" i="16"/>
  <c r="S137" i="16"/>
  <c r="S135" i="16"/>
  <c r="S134" i="16"/>
  <c r="S133" i="16"/>
  <c r="S132" i="16"/>
  <c r="S130" i="16"/>
  <c r="S129" i="16"/>
  <c r="S128" i="16"/>
  <c r="S127" i="16"/>
  <c r="S126" i="16"/>
  <c r="S124" i="16"/>
  <c r="S123" i="16"/>
  <c r="S121" i="16"/>
  <c r="S119" i="16"/>
  <c r="S118" i="16"/>
  <c r="S116" i="16"/>
  <c r="S114" i="16"/>
  <c r="S112" i="16"/>
  <c r="S110" i="16"/>
  <c r="S109" i="16"/>
  <c r="S107" i="16"/>
  <c r="S106" i="16"/>
  <c r="S105" i="16"/>
  <c r="S104" i="16"/>
  <c r="S102" i="16"/>
  <c r="S101" i="16"/>
  <c r="S99" i="16"/>
  <c r="S98" i="16"/>
  <c r="S97" i="16"/>
  <c r="S95" i="16"/>
  <c r="S94" i="16"/>
  <c r="S93" i="16"/>
  <c r="S92" i="16"/>
  <c r="S90" i="16"/>
  <c r="S89" i="16"/>
  <c r="S88" i="16"/>
  <c r="S85" i="16"/>
  <c r="S84" i="16"/>
  <c r="S82" i="16"/>
  <c r="S80" i="16"/>
  <c r="S78" i="16"/>
  <c r="S76" i="16"/>
  <c r="S74" i="16"/>
  <c r="S73" i="16"/>
  <c r="S72" i="16"/>
  <c r="S70" i="16"/>
  <c r="S69" i="16"/>
  <c r="S68" i="16"/>
  <c r="S66" i="16"/>
  <c r="S65" i="16"/>
  <c r="S64" i="16"/>
  <c r="S62" i="16"/>
  <c r="S61" i="16"/>
  <c r="S60" i="16"/>
  <c r="S59" i="16"/>
  <c r="S57" i="16"/>
  <c r="S56"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4" i="16"/>
  <c r="AS53" i="16"/>
  <c r="AS52" i="16"/>
  <c r="AS51" i="16"/>
  <c r="AS50" i="16"/>
  <c r="AS49" i="16"/>
  <c r="AS48" i="16"/>
  <c r="AS47" i="16"/>
  <c r="AS46" i="16"/>
  <c r="AS45" i="16"/>
  <c r="AS44" i="16"/>
  <c r="AS43" i="16"/>
  <c r="AS42" i="16"/>
  <c r="AS41" i="16"/>
  <c r="AS40" i="16"/>
  <c r="AS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AS8" i="16"/>
  <c r="AS7" i="16"/>
  <c r="AS6" i="16"/>
  <c r="AS5" i="16"/>
  <c r="AS4"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18" i="16"/>
  <c r="AR17" i="16"/>
  <c r="AR16" i="16"/>
  <c r="AR15" i="16"/>
  <c r="AR14" i="16"/>
  <c r="AR13" i="16"/>
  <c r="AR12" i="16"/>
  <c r="AR11" i="16"/>
  <c r="AR10" i="16"/>
  <c r="AR9" i="16"/>
  <c r="AR8" i="16"/>
  <c r="AR7" i="16"/>
  <c r="AR6" i="16"/>
  <c r="AR5" i="16"/>
  <c r="AR4" i="16"/>
  <c r="AR20" i="16"/>
  <c r="AR21" i="16"/>
  <c r="AR22" i="16"/>
  <c r="AR23" i="16"/>
  <c r="AR24" i="16"/>
  <c r="AR19" i="16"/>
  <c r="AZ225" i="13"/>
  <c r="BA225" i="13"/>
  <c r="AZ228" i="13"/>
  <c r="AZ227" i="13" s="1"/>
  <c r="BA228" i="13"/>
  <c r="BA227" i="13" s="1"/>
  <c r="AZ221" i="13"/>
  <c r="BA221" i="13"/>
  <c r="AZ215" i="13"/>
  <c r="BA215" i="13"/>
  <c r="AZ208" i="13"/>
  <c r="BA208" i="13"/>
  <c r="AZ200" i="13"/>
  <c r="BA200" i="13"/>
  <c r="AZ197" i="13"/>
  <c r="BA197" i="13"/>
  <c r="AZ193" i="13"/>
  <c r="BA193" i="13"/>
  <c r="AZ190" i="13"/>
  <c r="BA190" i="13"/>
  <c r="AZ187" i="13"/>
  <c r="BA187" i="13"/>
  <c r="AZ184" i="13"/>
  <c r="BA184" i="13"/>
  <c r="AZ178" i="13"/>
  <c r="AZ177" i="13" s="1"/>
  <c r="AZ171" i="13"/>
  <c r="BA171" i="13"/>
  <c r="AZ160" i="13"/>
  <c r="BA160" i="13"/>
  <c r="BA143" i="13"/>
  <c r="BA142" i="13" s="1"/>
  <c r="BA141" i="13" s="1"/>
  <c r="AZ149" i="13"/>
  <c r="BA149" i="13"/>
  <c r="AZ137" i="13"/>
  <c r="BA137" i="13"/>
  <c r="AZ134" i="13"/>
  <c r="BA134" i="13"/>
  <c r="AZ131" i="13"/>
  <c r="BA131" i="13"/>
  <c r="AZ128" i="13"/>
  <c r="BA128" i="13"/>
  <c r="AZ125" i="13"/>
  <c r="BA125" i="13"/>
  <c r="AZ118" i="13"/>
  <c r="BA118" i="13"/>
  <c r="AZ113" i="13"/>
  <c r="BA113" i="13"/>
  <c r="AZ108" i="13"/>
  <c r="BA108" i="13"/>
  <c r="AZ102" i="13"/>
  <c r="BA102" i="13"/>
  <c r="AZ95" i="13"/>
  <c r="BA95" i="13"/>
  <c r="AZ91" i="13"/>
  <c r="BA91" i="13"/>
  <c r="AZ86" i="13"/>
  <c r="BA86" i="13"/>
  <c r="AZ82" i="13"/>
  <c r="BA82" i="13"/>
  <c r="AZ78" i="13"/>
  <c r="BA78" i="13"/>
  <c r="AZ70" i="13"/>
  <c r="AZ69" i="13" s="1"/>
  <c r="AZ68" i="13" s="1"/>
  <c r="BA70" i="13"/>
  <c r="BA69" i="13" s="1"/>
  <c r="BA68" i="13" s="1"/>
  <c r="AZ65" i="13"/>
  <c r="AZ64" i="13" s="1"/>
  <c r="AZ63" i="13" s="1"/>
  <c r="AZ62" i="13" s="1"/>
  <c r="BA65" i="13"/>
  <c r="BA64" i="13" s="1"/>
  <c r="BA63" i="13" s="1"/>
  <c r="BA62" i="13" s="1"/>
  <c r="AZ54" i="13"/>
  <c r="AZ53" i="13" s="1"/>
  <c r="BA54" i="13"/>
  <c r="BA53" i="13" s="1"/>
  <c r="AZ48" i="13"/>
  <c r="BA48" i="13"/>
  <c r="BA41" i="13"/>
  <c r="AZ33" i="13"/>
  <c r="BA33" i="13"/>
  <c r="AZ29" i="13"/>
  <c r="AZ28" i="13" s="1"/>
  <c r="BA29" i="13"/>
  <c r="BA28" i="13" s="1"/>
  <c r="AZ24" i="13"/>
  <c r="BA24" i="13"/>
  <c r="BA20" i="13"/>
  <c r="AZ41" i="13"/>
  <c r="AZ20" i="13"/>
  <c r="AY228" i="13"/>
  <c r="AY227" i="13" s="1"/>
  <c r="AY225" i="13"/>
  <c r="AY221" i="13"/>
  <c r="AY215" i="13"/>
  <c r="AY208" i="13"/>
  <c r="AY200" i="13"/>
  <c r="AY197" i="13"/>
  <c r="AY193" i="13"/>
  <c r="AY190" i="13"/>
  <c r="AY187" i="13"/>
  <c r="AY184" i="13"/>
  <c r="AY178" i="13"/>
  <c r="AY177" i="13" s="1"/>
  <c r="AY171" i="13"/>
  <c r="AY167" i="13"/>
  <c r="AY160" i="13"/>
  <c r="I154" i="13"/>
  <c r="J154" i="13"/>
  <c r="K154" i="13"/>
  <c r="L154" i="13"/>
  <c r="M154" i="13"/>
  <c r="N154" i="13"/>
  <c r="O154" i="13"/>
  <c r="P154" i="13"/>
  <c r="Q154" i="13"/>
  <c r="R154" i="13"/>
  <c r="S154" i="13"/>
  <c r="T154" i="13"/>
  <c r="U154" i="13"/>
  <c r="W154" i="13"/>
  <c r="X154" i="13"/>
  <c r="Y154" i="13"/>
  <c r="Z154" i="13"/>
  <c r="AA154" i="13"/>
  <c r="AB154" i="13"/>
  <c r="AC154" i="13"/>
  <c r="AD154" i="13"/>
  <c r="AE154" i="13"/>
  <c r="AF154" i="13"/>
  <c r="AG154" i="13"/>
  <c r="AH154" i="13"/>
  <c r="AI154" i="13"/>
  <c r="AJ154" i="13"/>
  <c r="AK154" i="13"/>
  <c r="AL154" i="13"/>
  <c r="AM154" i="13"/>
  <c r="AN154" i="13"/>
  <c r="AO154" i="13"/>
  <c r="AP154" i="13"/>
  <c r="AQ154" i="13"/>
  <c r="I149" i="13"/>
  <c r="J149" i="13"/>
  <c r="K149" i="13"/>
  <c r="L149" i="13"/>
  <c r="M149" i="13"/>
  <c r="N149" i="13"/>
  <c r="O149" i="13"/>
  <c r="P149" i="13"/>
  <c r="Q149" i="13"/>
  <c r="R149" i="13"/>
  <c r="S149" i="13"/>
  <c r="T149" i="13"/>
  <c r="U149" i="13"/>
  <c r="W149" i="13"/>
  <c r="X149" i="13"/>
  <c r="Y149" i="13"/>
  <c r="Z149" i="13"/>
  <c r="AA149" i="13"/>
  <c r="AB149" i="13"/>
  <c r="AC149" i="13"/>
  <c r="AD149" i="13"/>
  <c r="AE149" i="13"/>
  <c r="AF149" i="13"/>
  <c r="AG149" i="13"/>
  <c r="AH149" i="13"/>
  <c r="AI149" i="13"/>
  <c r="AJ149" i="13"/>
  <c r="AK149" i="13"/>
  <c r="AL149" i="13"/>
  <c r="AM149" i="13"/>
  <c r="AN149" i="13"/>
  <c r="AO149" i="13"/>
  <c r="AP149" i="13"/>
  <c r="AQ149" i="13"/>
  <c r="AY149" i="13"/>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Y144" i="13"/>
  <c r="AY143" i="13" s="1"/>
  <c r="AY142" i="13" s="1"/>
  <c r="AY141" i="13" s="1"/>
  <c r="I137" i="13"/>
  <c r="J137" i="13"/>
  <c r="K137" i="13"/>
  <c r="L137" i="13"/>
  <c r="M137" i="13"/>
  <c r="N137" i="13"/>
  <c r="O137" i="13"/>
  <c r="P137" i="13"/>
  <c r="Q137" i="13"/>
  <c r="R137" i="13"/>
  <c r="S137" i="13"/>
  <c r="T137" i="13"/>
  <c r="U137" i="13"/>
  <c r="W137" i="13"/>
  <c r="X137" i="13"/>
  <c r="Y137" i="13"/>
  <c r="Z137" i="13"/>
  <c r="AA137" i="13"/>
  <c r="AB137" i="13"/>
  <c r="AC137" i="13"/>
  <c r="AD137" i="13"/>
  <c r="AE137" i="13"/>
  <c r="AF137" i="13"/>
  <c r="AG137" i="13"/>
  <c r="AH137" i="13"/>
  <c r="AI137" i="13"/>
  <c r="AJ137" i="13"/>
  <c r="AK137" i="13"/>
  <c r="AL137" i="13"/>
  <c r="AM137" i="13"/>
  <c r="AN137" i="13"/>
  <c r="AO137" i="13"/>
  <c r="AP137" i="13"/>
  <c r="AQ137" i="13"/>
  <c r="AY137" i="13"/>
  <c r="I134" i="13"/>
  <c r="J134" i="13"/>
  <c r="K134" i="13"/>
  <c r="L134" i="13"/>
  <c r="M134" i="13"/>
  <c r="N134" i="13"/>
  <c r="O134" i="13"/>
  <c r="P134" i="13"/>
  <c r="Q134" i="13"/>
  <c r="R134" i="13"/>
  <c r="S134" i="13"/>
  <c r="T134" i="13"/>
  <c r="U134" i="13"/>
  <c r="W134" i="13"/>
  <c r="X134" i="13"/>
  <c r="Y134" i="13"/>
  <c r="Z134" i="13"/>
  <c r="AA134" i="13"/>
  <c r="AB134" i="13"/>
  <c r="AC134" i="13"/>
  <c r="AD134" i="13"/>
  <c r="AE134" i="13"/>
  <c r="AF134" i="13"/>
  <c r="AG134" i="13"/>
  <c r="AH134" i="13"/>
  <c r="AI134" i="13"/>
  <c r="AJ134" i="13"/>
  <c r="AK134" i="13"/>
  <c r="AL134" i="13"/>
  <c r="AM134" i="13"/>
  <c r="AN134" i="13"/>
  <c r="AO134" i="13"/>
  <c r="AP134" i="13"/>
  <c r="AQ134" i="13"/>
  <c r="AY134" i="13"/>
  <c r="I131" i="13"/>
  <c r="J131" i="13"/>
  <c r="K131" i="13"/>
  <c r="L131" i="13"/>
  <c r="M131" i="13"/>
  <c r="N131" i="13"/>
  <c r="P131" i="13"/>
  <c r="Q131" i="13"/>
  <c r="R131" i="13"/>
  <c r="S131" i="13"/>
  <c r="T131" i="13"/>
  <c r="U131" i="13"/>
  <c r="W131" i="13"/>
  <c r="X131" i="13"/>
  <c r="Y131" i="13"/>
  <c r="Z131" i="13"/>
  <c r="AA131" i="13"/>
  <c r="AB131" i="13"/>
  <c r="AC131" i="13"/>
  <c r="AD131" i="13"/>
  <c r="AE131" i="13"/>
  <c r="AF131" i="13"/>
  <c r="AG131" i="13"/>
  <c r="AH131" i="13"/>
  <c r="AI131" i="13"/>
  <c r="AJ131" i="13"/>
  <c r="AK131" i="13"/>
  <c r="AL131" i="13"/>
  <c r="AM131" i="13"/>
  <c r="AN131" i="13"/>
  <c r="AO131" i="13"/>
  <c r="AP131" i="13"/>
  <c r="AQ131" i="13"/>
  <c r="AY131" i="13"/>
  <c r="O132" i="13"/>
  <c r="AR132" i="13" s="1"/>
  <c r="AT132" i="13" s="1"/>
  <c r="AU132" i="13" s="1"/>
  <c r="I128" i="13"/>
  <c r="J128" i="13"/>
  <c r="K128" i="13"/>
  <c r="L128" i="13"/>
  <c r="M128" i="13"/>
  <c r="N128" i="13"/>
  <c r="P128" i="13"/>
  <c r="Q128" i="13"/>
  <c r="R128" i="13"/>
  <c r="S128" i="13"/>
  <c r="T128" i="13"/>
  <c r="U128" i="13"/>
  <c r="W128" i="13"/>
  <c r="X128" i="13"/>
  <c r="Y128" i="13"/>
  <c r="Z128" i="13"/>
  <c r="AA128" i="13"/>
  <c r="AB128" i="13"/>
  <c r="AC128" i="13"/>
  <c r="AD128" i="13"/>
  <c r="AE128" i="13"/>
  <c r="AF128" i="13"/>
  <c r="AG128" i="13"/>
  <c r="AH128" i="13"/>
  <c r="AI128" i="13"/>
  <c r="AJ128" i="13"/>
  <c r="AK128" i="13"/>
  <c r="AL128" i="13"/>
  <c r="AM128" i="13"/>
  <c r="AN128" i="13"/>
  <c r="AO128" i="13"/>
  <c r="AP128" i="13"/>
  <c r="AQ128" i="13"/>
  <c r="AY125" i="13"/>
  <c r="AY118" i="13"/>
  <c r="AY113" i="13"/>
  <c r="AY108" i="13"/>
  <c r="AY102" i="13"/>
  <c r="AY95" i="13"/>
  <c r="AY91" i="13"/>
  <c r="AY86" i="13"/>
  <c r="AY82" i="13"/>
  <c r="AY78" i="13"/>
  <c r="AY70" i="13"/>
  <c r="AY69" i="13" s="1"/>
  <c r="AY68" i="13" s="1"/>
  <c r="AY65" i="13"/>
  <c r="AY64" i="13" s="1"/>
  <c r="AY63" i="13" s="1"/>
  <c r="AY62" i="13" s="1"/>
  <c r="AY54" i="13"/>
  <c r="AY53" i="13" s="1"/>
  <c r="AY48" i="13"/>
  <c r="AY41" i="13"/>
  <c r="AY33" i="13"/>
  <c r="AY29" i="13"/>
  <c r="AY28" i="13" s="1"/>
  <c r="AY24" i="13"/>
  <c r="AY20" i="13"/>
  <c r="H20" i="13"/>
  <c r="G12" i="24" l="1"/>
  <c r="J13" i="24"/>
  <c r="K13" i="24" s="1"/>
  <c r="I13" i="24"/>
  <c r="BB146" i="13"/>
  <c r="BB61" i="13" s="1"/>
  <c r="BB60" i="13" s="1"/>
  <c r="AS136" i="13"/>
  <c r="AT151" i="13"/>
  <c r="AU151" i="13" s="1"/>
  <c r="BB18" i="13"/>
  <c r="BB17" i="13" s="1"/>
  <c r="BB16" i="13" s="1"/>
  <c r="BB15" i="13" s="1"/>
  <c r="AT153" i="13"/>
  <c r="AU153" i="13" s="1"/>
  <c r="AS133" i="13"/>
  <c r="AT152" i="13"/>
  <c r="AU152" i="13" s="1"/>
  <c r="AU145" i="13"/>
  <c r="AS145" i="13"/>
  <c r="AS140" i="13"/>
  <c r="AT139" i="13"/>
  <c r="AU139" i="13" s="1"/>
  <c r="AS138" i="13"/>
  <c r="AS135" i="13"/>
  <c r="AS132" i="13"/>
  <c r="AT130" i="13"/>
  <c r="AU130" i="13" s="1"/>
  <c r="AS150" i="13"/>
  <c r="AJ55" i="16"/>
  <c r="AK55" i="16" s="1"/>
  <c r="AZ166" i="13"/>
  <c r="AZ165" i="13" s="1"/>
  <c r="BA124" i="13"/>
  <c r="BA123" i="13" s="1"/>
  <c r="AY166" i="13"/>
  <c r="AY165" i="13" s="1"/>
  <c r="AZ77" i="13"/>
  <c r="AZ76" i="13" s="1"/>
  <c r="BA148" i="13"/>
  <c r="BA147" i="13" s="1"/>
  <c r="BA166" i="13"/>
  <c r="BA165" i="13" s="1"/>
  <c r="AZ207" i="13"/>
  <c r="BA77" i="13"/>
  <c r="BA76" i="13" s="1"/>
  <c r="AZ148" i="13"/>
  <c r="AZ147" i="13" s="1"/>
  <c r="AZ32" i="13"/>
  <c r="O131" i="13"/>
  <c r="AY124" i="13"/>
  <c r="AY123" i="13" s="1"/>
  <c r="AZ124" i="13"/>
  <c r="AZ123" i="13" s="1"/>
  <c r="BA183" i="13"/>
  <c r="BA182" i="13" s="1"/>
  <c r="BA207" i="13"/>
  <c r="BA206" i="13" s="1"/>
  <c r="BA205" i="13" s="1"/>
  <c r="BA204" i="13" s="1"/>
  <c r="AS144" i="16"/>
  <c r="AT144" i="16"/>
  <c r="AR144" i="16"/>
  <c r="AZ206" i="13"/>
  <c r="AZ205" i="13" s="1"/>
  <c r="AZ204" i="13" s="1"/>
  <c r="AZ183" i="13"/>
  <c r="AZ182" i="13" s="1"/>
  <c r="BA32" i="13"/>
  <c r="BA19" i="13"/>
  <c r="AY148" i="13"/>
  <c r="AY147" i="13" s="1"/>
  <c r="AY19" i="13"/>
  <c r="AY183" i="13"/>
  <c r="AY182" i="13" s="1"/>
  <c r="AY207" i="13"/>
  <c r="AY206" i="13" s="1"/>
  <c r="AY205" i="13" s="1"/>
  <c r="AY204" i="13" s="1"/>
  <c r="AZ19" i="13"/>
  <c r="AU136" i="13"/>
  <c r="AY77" i="13"/>
  <c r="AY76" i="13" s="1"/>
  <c r="AY32" i="13"/>
  <c r="I12" i="24" l="1"/>
  <c r="J12" i="24"/>
  <c r="K12" i="24" s="1"/>
  <c r="C7" i="24"/>
  <c r="BB14" i="13"/>
  <c r="AL55" i="16"/>
  <c r="AM55" i="16" s="1"/>
  <c r="AY67" i="13"/>
  <c r="BA67" i="13"/>
  <c r="AZ67" i="13"/>
  <c r="BA146" i="13"/>
  <c r="AZ146" i="13"/>
  <c r="AY18" i="13"/>
  <c r="AY17" i="13" s="1"/>
  <c r="AY16" i="13" s="1"/>
  <c r="AY15" i="13" s="1"/>
  <c r="AZ18" i="13"/>
  <c r="AZ17" i="13" s="1"/>
  <c r="AZ16" i="13" s="1"/>
  <c r="AZ15" i="13" s="1"/>
  <c r="AY146" i="13"/>
  <c r="BA18" i="13"/>
  <c r="BA17" i="13" s="1"/>
  <c r="BA16" i="13" s="1"/>
  <c r="BA15" i="13" s="1"/>
  <c r="AY61" i="13" l="1"/>
  <c r="AY60" i="13" s="1"/>
  <c r="AY14" i="13" s="1"/>
  <c r="BA61" i="13"/>
  <c r="BA60" i="13" s="1"/>
  <c r="BA14" i="13" s="1"/>
  <c r="AZ61" i="13"/>
  <c r="AZ60" i="13" s="1"/>
  <c r="AZ14" i="13" s="1"/>
  <c r="O129" i="13"/>
  <c r="O126" i="13"/>
  <c r="AR126" i="13" s="1"/>
  <c r="AT126" i="13" s="1"/>
  <c r="AU126" i="13" s="1"/>
  <c r="O84" i="13"/>
  <c r="O128" i="13" l="1"/>
  <c r="AR129" i="13"/>
  <c r="U4" i="16"/>
  <c r="AQ48" i="13"/>
  <c r="U54" i="16"/>
  <c r="V54" i="16"/>
  <c r="W54" i="16"/>
  <c r="X54" i="16"/>
  <c r="Y54" i="16"/>
  <c r="Z54" i="16"/>
  <c r="AA54" i="16"/>
  <c r="AB54" i="16"/>
  <c r="AC54" i="16"/>
  <c r="AD54" i="16"/>
  <c r="U56" i="16"/>
  <c r="V56" i="16"/>
  <c r="W56" i="16"/>
  <c r="X56" i="16"/>
  <c r="Y56" i="16"/>
  <c r="Z56" i="16"/>
  <c r="AA56" i="16"/>
  <c r="AB56" i="16"/>
  <c r="AC56" i="16"/>
  <c r="AD56" i="16"/>
  <c r="U57" i="16"/>
  <c r="V57" i="16"/>
  <c r="W57" i="16"/>
  <c r="X57" i="16"/>
  <c r="Y57" i="16"/>
  <c r="Z57" i="16"/>
  <c r="AA57" i="16"/>
  <c r="AB57" i="16"/>
  <c r="AC57" i="16"/>
  <c r="AD57" i="16"/>
  <c r="U58" i="16"/>
  <c r="V58" i="16"/>
  <c r="W58" i="16"/>
  <c r="X58" i="16"/>
  <c r="Y58" i="16"/>
  <c r="Z58" i="16"/>
  <c r="AA58" i="16"/>
  <c r="AB58" i="16"/>
  <c r="AC58" i="16"/>
  <c r="AD58" i="16"/>
  <c r="AD53" i="16"/>
  <c r="AC53" i="16"/>
  <c r="AB53" i="16"/>
  <c r="AA53" i="16"/>
  <c r="Z53" i="16"/>
  <c r="Y53" i="16"/>
  <c r="X53" i="16"/>
  <c r="W53" i="16"/>
  <c r="V53" i="16"/>
  <c r="U53" i="16"/>
  <c r="H228" i="13"/>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H149" i="13"/>
  <c r="H144" i="13"/>
  <c r="AR144" i="13" s="1"/>
  <c r="H128" i="13"/>
  <c r="H125" i="13"/>
  <c r="I125" i="13"/>
  <c r="J125" i="13"/>
  <c r="K125" i="13"/>
  <c r="L125" i="13"/>
  <c r="M125" i="13"/>
  <c r="N125" i="13"/>
  <c r="O125" i="13"/>
  <c r="P125" i="13"/>
  <c r="Q125" i="13"/>
  <c r="R125" i="13"/>
  <c r="S125" i="13"/>
  <c r="T125" i="13"/>
  <c r="U125" i="13"/>
  <c r="W125" i="13"/>
  <c r="X125" i="13"/>
  <c r="Y125" i="13"/>
  <c r="Z125" i="13"/>
  <c r="AA125" i="13"/>
  <c r="AB125" i="13"/>
  <c r="AC125" i="13"/>
  <c r="AD125" i="13"/>
  <c r="AE125" i="13"/>
  <c r="AF125" i="13"/>
  <c r="AG125" i="13"/>
  <c r="AH125" i="13"/>
  <c r="AI125" i="13"/>
  <c r="AJ125" i="13"/>
  <c r="AK125" i="13"/>
  <c r="AL125" i="13"/>
  <c r="AM125" i="13"/>
  <c r="AN125" i="13"/>
  <c r="AO125" i="13"/>
  <c r="AP125" i="13"/>
  <c r="AQ125" i="13"/>
  <c r="H118" i="13"/>
  <c r="I118" i="13"/>
  <c r="J118" i="13"/>
  <c r="K118" i="13"/>
  <c r="L118" i="13"/>
  <c r="M118" i="13"/>
  <c r="N118" i="13"/>
  <c r="O118" i="13"/>
  <c r="P118" i="13"/>
  <c r="Q118" i="13"/>
  <c r="R118" i="13"/>
  <c r="S118" i="13"/>
  <c r="T118" i="13"/>
  <c r="U118" i="13"/>
  <c r="W118" i="13"/>
  <c r="X118" i="13"/>
  <c r="Y118" i="13"/>
  <c r="Z118" i="13"/>
  <c r="AA118" i="13"/>
  <c r="AB118" i="13"/>
  <c r="AC118" i="13"/>
  <c r="AD118" i="13"/>
  <c r="AE118" i="13"/>
  <c r="AF118" i="13"/>
  <c r="AG118" i="13"/>
  <c r="AH118" i="13"/>
  <c r="AI118" i="13"/>
  <c r="AJ118" i="13"/>
  <c r="AK118" i="13"/>
  <c r="AL118" i="13"/>
  <c r="AM118" i="13"/>
  <c r="AN118" i="13"/>
  <c r="AO118" i="13"/>
  <c r="AP118" i="13"/>
  <c r="AQ118" i="13"/>
  <c r="AQ113" i="13"/>
  <c r="AP113" i="13"/>
  <c r="AO113" i="13"/>
  <c r="AN113" i="13"/>
  <c r="AM113" i="13"/>
  <c r="AL113" i="13"/>
  <c r="AK113" i="13"/>
  <c r="AJ113" i="13"/>
  <c r="AI113" i="13"/>
  <c r="AH113" i="13"/>
  <c r="AG113" i="13"/>
  <c r="AF113" i="13"/>
  <c r="AE113" i="13"/>
  <c r="AD113" i="13"/>
  <c r="AC113" i="13"/>
  <c r="AB113" i="13"/>
  <c r="AA113" i="13"/>
  <c r="Z113" i="13"/>
  <c r="Y113" i="13"/>
  <c r="X113" i="13"/>
  <c r="W113" i="13"/>
  <c r="U113" i="13"/>
  <c r="T113" i="13"/>
  <c r="S113" i="13"/>
  <c r="R113" i="13"/>
  <c r="Q113" i="13"/>
  <c r="P113" i="13"/>
  <c r="O113" i="13"/>
  <c r="N113" i="13"/>
  <c r="M113" i="13"/>
  <c r="L113" i="13"/>
  <c r="K113" i="13"/>
  <c r="J113" i="13"/>
  <c r="I113" i="13"/>
  <c r="H113" i="13"/>
  <c r="AQ108" i="13"/>
  <c r="AP108" i="13"/>
  <c r="AO108" i="13"/>
  <c r="AN108" i="13"/>
  <c r="AM108" i="13"/>
  <c r="AL108" i="13"/>
  <c r="AK108" i="13"/>
  <c r="AJ108" i="13"/>
  <c r="AI108" i="13"/>
  <c r="AH108" i="13"/>
  <c r="AG108" i="13"/>
  <c r="AF108" i="13"/>
  <c r="AE108" i="13"/>
  <c r="AD108" i="13"/>
  <c r="AC108" i="13"/>
  <c r="AB108" i="13"/>
  <c r="AA108" i="13"/>
  <c r="Z108" i="13"/>
  <c r="Y108" i="13"/>
  <c r="X108" i="13"/>
  <c r="W108" i="13"/>
  <c r="U108" i="13"/>
  <c r="T108" i="13"/>
  <c r="S108" i="13"/>
  <c r="R108" i="13"/>
  <c r="Q108" i="13"/>
  <c r="P108" i="13"/>
  <c r="O108" i="13"/>
  <c r="N108" i="13"/>
  <c r="M108" i="13"/>
  <c r="L108" i="13"/>
  <c r="K108" i="13"/>
  <c r="J108" i="13"/>
  <c r="I108" i="13"/>
  <c r="H108" i="13"/>
  <c r="AQ102" i="13"/>
  <c r="AP102" i="13"/>
  <c r="AO102" i="13"/>
  <c r="AN102" i="13"/>
  <c r="AM102" i="13"/>
  <c r="AL102" i="13"/>
  <c r="AK102" i="13"/>
  <c r="AJ102" i="13"/>
  <c r="AI102" i="13"/>
  <c r="AH102" i="13"/>
  <c r="AG102" i="13"/>
  <c r="AF102" i="13"/>
  <c r="AE102" i="13"/>
  <c r="AD102" i="13"/>
  <c r="AC102" i="13"/>
  <c r="AB102" i="13"/>
  <c r="AA102" i="13"/>
  <c r="Z102" i="13"/>
  <c r="Y102" i="13"/>
  <c r="X102" i="13"/>
  <c r="W102" i="13"/>
  <c r="U102" i="13"/>
  <c r="T102" i="13"/>
  <c r="S102" i="13"/>
  <c r="R102" i="13"/>
  <c r="Q102" i="13"/>
  <c r="P102" i="13"/>
  <c r="O102" i="13"/>
  <c r="N102" i="13"/>
  <c r="M102" i="13"/>
  <c r="L102" i="13"/>
  <c r="K102" i="13"/>
  <c r="J102" i="13"/>
  <c r="I102" i="13"/>
  <c r="H102" i="13"/>
  <c r="AQ95" i="13"/>
  <c r="AP95" i="13"/>
  <c r="AO95" i="13"/>
  <c r="AN95" i="13"/>
  <c r="AM95" i="13"/>
  <c r="AL95" i="13"/>
  <c r="AK95" i="13"/>
  <c r="AJ95" i="13"/>
  <c r="AI95" i="13"/>
  <c r="AH95" i="13"/>
  <c r="AG95" i="13"/>
  <c r="AF95" i="13"/>
  <c r="AE95" i="13"/>
  <c r="AD95" i="13"/>
  <c r="AC95" i="13"/>
  <c r="AB95" i="13"/>
  <c r="AA95" i="13"/>
  <c r="Z95" i="13"/>
  <c r="Y95" i="13"/>
  <c r="X95" i="13"/>
  <c r="W95" i="13"/>
  <c r="U95" i="13"/>
  <c r="T95" i="13"/>
  <c r="S95" i="13"/>
  <c r="R95" i="13"/>
  <c r="Q95" i="13"/>
  <c r="P95" i="13"/>
  <c r="O95" i="13"/>
  <c r="N95" i="13"/>
  <c r="M95" i="13"/>
  <c r="L95" i="13"/>
  <c r="K95" i="13"/>
  <c r="J95" i="13"/>
  <c r="I95" i="13"/>
  <c r="H95" i="13"/>
  <c r="AQ91" i="13"/>
  <c r="AP91" i="13"/>
  <c r="AO91" i="13"/>
  <c r="AN91" i="13"/>
  <c r="AM91" i="13"/>
  <c r="AL91" i="13"/>
  <c r="AK91" i="13"/>
  <c r="AJ91" i="13"/>
  <c r="AI91" i="13"/>
  <c r="AH91" i="13"/>
  <c r="AG91" i="13"/>
  <c r="AF91" i="13"/>
  <c r="AE91" i="13"/>
  <c r="AD91" i="13"/>
  <c r="AC91" i="13"/>
  <c r="AB91" i="13"/>
  <c r="AA91" i="13"/>
  <c r="Z91" i="13"/>
  <c r="Y91" i="13"/>
  <c r="X91" i="13"/>
  <c r="W91" i="13"/>
  <c r="U91" i="13"/>
  <c r="T91" i="13"/>
  <c r="S91" i="13"/>
  <c r="R91" i="13"/>
  <c r="Q91" i="13"/>
  <c r="P91" i="13"/>
  <c r="O91" i="13"/>
  <c r="N91" i="13"/>
  <c r="M91" i="13"/>
  <c r="L91" i="13"/>
  <c r="K91" i="13"/>
  <c r="J91" i="13"/>
  <c r="I91" i="13"/>
  <c r="H91" i="13"/>
  <c r="AQ86" i="13"/>
  <c r="AP86" i="13"/>
  <c r="AO86" i="13"/>
  <c r="AN86" i="13"/>
  <c r="AM86" i="13"/>
  <c r="AL86" i="13"/>
  <c r="AK86" i="13"/>
  <c r="AJ86" i="13"/>
  <c r="AI86" i="13"/>
  <c r="AH86" i="13"/>
  <c r="AG86" i="13"/>
  <c r="AF86" i="13"/>
  <c r="AE86" i="13"/>
  <c r="AD86" i="13"/>
  <c r="AC86" i="13"/>
  <c r="AB86" i="13"/>
  <c r="AA86" i="13"/>
  <c r="Z86" i="13"/>
  <c r="Y86" i="13"/>
  <c r="X86" i="13"/>
  <c r="W86" i="13"/>
  <c r="T86" i="13"/>
  <c r="S86" i="13"/>
  <c r="R86" i="13"/>
  <c r="Q86" i="13"/>
  <c r="P86" i="13"/>
  <c r="O86" i="13"/>
  <c r="N86" i="13"/>
  <c r="M86" i="13"/>
  <c r="L86" i="13"/>
  <c r="K86" i="13"/>
  <c r="J86" i="13"/>
  <c r="I86" i="13"/>
  <c r="H86" i="13"/>
  <c r="AQ82" i="13"/>
  <c r="AP82" i="13"/>
  <c r="AO82" i="13"/>
  <c r="AN82" i="13"/>
  <c r="AM82" i="13"/>
  <c r="AL82" i="13"/>
  <c r="AK82" i="13"/>
  <c r="AJ82" i="13"/>
  <c r="AI82" i="13"/>
  <c r="AH82" i="13"/>
  <c r="AG82" i="13"/>
  <c r="AF82" i="13"/>
  <c r="AE82" i="13"/>
  <c r="AD82" i="13"/>
  <c r="AC82" i="13"/>
  <c r="AB82" i="13"/>
  <c r="AA82" i="13"/>
  <c r="Z82" i="13"/>
  <c r="Y82" i="13"/>
  <c r="X82" i="13"/>
  <c r="W82" i="13"/>
  <c r="U82" i="13"/>
  <c r="T82" i="13"/>
  <c r="S82" i="13"/>
  <c r="R82" i="13"/>
  <c r="Q82" i="13"/>
  <c r="P82" i="13"/>
  <c r="O82" i="13"/>
  <c r="N82" i="13"/>
  <c r="M82" i="13"/>
  <c r="L82" i="13"/>
  <c r="K82" i="13"/>
  <c r="J82" i="13"/>
  <c r="I82" i="13"/>
  <c r="H82" i="13"/>
  <c r="AQ78" i="13"/>
  <c r="AP78" i="13"/>
  <c r="AO78" i="13"/>
  <c r="AN78" i="13"/>
  <c r="AM78" i="13"/>
  <c r="AL78" i="13"/>
  <c r="AK78" i="13"/>
  <c r="AJ78" i="13"/>
  <c r="AI78" i="13"/>
  <c r="AH78" i="13"/>
  <c r="AG78" i="13"/>
  <c r="AF78" i="13"/>
  <c r="AE78" i="13"/>
  <c r="AD78" i="13"/>
  <c r="AC78" i="13"/>
  <c r="AB78" i="13"/>
  <c r="AA78" i="13"/>
  <c r="Z78" i="13"/>
  <c r="Y78" i="13"/>
  <c r="X78" i="13"/>
  <c r="W78" i="13"/>
  <c r="U78" i="13"/>
  <c r="T78" i="13"/>
  <c r="S78" i="13"/>
  <c r="R78" i="13"/>
  <c r="Q78" i="13"/>
  <c r="P78" i="13"/>
  <c r="O78" i="13"/>
  <c r="N78" i="13"/>
  <c r="M78" i="13"/>
  <c r="L78" i="13"/>
  <c r="K78" i="13"/>
  <c r="J78" i="13"/>
  <c r="I78" i="13"/>
  <c r="H78" i="13"/>
  <c r="AQ70" i="13"/>
  <c r="AQ69" i="13" s="1"/>
  <c r="AQ68" i="13" s="1"/>
  <c r="AP70" i="13"/>
  <c r="AP69" i="13" s="1"/>
  <c r="AP68" i="13" s="1"/>
  <c r="AO70" i="13"/>
  <c r="AO69" i="13" s="1"/>
  <c r="AO68" i="13" s="1"/>
  <c r="AN70" i="13"/>
  <c r="AN69" i="13" s="1"/>
  <c r="AN68" i="13" s="1"/>
  <c r="AM70" i="13"/>
  <c r="AM69" i="13" s="1"/>
  <c r="AM68" i="13" s="1"/>
  <c r="AL70" i="13"/>
  <c r="AL69" i="13" s="1"/>
  <c r="AL68" i="13" s="1"/>
  <c r="AK70" i="13"/>
  <c r="AK69" i="13" s="1"/>
  <c r="AK68" i="13" s="1"/>
  <c r="AJ70" i="13"/>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AJ69" i="13"/>
  <c r="AJ68"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AP48" i="13"/>
  <c r="AO48" i="13"/>
  <c r="AN48" i="13"/>
  <c r="AM48" i="13"/>
  <c r="AL48" i="13"/>
  <c r="AK48" i="13"/>
  <c r="AJ48" i="13"/>
  <c r="AI48" i="13"/>
  <c r="AH48" i="13"/>
  <c r="AG48" i="13"/>
  <c r="AF48" i="13"/>
  <c r="AE48" i="13"/>
  <c r="AD48" i="13"/>
  <c r="AC48" i="13"/>
  <c r="AB48" i="13"/>
  <c r="AA48" i="13"/>
  <c r="Z48" i="13"/>
  <c r="Y48" i="13"/>
  <c r="X48" i="13"/>
  <c r="W48" i="13"/>
  <c r="U48" i="13"/>
  <c r="T48" i="13"/>
  <c r="S48" i="13"/>
  <c r="R48" i="13"/>
  <c r="Q48" i="13"/>
  <c r="P48" i="13"/>
  <c r="O48" i="13"/>
  <c r="N48" i="13"/>
  <c r="M48" i="13"/>
  <c r="L48" i="13"/>
  <c r="K48" i="13"/>
  <c r="J48" i="13"/>
  <c r="I48" i="13"/>
  <c r="H48" i="13"/>
  <c r="AQ41" i="13"/>
  <c r="AP41" i="13"/>
  <c r="AO41" i="13"/>
  <c r="AN41" i="13"/>
  <c r="AM41" i="13"/>
  <c r="AL41" i="13"/>
  <c r="AK41" i="13"/>
  <c r="AJ41" i="13"/>
  <c r="AI41" i="13"/>
  <c r="AH41" i="13"/>
  <c r="AG41" i="13"/>
  <c r="AF41" i="13"/>
  <c r="AE41" i="13"/>
  <c r="AD41" i="13"/>
  <c r="AC41" i="13"/>
  <c r="AB41" i="13"/>
  <c r="AA41" i="13"/>
  <c r="Z41" i="13"/>
  <c r="Y41" i="13"/>
  <c r="X41" i="13"/>
  <c r="W41" i="13"/>
  <c r="U41" i="13"/>
  <c r="T41" i="13"/>
  <c r="S41" i="13"/>
  <c r="R41" i="13"/>
  <c r="Q41" i="13"/>
  <c r="P41" i="13"/>
  <c r="O41" i="13"/>
  <c r="N41" i="13"/>
  <c r="M41" i="13"/>
  <c r="L41" i="13"/>
  <c r="K41" i="13"/>
  <c r="J41" i="13"/>
  <c r="I41" i="13"/>
  <c r="H41" i="13"/>
  <c r="AQ33" i="13"/>
  <c r="AP33" i="13"/>
  <c r="AO33" i="13"/>
  <c r="AN33" i="13"/>
  <c r="AM33" i="13"/>
  <c r="AL33" i="13"/>
  <c r="AK33" i="13"/>
  <c r="AJ33" i="13"/>
  <c r="AI33" i="13"/>
  <c r="AH33" i="13"/>
  <c r="AG33" i="13"/>
  <c r="AF33" i="13"/>
  <c r="AE33" i="13"/>
  <c r="AD33" i="13"/>
  <c r="AC33" i="13"/>
  <c r="AB33" i="13"/>
  <c r="AA33" i="13"/>
  <c r="Z33" i="13"/>
  <c r="Y33" i="13"/>
  <c r="X33" i="13"/>
  <c r="W33" i="13"/>
  <c r="U33" i="13"/>
  <c r="T33" i="13"/>
  <c r="S33" i="13"/>
  <c r="R33" i="13"/>
  <c r="Q33" i="13"/>
  <c r="P33" i="13"/>
  <c r="O33" i="13"/>
  <c r="N33" i="13"/>
  <c r="M33" i="13"/>
  <c r="L33" i="13"/>
  <c r="K33" i="13"/>
  <c r="J33" i="13"/>
  <c r="I33" i="13"/>
  <c r="H33" i="13"/>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H24" i="13"/>
  <c r="I24" i="13"/>
  <c r="J24" i="13"/>
  <c r="K24" i="13"/>
  <c r="L24" i="13"/>
  <c r="M24" i="13"/>
  <c r="N24" i="13"/>
  <c r="O24" i="13"/>
  <c r="P24" i="13"/>
  <c r="Q24" i="13"/>
  <c r="R24" i="13"/>
  <c r="S24" i="13"/>
  <c r="T24" i="13"/>
  <c r="U24" i="13"/>
  <c r="W24" i="13"/>
  <c r="X24" i="13"/>
  <c r="Y24" i="13"/>
  <c r="Z24" i="13"/>
  <c r="AA24" i="13"/>
  <c r="AB24" i="13"/>
  <c r="AC24" i="13"/>
  <c r="AD24" i="13"/>
  <c r="AE24" i="13"/>
  <c r="AF24" i="13"/>
  <c r="AG24" i="13"/>
  <c r="AH24" i="13"/>
  <c r="AI24" i="13"/>
  <c r="AJ24" i="13"/>
  <c r="AK24" i="13"/>
  <c r="AL24" i="13"/>
  <c r="AM24" i="13"/>
  <c r="AN24" i="13"/>
  <c r="AO24" i="13"/>
  <c r="AP24" i="13"/>
  <c r="AQ24"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F24" i="13"/>
  <c r="H154" i="13"/>
  <c r="H134" i="13"/>
  <c r="H131" i="13"/>
  <c r="H178" i="13"/>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H160" i="13"/>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P160" i="13"/>
  <c r="P148" i="13" s="1"/>
  <c r="P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W32" i="13" l="1"/>
  <c r="AE32" i="13"/>
  <c r="AI32" i="13"/>
  <c r="AM32" i="13"/>
  <c r="I32" i="13"/>
  <c r="M32" i="13"/>
  <c r="Q32" i="13"/>
  <c r="AL32" i="13"/>
  <c r="K32" i="13"/>
  <c r="S32" i="13"/>
  <c r="AG32" i="13"/>
  <c r="AK32" i="13"/>
  <c r="S71" i="16"/>
  <c r="AS129" i="13"/>
  <c r="AT129" i="13"/>
  <c r="AU129" i="13" s="1"/>
  <c r="S63" i="16"/>
  <c r="S75" i="16"/>
  <c r="S67" i="16"/>
  <c r="S58" i="16"/>
  <c r="AO19" i="13"/>
  <c r="AG19" i="13"/>
  <c r="Y19" i="13"/>
  <c r="U19" i="13"/>
  <c r="I19" i="13"/>
  <c r="H143" i="13"/>
  <c r="S86" i="16"/>
  <c r="AR134" i="13"/>
  <c r="S81" i="16"/>
  <c r="AR154" i="13"/>
  <c r="S91" i="16"/>
  <c r="AK19" i="13"/>
  <c r="AC19" i="13"/>
  <c r="Q19" i="13"/>
  <c r="M19" i="13"/>
  <c r="M18" i="13" s="1"/>
  <c r="M17" i="13" s="1"/>
  <c r="M16" i="13" s="1"/>
  <c r="M15" i="13" s="1"/>
  <c r="AR128" i="13"/>
  <c r="S77" i="16"/>
  <c r="S96" i="16"/>
  <c r="S103" i="16"/>
  <c r="S108" i="16"/>
  <c r="S79" i="16"/>
  <c r="AR131" i="13"/>
  <c r="AR125" i="13"/>
  <c r="AR149" i="13"/>
  <c r="S87" i="16"/>
  <c r="S100" i="16"/>
  <c r="S111" i="16"/>
  <c r="S125" i="16"/>
  <c r="H227" i="13"/>
  <c r="AR228" i="13"/>
  <c r="S140" i="16"/>
  <c r="AA32" i="13"/>
  <c r="O32" i="13"/>
  <c r="AP19" i="13"/>
  <c r="AL19" i="13"/>
  <c r="AH19" i="13"/>
  <c r="AD19" i="13"/>
  <c r="Z19" i="13"/>
  <c r="V19" i="13"/>
  <c r="R19" i="13"/>
  <c r="N19" i="13"/>
  <c r="J19" i="13"/>
  <c r="AN19" i="13"/>
  <c r="AF19" i="13"/>
  <c r="X19" i="13"/>
  <c r="L19" i="13"/>
  <c r="AF77" i="13"/>
  <c r="AF76" i="13" s="1"/>
  <c r="AB19" i="13"/>
  <c r="T19" i="13"/>
  <c r="P19" i="13"/>
  <c r="AQ19" i="13"/>
  <c r="AM19" i="13"/>
  <c r="AI19" i="13"/>
  <c r="AI18" i="13" s="1"/>
  <c r="AI17" i="13" s="1"/>
  <c r="AI16" i="13" s="1"/>
  <c r="AI15" i="13" s="1"/>
  <c r="AE19" i="13"/>
  <c r="AA19" i="13"/>
  <c r="W19" i="13"/>
  <c r="S19" i="13"/>
  <c r="O19" i="13"/>
  <c r="H19" i="13"/>
  <c r="AR20" i="13"/>
  <c r="Y32" i="13"/>
  <c r="AO32" i="13"/>
  <c r="AQ32" i="13"/>
  <c r="AJ19" i="13"/>
  <c r="K19" i="13"/>
  <c r="U32" i="13"/>
  <c r="AC32" i="13"/>
  <c r="AD77" i="13"/>
  <c r="AD76" i="13" s="1"/>
  <c r="J77" i="13"/>
  <c r="J76" i="13" s="1"/>
  <c r="N77" i="13"/>
  <c r="N76" i="13" s="1"/>
  <c r="R77" i="13"/>
  <c r="R76" i="13" s="1"/>
  <c r="Z77" i="13"/>
  <c r="Z76" i="13" s="1"/>
  <c r="AH77" i="13"/>
  <c r="AH76" i="13" s="1"/>
  <c r="AL77" i="13"/>
  <c r="AL76" i="13" s="1"/>
  <c r="AP77" i="13"/>
  <c r="AP76" i="13" s="1"/>
  <c r="K77" i="13"/>
  <c r="K76" i="13" s="1"/>
  <c r="AN77" i="13"/>
  <c r="AN76" i="13" s="1"/>
  <c r="AJ77" i="13"/>
  <c r="AJ76" i="13" s="1"/>
  <c r="AB77" i="13"/>
  <c r="AB76" i="13" s="1"/>
  <c r="X77" i="13"/>
  <c r="X76" i="13" s="1"/>
  <c r="T77" i="13"/>
  <c r="T76" i="13" s="1"/>
  <c r="P77" i="13"/>
  <c r="P76" i="13" s="1"/>
  <c r="AR65" i="13"/>
  <c r="AR70" i="13"/>
  <c r="J32" i="13"/>
  <c r="N32" i="13"/>
  <c r="R32" i="13"/>
  <c r="Z32" i="13"/>
  <c r="AD32" i="13"/>
  <c r="AH32" i="13"/>
  <c r="AP32" i="13"/>
  <c r="AO77" i="13"/>
  <c r="AO76" i="13" s="1"/>
  <c r="AK77" i="13"/>
  <c r="AK76" i="13" s="1"/>
  <c r="AG77" i="13"/>
  <c r="AG76" i="13" s="1"/>
  <c r="AC77" i="13"/>
  <c r="AC76" i="13" s="1"/>
  <c r="Y77" i="13"/>
  <c r="Y76" i="13" s="1"/>
  <c r="U77" i="13"/>
  <c r="U76" i="13" s="1"/>
  <c r="Q77" i="13"/>
  <c r="Q76" i="13" s="1"/>
  <c r="M77" i="13"/>
  <c r="M76" i="13" s="1"/>
  <c r="AR41" i="13"/>
  <c r="AR54" i="13"/>
  <c r="H53" i="13"/>
  <c r="AR53" i="13" s="1"/>
  <c r="AR64" i="13"/>
  <c r="H63" i="13"/>
  <c r="AO166" i="13"/>
  <c r="AO165" i="13" s="1"/>
  <c r="AK166" i="13"/>
  <c r="AK165" i="13" s="1"/>
  <c r="AG166" i="13"/>
  <c r="AG165" i="13" s="1"/>
  <c r="AC166" i="13"/>
  <c r="AC165" i="13" s="1"/>
  <c r="Y166" i="13"/>
  <c r="Y165" i="13" s="1"/>
  <c r="U166" i="13"/>
  <c r="U165" i="13" s="1"/>
  <c r="Q166" i="13"/>
  <c r="Q165" i="13" s="1"/>
  <c r="M166" i="13"/>
  <c r="M165" i="13" s="1"/>
  <c r="I166" i="13"/>
  <c r="I165" i="13" s="1"/>
  <c r="AR24" i="13"/>
  <c r="AS24" i="13" s="1"/>
  <c r="AR28" i="13"/>
  <c r="AR171" i="13"/>
  <c r="AN166" i="13"/>
  <c r="AN165" i="13" s="1"/>
  <c r="AF166" i="13"/>
  <c r="AF165" i="13" s="1"/>
  <c r="X166" i="13"/>
  <c r="X165" i="13" s="1"/>
  <c r="P166" i="13"/>
  <c r="P165" i="13" s="1"/>
  <c r="H166" i="13"/>
  <c r="AR167" i="13"/>
  <c r="H32" i="13"/>
  <c r="AR48" i="13"/>
  <c r="L32" i="13"/>
  <c r="P32" i="13"/>
  <c r="T32" i="13"/>
  <c r="X32" i="13"/>
  <c r="AB32" i="13"/>
  <c r="AF32" i="13"/>
  <c r="AJ32" i="13"/>
  <c r="AN32" i="13"/>
  <c r="H177" i="13"/>
  <c r="AR177" i="13" s="1"/>
  <c r="AR178" i="13"/>
  <c r="H148" i="13"/>
  <c r="AJ166" i="13"/>
  <c r="AJ165" i="13" s="1"/>
  <c r="AB166" i="13"/>
  <c r="AB165" i="13" s="1"/>
  <c r="T166" i="13"/>
  <c r="T165" i="13" s="1"/>
  <c r="L166" i="13"/>
  <c r="L165" i="13" s="1"/>
  <c r="L77" i="13"/>
  <c r="L76" i="13" s="1"/>
  <c r="H77" i="13"/>
  <c r="H76" i="13" s="1"/>
  <c r="AQ77" i="13"/>
  <c r="AQ76" i="13" s="1"/>
  <c r="AM77" i="13"/>
  <c r="AM76" i="13" s="1"/>
  <c r="AI77" i="13"/>
  <c r="AI76" i="13" s="1"/>
  <c r="AE77" i="13"/>
  <c r="AE76" i="13" s="1"/>
  <c r="AA77" i="13"/>
  <c r="AA76" i="13" s="1"/>
  <c r="W77" i="13"/>
  <c r="W76" i="13" s="1"/>
  <c r="S77" i="13"/>
  <c r="S76" i="13" s="1"/>
  <c r="O77" i="13"/>
  <c r="O76" i="13" s="1"/>
  <c r="AQ166" i="13"/>
  <c r="AQ165" i="13" s="1"/>
  <c r="AM166" i="13"/>
  <c r="AM165" i="13" s="1"/>
  <c r="AI166" i="13"/>
  <c r="AI165" i="13" s="1"/>
  <c r="AE166" i="13"/>
  <c r="AE165" i="13" s="1"/>
  <c r="AA166" i="13"/>
  <c r="AA165" i="13" s="1"/>
  <c r="W166" i="13"/>
  <c r="W165" i="13" s="1"/>
  <c r="S166" i="13"/>
  <c r="S165" i="13" s="1"/>
  <c r="O166" i="13"/>
  <c r="O165" i="13" s="1"/>
  <c r="K166" i="13"/>
  <c r="K165" i="13" s="1"/>
  <c r="I77" i="13"/>
  <c r="I76" i="13" s="1"/>
  <c r="AP166" i="13"/>
  <c r="AP165" i="13" s="1"/>
  <c r="AL166" i="13"/>
  <c r="AL165" i="13" s="1"/>
  <c r="AH166" i="13"/>
  <c r="AH165" i="13" s="1"/>
  <c r="AD166" i="13"/>
  <c r="AD165" i="13" s="1"/>
  <c r="Z166" i="13"/>
  <c r="Z165" i="13" s="1"/>
  <c r="V166" i="13"/>
  <c r="V165" i="13" s="1"/>
  <c r="R166" i="13"/>
  <c r="R165" i="13" s="1"/>
  <c r="N166" i="13"/>
  <c r="N165" i="13" s="1"/>
  <c r="J166" i="13"/>
  <c r="J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71" i="16"/>
  <c r="T71" i="16"/>
  <c r="T58" i="16"/>
  <c r="T57"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AL18" i="13" l="1"/>
  <c r="AL17" i="13" s="1"/>
  <c r="AL16" i="13" s="1"/>
  <c r="AL15" i="13" s="1"/>
  <c r="K18" i="13"/>
  <c r="K17" i="13" s="1"/>
  <c r="K16" i="13" s="1"/>
  <c r="K15" i="13" s="1"/>
  <c r="S18" i="13"/>
  <c r="S17" i="13" s="1"/>
  <c r="S16" i="13" s="1"/>
  <c r="S15" i="13" s="1"/>
  <c r="I18" i="13"/>
  <c r="I17" i="13" s="1"/>
  <c r="I16" i="13" s="1"/>
  <c r="I15" i="13" s="1"/>
  <c r="Z18" i="13"/>
  <c r="Z17" i="13" s="1"/>
  <c r="Z16" i="13" s="1"/>
  <c r="Z15" i="13" s="1"/>
  <c r="W18" i="13"/>
  <c r="W17" i="13" s="1"/>
  <c r="W16" i="13" s="1"/>
  <c r="W15" i="13" s="1"/>
  <c r="AE18" i="13"/>
  <c r="AE17" i="13" s="1"/>
  <c r="AE16" i="13" s="1"/>
  <c r="AE15" i="13" s="1"/>
  <c r="Q18" i="13"/>
  <c r="Q17" i="13" s="1"/>
  <c r="Q16" i="13" s="1"/>
  <c r="Q15" i="13" s="1"/>
  <c r="AM18" i="13"/>
  <c r="AM17" i="13" s="1"/>
  <c r="AM16" i="13" s="1"/>
  <c r="AM15" i="13" s="1"/>
  <c r="AG18" i="13"/>
  <c r="AG17" i="13" s="1"/>
  <c r="AG16" i="13" s="1"/>
  <c r="AG15" i="13" s="1"/>
  <c r="AK18" i="13"/>
  <c r="AK17" i="13" s="1"/>
  <c r="AK16" i="13" s="1"/>
  <c r="AK15" i="13" s="1"/>
  <c r="T18" i="13"/>
  <c r="T17" i="13" s="1"/>
  <c r="T16" i="13" s="1"/>
  <c r="T15" i="13" s="1"/>
  <c r="AH18" i="13"/>
  <c r="AH17" i="13" s="1"/>
  <c r="AH16" i="13" s="1"/>
  <c r="AH15" i="13" s="1"/>
  <c r="AC18" i="13"/>
  <c r="AC17" i="13" s="1"/>
  <c r="AC16" i="13" s="1"/>
  <c r="AC15" i="13" s="1"/>
  <c r="AO18" i="13"/>
  <c r="AO17" i="13" s="1"/>
  <c r="AO16" i="13" s="1"/>
  <c r="AO15" i="13" s="1"/>
  <c r="O18" i="13"/>
  <c r="O17" i="13" s="1"/>
  <c r="O16" i="13" s="1"/>
  <c r="O15" i="13" s="1"/>
  <c r="AB18" i="13"/>
  <c r="AB17" i="13" s="1"/>
  <c r="AB16" i="13" s="1"/>
  <c r="AB15" i="13" s="1"/>
  <c r="R18" i="13"/>
  <c r="R17" i="13" s="1"/>
  <c r="R16" i="13" s="1"/>
  <c r="R15" i="13" s="1"/>
  <c r="D10" i="25"/>
  <c r="D38" i="25" s="1"/>
  <c r="J38" i="25" s="1"/>
  <c r="J39" i="25" s="1"/>
  <c r="D10" i="14"/>
  <c r="D17" i="25"/>
  <c r="J18" i="13"/>
  <c r="J17" i="13" s="1"/>
  <c r="J16" i="13" s="1"/>
  <c r="J15" i="13" s="1"/>
  <c r="AA18" i="13"/>
  <c r="AA17" i="13" s="1"/>
  <c r="AA16" i="13" s="1"/>
  <c r="AA15" i="13" s="1"/>
  <c r="Y18" i="13"/>
  <c r="Y17" i="13" s="1"/>
  <c r="Y16" i="13" s="1"/>
  <c r="Y15" i="13" s="1"/>
  <c r="H142" i="13"/>
  <c r="AR143" i="13"/>
  <c r="U18" i="13"/>
  <c r="U17" i="13" s="1"/>
  <c r="U16" i="13" s="1"/>
  <c r="U15" i="13" s="1"/>
  <c r="AP18" i="13"/>
  <c r="AP17" i="13" s="1"/>
  <c r="AP16" i="13" s="1"/>
  <c r="AP15" i="13" s="1"/>
  <c r="V18" i="13"/>
  <c r="V17" i="13" s="1"/>
  <c r="V16" i="13" s="1"/>
  <c r="V15" i="13" s="1"/>
  <c r="N18" i="13"/>
  <c r="N17" i="13" s="1"/>
  <c r="N16" i="13" s="1"/>
  <c r="N15" i="13" s="1"/>
  <c r="AD18" i="13"/>
  <c r="AD17" i="13" s="1"/>
  <c r="AD16" i="13" s="1"/>
  <c r="AD15" i="13" s="1"/>
  <c r="AQ18" i="13"/>
  <c r="AQ17" i="13" s="1"/>
  <c r="AQ16" i="13" s="1"/>
  <c r="AQ15" i="13" s="1"/>
  <c r="AN18" i="13"/>
  <c r="AN17" i="13" s="1"/>
  <c r="AN16" i="13" s="1"/>
  <c r="AN15" i="13" s="1"/>
  <c r="H18" i="13"/>
  <c r="H17" i="13" s="1"/>
  <c r="L18" i="13"/>
  <c r="L17" i="13" s="1"/>
  <c r="L16" i="13" s="1"/>
  <c r="L15" i="13" s="1"/>
  <c r="P18" i="13"/>
  <c r="P17" i="13" s="1"/>
  <c r="P16" i="13" s="1"/>
  <c r="P15" i="13" s="1"/>
  <c r="X18" i="13"/>
  <c r="X17" i="13" s="1"/>
  <c r="X16" i="13" s="1"/>
  <c r="X15" i="13" s="1"/>
  <c r="AF18" i="13"/>
  <c r="AF17" i="13" s="1"/>
  <c r="AF16" i="13" s="1"/>
  <c r="AF15" i="13" s="1"/>
  <c r="AJ18" i="13"/>
  <c r="AJ17" i="13" s="1"/>
  <c r="AJ16" i="13" s="1"/>
  <c r="AJ15" i="13" s="1"/>
  <c r="H165" i="13"/>
  <c r="H147" i="13"/>
  <c r="AR63" i="13"/>
  <c r="H62" i="13"/>
  <c r="AR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H141" i="13"/>
  <c r="AR141" i="13" s="1"/>
  <c r="AR142" i="13"/>
  <c r="AR18" i="13"/>
  <c r="H16" i="13"/>
  <c r="AR17" i="13"/>
  <c r="G343" i="21"/>
  <c r="G122" i="21"/>
  <c r="G115" i="21" s="1"/>
  <c r="G114" i="21" s="1"/>
  <c r="G12" i="21" s="1"/>
  <c r="C7" i="21" s="1"/>
  <c r="V144" i="16"/>
  <c r="W144" i="16"/>
  <c r="X144" i="16"/>
  <c r="Y144" i="16"/>
  <c r="Z144" i="16"/>
  <c r="AA144" i="16"/>
  <c r="AB144" i="16"/>
  <c r="AC144" i="16"/>
  <c r="AD144" i="16"/>
  <c r="T143" i="16"/>
  <c r="T142" i="16"/>
  <c r="T141" i="16"/>
  <c r="T140" i="16"/>
  <c r="T139" i="16"/>
  <c r="T138" i="16"/>
  <c r="T137" i="16"/>
  <c r="T136" i="16"/>
  <c r="T135" i="16"/>
  <c r="T134" i="16"/>
  <c r="T133" i="16"/>
  <c r="T132" i="16"/>
  <c r="T131" i="16"/>
  <c r="T130" i="16"/>
  <c r="T129" i="16"/>
  <c r="T128" i="16"/>
  <c r="T127" i="16"/>
  <c r="AJ127" i="16" s="1"/>
  <c r="T126" i="16"/>
  <c r="T125" i="16"/>
  <c r="T124" i="16"/>
  <c r="T123" i="16"/>
  <c r="T122" i="16"/>
  <c r="T121" i="16"/>
  <c r="AJ121" i="16" s="1"/>
  <c r="T120" i="16"/>
  <c r="T119" i="16"/>
  <c r="T118" i="16"/>
  <c r="T117" i="16"/>
  <c r="T116" i="16"/>
  <c r="T115" i="16"/>
  <c r="T114" i="16"/>
  <c r="T113" i="16"/>
  <c r="T112" i="16"/>
  <c r="T111" i="16"/>
  <c r="T110" i="16"/>
  <c r="T109" i="16"/>
  <c r="T108" i="16"/>
  <c r="T107" i="16"/>
  <c r="T106" i="16"/>
  <c r="T105" i="16"/>
  <c r="T104" i="16"/>
  <c r="T103" i="16"/>
  <c r="T102" i="16"/>
  <c r="T101" i="16"/>
  <c r="AJ101" i="16" s="1"/>
  <c r="T100" i="16"/>
  <c r="T99" i="16"/>
  <c r="T98" i="16"/>
  <c r="T97" i="16"/>
  <c r="AJ97" i="16" s="1"/>
  <c r="T96" i="16"/>
  <c r="T95" i="16"/>
  <c r="T94" i="16"/>
  <c r="T93" i="16"/>
  <c r="T92" i="16"/>
  <c r="T91" i="16"/>
  <c r="T90" i="16"/>
  <c r="T89" i="16"/>
  <c r="T88" i="16"/>
  <c r="AJ88" i="16" s="1"/>
  <c r="AK88" i="16" s="1"/>
  <c r="T87" i="16"/>
  <c r="T86" i="16"/>
  <c r="T85" i="16"/>
  <c r="T84" i="16"/>
  <c r="AJ84" i="16" s="1"/>
  <c r="AK84" i="16" s="1"/>
  <c r="T83" i="16"/>
  <c r="T82" i="16"/>
  <c r="T81" i="16"/>
  <c r="T80" i="16"/>
  <c r="T79" i="16"/>
  <c r="T78" i="16"/>
  <c r="T77" i="16"/>
  <c r="AJ77" i="16" s="1"/>
  <c r="T75" i="16"/>
  <c r="T74" i="16"/>
  <c r="T73" i="16"/>
  <c r="T72" i="16"/>
  <c r="T70" i="16"/>
  <c r="T69" i="16"/>
  <c r="T68" i="16"/>
  <c r="T67" i="16"/>
  <c r="T66" i="16"/>
  <c r="T65" i="16"/>
  <c r="T64" i="16"/>
  <c r="T63" i="16"/>
  <c r="T62" i="16"/>
  <c r="T61" i="16"/>
  <c r="T60" i="16"/>
  <c r="T59" i="16"/>
  <c r="T56" i="16"/>
  <c r="T53"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T4" i="16"/>
  <c r="T76" i="16"/>
  <c r="AJ57" i="16"/>
  <c r="AK57" i="16" s="1"/>
  <c r="S143" i="16"/>
  <c r="S51" i="16"/>
  <c r="S52" i="16"/>
  <c r="S50" i="16"/>
  <c r="S47" i="16"/>
  <c r="S48" i="16"/>
  <c r="S49" i="16"/>
  <c r="S46" i="16"/>
  <c r="S45" i="16"/>
  <c r="S44" i="16"/>
  <c r="S43" i="16"/>
  <c r="S41" i="16"/>
  <c r="S42" i="16"/>
  <c r="S40" i="16"/>
  <c r="S36" i="16"/>
  <c r="S37" i="16"/>
  <c r="S38" i="16"/>
  <c r="S39" i="16"/>
  <c r="S34" i="16"/>
  <c r="S35" i="16"/>
  <c r="S33" i="16"/>
  <c r="S30" i="16"/>
  <c r="S31" i="16"/>
  <c r="S32" i="16"/>
  <c r="S29" i="16"/>
  <c r="S26" i="16"/>
  <c r="S27" i="16"/>
  <c r="S28" i="16"/>
  <c r="S25" i="16"/>
  <c r="S24" i="16"/>
  <c r="S20" i="16"/>
  <c r="S21" i="16"/>
  <c r="S22" i="16"/>
  <c r="S23" i="16"/>
  <c r="S19" i="16"/>
  <c r="S18" i="16"/>
  <c r="S13" i="16"/>
  <c r="S14" i="16"/>
  <c r="S15" i="16"/>
  <c r="S16" i="16"/>
  <c r="S17" i="16"/>
  <c r="S12" i="16"/>
  <c r="S11" i="16"/>
  <c r="S10" i="16"/>
  <c r="S8" i="16"/>
  <c r="S9" i="16"/>
  <c r="S7" i="16"/>
  <c r="S5" i="16"/>
  <c r="S6" i="16"/>
  <c r="S4" i="16"/>
  <c r="AL127" i="16" l="1"/>
  <c r="AM127" i="16" s="1"/>
  <c r="AK127" i="16"/>
  <c r="AL77" i="16"/>
  <c r="AM77" i="16" s="1"/>
  <c r="AK77" i="16"/>
  <c r="AL97" i="16"/>
  <c r="AM97" i="16" s="1"/>
  <c r="AK97" i="16"/>
  <c r="AL101" i="16"/>
  <c r="AM101" i="16" s="1"/>
  <c r="AK101" i="16"/>
  <c r="AL121" i="16"/>
  <c r="AM121" i="16" s="1"/>
  <c r="AK121" i="16"/>
  <c r="AJ51" i="16"/>
  <c r="AJ8" i="16"/>
  <c r="AK8" i="16" s="1"/>
  <c r="AJ37" i="16"/>
  <c r="AJ138" i="16"/>
  <c r="AJ142" i="16"/>
  <c r="AK142" i="16" s="1"/>
  <c r="H15" i="13"/>
  <c r="AR15" i="13" s="1"/>
  <c r="AR16" i="13"/>
  <c r="AJ32" i="16"/>
  <c r="AJ47" i="16"/>
  <c r="AK47" i="16" s="1"/>
  <c r="AJ20" i="16"/>
  <c r="AK20" i="16" s="1"/>
  <c r="AJ36" i="16"/>
  <c r="AK36" i="16" s="1"/>
  <c r="AJ56" i="16"/>
  <c r="AK56" i="16" s="1"/>
  <c r="AJ62" i="16"/>
  <c r="AJ100" i="16"/>
  <c r="AJ66" i="16"/>
  <c r="AJ135" i="16"/>
  <c r="AJ76" i="16"/>
  <c r="AJ12" i="16"/>
  <c r="AK12" i="16" s="1"/>
  <c r="AJ6" i="16"/>
  <c r="AK6" i="16" s="1"/>
  <c r="AJ22" i="16"/>
  <c r="AK22" i="16" s="1"/>
  <c r="AJ38" i="16"/>
  <c r="AJ42" i="16"/>
  <c r="AK42" i="16" s="1"/>
  <c r="AJ128" i="16"/>
  <c r="AK128" i="16" s="1"/>
  <c r="AJ85" i="16"/>
  <c r="AJ124" i="16"/>
  <c r="AJ89" i="16"/>
  <c r="AK89" i="16" s="1"/>
  <c r="AJ105" i="16"/>
  <c r="AK105" i="16" s="1"/>
  <c r="AJ23" i="16"/>
  <c r="AJ61" i="16"/>
  <c r="AK61" i="16" s="1"/>
  <c r="AJ79" i="16"/>
  <c r="AJ114" i="16"/>
  <c r="AJ48" i="16"/>
  <c r="AJ59" i="16"/>
  <c r="AJ72" i="16"/>
  <c r="AK72" i="16" s="1"/>
  <c r="AJ93" i="16"/>
  <c r="AJ143" i="16"/>
  <c r="AJ10" i="16"/>
  <c r="AJ18" i="16"/>
  <c r="AJ64" i="16"/>
  <c r="AK64" i="16" s="1"/>
  <c r="AJ86" i="16"/>
  <c r="AK86" i="16" s="1"/>
  <c r="AJ34" i="16"/>
  <c r="AJ46" i="16"/>
  <c r="AJ103" i="16"/>
  <c r="AJ132" i="16"/>
  <c r="AK132" i="16" s="1"/>
  <c r="AJ45" i="16"/>
  <c r="AK45" i="16" s="1"/>
  <c r="AJ53" i="16"/>
  <c r="AK53" i="16" s="1"/>
  <c r="AJ68" i="16"/>
  <c r="AJ26" i="16"/>
  <c r="AK26" i="16" s="1"/>
  <c r="AJ30" i="16"/>
  <c r="AJ110" i="16"/>
  <c r="AJ29" i="16"/>
  <c r="AJ14" i="16"/>
  <c r="T144" i="16"/>
  <c r="AJ74" i="16"/>
  <c r="AK74" i="16" s="1"/>
  <c r="AJ129" i="16"/>
  <c r="AJ24" i="16"/>
  <c r="AK24" i="16" s="1"/>
  <c r="AJ134" i="16"/>
  <c r="AK134" i="16" s="1"/>
  <c r="AJ87" i="16"/>
  <c r="AJ40" i="16"/>
  <c r="AK40" i="16" s="1"/>
  <c r="AJ5" i="16"/>
  <c r="AK5" i="16" s="1"/>
  <c r="AJ13" i="16"/>
  <c r="AJ21" i="16"/>
  <c r="AJ25" i="16"/>
  <c r="AK25" i="16" s="1"/>
  <c r="AJ41" i="16"/>
  <c r="AJ44" i="16"/>
  <c r="AJ78" i="16"/>
  <c r="AJ90" i="16"/>
  <c r="AK90" i="16" s="1"/>
  <c r="AJ94" i="16"/>
  <c r="AJ98" i="16"/>
  <c r="AJ102" i="16"/>
  <c r="AK102" i="16" s="1"/>
  <c r="AJ106" i="16"/>
  <c r="AK106" i="16" s="1"/>
  <c r="AJ116" i="16"/>
  <c r="AK116" i="16" s="1"/>
  <c r="AJ125" i="16"/>
  <c r="AK125" i="16" s="1"/>
  <c r="AJ140" i="16"/>
  <c r="AJ104" i="16"/>
  <c r="AK104" i="16" s="1"/>
  <c r="AJ9" i="16"/>
  <c r="AK9" i="16" s="1"/>
  <c r="AJ33" i="16"/>
  <c r="AJ112" i="16"/>
  <c r="AK112" i="16" s="1"/>
  <c r="AJ123" i="16"/>
  <c r="AJ126" i="16"/>
  <c r="AK126" i="16" s="1"/>
  <c r="AJ80" i="16"/>
  <c r="AK80" i="16" s="1"/>
  <c r="AJ108" i="16"/>
  <c r="AK108" i="16" s="1"/>
  <c r="AJ17" i="16"/>
  <c r="AJ92" i="16"/>
  <c r="AK92" i="16" s="1"/>
  <c r="AJ54" i="16"/>
  <c r="AJ50" i="16"/>
  <c r="AJ137" i="16"/>
  <c r="AJ141" i="16"/>
  <c r="AJ19" i="16"/>
  <c r="AK19" i="16" s="1"/>
  <c r="AJ91" i="16"/>
  <c r="AJ95" i="16"/>
  <c r="AJ99" i="16"/>
  <c r="AJ39" i="16"/>
  <c r="AJ49" i="16"/>
  <c r="AJ63" i="16"/>
  <c r="AJ27" i="16"/>
  <c r="AJ31" i="16"/>
  <c r="AK31" i="16" s="1"/>
  <c r="AJ35" i="16"/>
  <c r="AK35" i="16" s="1"/>
  <c r="AJ67" i="16"/>
  <c r="AJ71" i="16"/>
  <c r="AJ75" i="16"/>
  <c r="AJ107" i="16"/>
  <c r="AJ111" i="16"/>
  <c r="AJ7" i="16"/>
  <c r="AK7" i="16" s="1"/>
  <c r="AJ133" i="16"/>
  <c r="AJ52" i="16"/>
  <c r="AJ65" i="16"/>
  <c r="AJ73" i="16"/>
  <c r="AL57" i="16"/>
  <c r="AM57" i="16" s="1"/>
  <c r="AJ70" i="16"/>
  <c r="AK70" i="16" s="1"/>
  <c r="AJ96" i="16"/>
  <c r="AK96" i="16" s="1"/>
  <c r="AJ118" i="16"/>
  <c r="AK118" i="16" s="1"/>
  <c r="AJ16" i="16"/>
  <c r="AK16" i="16" s="1"/>
  <c r="AJ28" i="16"/>
  <c r="AK28" i="16" s="1"/>
  <c r="AJ69" i="16"/>
  <c r="AJ82" i="16"/>
  <c r="AK82" i="16" s="1"/>
  <c r="AJ130" i="16"/>
  <c r="AK130" i="16" s="1"/>
  <c r="AJ81" i="16"/>
  <c r="AJ109" i="16"/>
  <c r="AJ11" i="16"/>
  <c r="AJ15" i="16"/>
  <c r="AJ43" i="16"/>
  <c r="AJ60" i="16"/>
  <c r="AK60" i="16" s="1"/>
  <c r="AJ119" i="16"/>
  <c r="AK119" i="16" s="1"/>
  <c r="AJ4" i="16"/>
  <c r="AK4" i="16" s="1"/>
  <c r="AL88" i="16"/>
  <c r="AM88" i="16" s="1"/>
  <c r="AL84" i="16"/>
  <c r="AM84" i="16" s="1"/>
  <c r="D33" i="14" l="1" a="1"/>
  <c r="D33" i="14" s="1"/>
  <c r="E33" i="14" s="1"/>
  <c r="AK76" i="16"/>
  <c r="AL43" i="16"/>
  <c r="AM43" i="16" s="1"/>
  <c r="AK43" i="16"/>
  <c r="AL81" i="16"/>
  <c r="AM81" i="16" s="1"/>
  <c r="AK81" i="16"/>
  <c r="AL52" i="16"/>
  <c r="AM52" i="16" s="1"/>
  <c r="AK52" i="16"/>
  <c r="AL49" i="16"/>
  <c r="AM49" i="16" s="1"/>
  <c r="AK49" i="16"/>
  <c r="AL50" i="16"/>
  <c r="AM50" i="16" s="1"/>
  <c r="AK50" i="16"/>
  <c r="AL140" i="16"/>
  <c r="AM140" i="16" s="1"/>
  <c r="AK140" i="16"/>
  <c r="AL133" i="16"/>
  <c r="AM133" i="16" s="1"/>
  <c r="AK133" i="16"/>
  <c r="AL39" i="16"/>
  <c r="AM39" i="16" s="1"/>
  <c r="AK39" i="16"/>
  <c r="AL54" i="16"/>
  <c r="AM54" i="16" s="1"/>
  <c r="AK54" i="16"/>
  <c r="AL98" i="16"/>
  <c r="AM98" i="16" s="1"/>
  <c r="AK98" i="16"/>
  <c r="AL44" i="16"/>
  <c r="AM44" i="16" s="1"/>
  <c r="AK44" i="16"/>
  <c r="AL13" i="16"/>
  <c r="AM13" i="16" s="1"/>
  <c r="AK13" i="16"/>
  <c r="AL30" i="16"/>
  <c r="AM30" i="16" s="1"/>
  <c r="AK30" i="16"/>
  <c r="AL34" i="16"/>
  <c r="AM34" i="16" s="1"/>
  <c r="AK34" i="16"/>
  <c r="AL10" i="16"/>
  <c r="AM10" i="16" s="1"/>
  <c r="AK10" i="16"/>
  <c r="AL59" i="16"/>
  <c r="AM59" i="16" s="1"/>
  <c r="AK59" i="16"/>
  <c r="AL124" i="16"/>
  <c r="AM124" i="16" s="1"/>
  <c r="AK124" i="16"/>
  <c r="AL38" i="16"/>
  <c r="AM38" i="16" s="1"/>
  <c r="AK38" i="16"/>
  <c r="AL62" i="16"/>
  <c r="AM62" i="16" s="1"/>
  <c r="AK62" i="16"/>
  <c r="AL51" i="16"/>
  <c r="AM51" i="16" s="1"/>
  <c r="AK51" i="16"/>
  <c r="AL91" i="16"/>
  <c r="AM91" i="16" s="1"/>
  <c r="AK91" i="16"/>
  <c r="AL78" i="16"/>
  <c r="AM78" i="16" s="1"/>
  <c r="AK78" i="16"/>
  <c r="AL87" i="16"/>
  <c r="AM87" i="16" s="1"/>
  <c r="AK87" i="16"/>
  <c r="AL110" i="16"/>
  <c r="AM110" i="16" s="1"/>
  <c r="AK110" i="16"/>
  <c r="AL46" i="16"/>
  <c r="AM46" i="16" s="1"/>
  <c r="AK46" i="16"/>
  <c r="AL79" i="16"/>
  <c r="AM79" i="16" s="1"/>
  <c r="AK79" i="16"/>
  <c r="AL100" i="16"/>
  <c r="AM100" i="16" s="1"/>
  <c r="AK100" i="16"/>
  <c r="AL75" i="16"/>
  <c r="AM75" i="16" s="1"/>
  <c r="AK75" i="16"/>
  <c r="AL33" i="16"/>
  <c r="AM33" i="16" s="1"/>
  <c r="AK33" i="16"/>
  <c r="AL11" i="16"/>
  <c r="AM11" i="16" s="1"/>
  <c r="AK11" i="16"/>
  <c r="AL73" i="16"/>
  <c r="AM73" i="16" s="1"/>
  <c r="AK73" i="16"/>
  <c r="AL71" i="16"/>
  <c r="AM71" i="16" s="1"/>
  <c r="AK71" i="16"/>
  <c r="AL27" i="16"/>
  <c r="AM27" i="16" s="1"/>
  <c r="AK27" i="16"/>
  <c r="AL99" i="16"/>
  <c r="AM99" i="16" s="1"/>
  <c r="AK99" i="16"/>
  <c r="AL141" i="16"/>
  <c r="AM141" i="16" s="1"/>
  <c r="AK141" i="16"/>
  <c r="AL94" i="16"/>
  <c r="AM94" i="16" s="1"/>
  <c r="AK94" i="16"/>
  <c r="AL41" i="16"/>
  <c r="AM41" i="16" s="1"/>
  <c r="AK41" i="16"/>
  <c r="AL14" i="16"/>
  <c r="AM14" i="16" s="1"/>
  <c r="AK14" i="16"/>
  <c r="AL143" i="16"/>
  <c r="AM143" i="16" s="1"/>
  <c r="AK143" i="16"/>
  <c r="AL48" i="16"/>
  <c r="AM48" i="16" s="1"/>
  <c r="AK48" i="16"/>
  <c r="AL23" i="16"/>
  <c r="AM23" i="16" s="1"/>
  <c r="AK23" i="16"/>
  <c r="AL85" i="16"/>
  <c r="AM85" i="16" s="1"/>
  <c r="AK85" i="16"/>
  <c r="AL135" i="16"/>
  <c r="AM135" i="16" s="1"/>
  <c r="AK135" i="16"/>
  <c r="AL32" i="16"/>
  <c r="AM32" i="16" s="1"/>
  <c r="AK32" i="16"/>
  <c r="AL138" i="16"/>
  <c r="AM138" i="16" s="1"/>
  <c r="AK138" i="16"/>
  <c r="AL107" i="16"/>
  <c r="AM107" i="16" s="1"/>
  <c r="AK107" i="16"/>
  <c r="AL21" i="16"/>
  <c r="AM21" i="16" s="1"/>
  <c r="AK21" i="16"/>
  <c r="AL18" i="16"/>
  <c r="AM18" i="16" s="1"/>
  <c r="AK18" i="16"/>
  <c r="AL15" i="16"/>
  <c r="AM15" i="16" s="1"/>
  <c r="AK15" i="16"/>
  <c r="AL109" i="16"/>
  <c r="AM109" i="16" s="1"/>
  <c r="AK109" i="16"/>
  <c r="AL69" i="16"/>
  <c r="AM69" i="16" s="1"/>
  <c r="AK69" i="16"/>
  <c r="AL65" i="16"/>
  <c r="AM65" i="16" s="1"/>
  <c r="AK65" i="16"/>
  <c r="AL111" i="16"/>
  <c r="AM111" i="16" s="1"/>
  <c r="AK111" i="16"/>
  <c r="AL67" i="16"/>
  <c r="AM67" i="16" s="1"/>
  <c r="AK67" i="16"/>
  <c r="AL63" i="16"/>
  <c r="AM63" i="16" s="1"/>
  <c r="AK63" i="16"/>
  <c r="AL95" i="16"/>
  <c r="AM95" i="16" s="1"/>
  <c r="AK95" i="16"/>
  <c r="AL137" i="16"/>
  <c r="AM137" i="16" s="1"/>
  <c r="AK137" i="16"/>
  <c r="AL17" i="16"/>
  <c r="AM17" i="16" s="1"/>
  <c r="AK17" i="16"/>
  <c r="AL123" i="16"/>
  <c r="AM123" i="16" s="1"/>
  <c r="AK123" i="16"/>
  <c r="AL129" i="16"/>
  <c r="AM129" i="16" s="1"/>
  <c r="AK129" i="16"/>
  <c r="AL29" i="16"/>
  <c r="AM29" i="16" s="1"/>
  <c r="AK29" i="16"/>
  <c r="AL68" i="16"/>
  <c r="AM68" i="16" s="1"/>
  <c r="AK68" i="16"/>
  <c r="AL103" i="16"/>
  <c r="AM103" i="16" s="1"/>
  <c r="AK103" i="16"/>
  <c r="AL93" i="16"/>
  <c r="AM93" i="16" s="1"/>
  <c r="AK93" i="16"/>
  <c r="AL114" i="16"/>
  <c r="AM114" i="16" s="1"/>
  <c r="AK114" i="16"/>
  <c r="AL66" i="16"/>
  <c r="AM66" i="16" s="1"/>
  <c r="AK66" i="16"/>
  <c r="AL37" i="16"/>
  <c r="AM37" i="16" s="1"/>
  <c r="AK37" i="16"/>
  <c r="AL142" i="16"/>
  <c r="AM142" i="16" s="1"/>
  <c r="AL47" i="16"/>
  <c r="AM47" i="16" s="1"/>
  <c r="AL56" i="16"/>
  <c r="AM56" i="16" s="1"/>
  <c r="AL22" i="16"/>
  <c r="AM22" i="16" s="1"/>
  <c r="AL20" i="16"/>
  <c r="AM20" i="16" s="1"/>
  <c r="AL76" i="16"/>
  <c r="AM76" i="16" s="1"/>
  <c r="AL36" i="16"/>
  <c r="AM36" i="16" s="1"/>
  <c r="AL12" i="16"/>
  <c r="AM12" i="16" s="1"/>
  <c r="AL72" i="16"/>
  <c r="AM72" i="16" s="1"/>
  <c r="AL45" i="16"/>
  <c r="AM45" i="16" s="1"/>
  <c r="AL128" i="16"/>
  <c r="AM128" i="16" s="1"/>
  <c r="AL61" i="16"/>
  <c r="AM61" i="16" s="1"/>
  <c r="AL26" i="16"/>
  <c r="AM26" i="16" s="1"/>
  <c r="AL53" i="16"/>
  <c r="AM53" i="16" s="1"/>
  <c r="AL89" i="16"/>
  <c r="AM89" i="16" s="1"/>
  <c r="AL134" i="16"/>
  <c r="AM134" i="16" s="1"/>
  <c r="AL105" i="16"/>
  <c r="AM105" i="16" s="1"/>
  <c r="AL74" i="16"/>
  <c r="AM74" i="16" s="1"/>
  <c r="AL42" i="16"/>
  <c r="AM42" i="16" s="1"/>
  <c r="AL64" i="16"/>
  <c r="AM64" i="16" s="1"/>
  <c r="AL24" i="16"/>
  <c r="AM24" i="16" s="1"/>
  <c r="AL132" i="16"/>
  <c r="AM132" i="16" s="1"/>
  <c r="AL86" i="16"/>
  <c r="AM86" i="16" s="1"/>
  <c r="AL40" i="16"/>
  <c r="AM40" i="16" s="1"/>
  <c r="AL25" i="16"/>
  <c r="AM25" i="16" s="1"/>
  <c r="AL125" i="16"/>
  <c r="AM125" i="16" s="1"/>
  <c r="AL108" i="16"/>
  <c r="AM108" i="16" s="1"/>
  <c r="AL4" i="16"/>
  <c r="AM4" i="16" s="1"/>
  <c r="AL90" i="16"/>
  <c r="AM90" i="16" s="1"/>
  <c r="AL106" i="16"/>
  <c r="AM106" i="16" s="1"/>
  <c r="AL102" i="16"/>
  <c r="AM102" i="16" s="1"/>
  <c r="AL35" i="16"/>
  <c r="AM35" i="16" s="1"/>
  <c r="AL16" i="16"/>
  <c r="AM16" i="16" s="1"/>
  <c r="AL92" i="16"/>
  <c r="AM92" i="16" s="1"/>
  <c r="AL126" i="16"/>
  <c r="AM126" i="16" s="1"/>
  <c r="AL112" i="16"/>
  <c r="AM112" i="16" s="1"/>
  <c r="AL116" i="16"/>
  <c r="AM116" i="16" s="1"/>
  <c r="AL104" i="16"/>
  <c r="AM104" i="16" s="1"/>
  <c r="AL19" i="16"/>
  <c r="AM19" i="16" s="1"/>
  <c r="AL80" i="16"/>
  <c r="AM80" i="16" s="1"/>
  <c r="AL31" i="16"/>
  <c r="AM31" i="16" s="1"/>
  <c r="AL130" i="16"/>
  <c r="AM130" i="16" s="1"/>
  <c r="AL28" i="16"/>
  <c r="AM28" i="16" s="1"/>
  <c r="AL118" i="16"/>
  <c r="AM118" i="16" s="1"/>
  <c r="AL82" i="16"/>
  <c r="AM82" i="16" s="1"/>
  <c r="AL119" i="16"/>
  <c r="AM119" i="16" s="1"/>
  <c r="AL70" i="16"/>
  <c r="AM70" i="16" s="1"/>
  <c r="AL96" i="16"/>
  <c r="AM96" i="16" s="1"/>
  <c r="AL60" i="16"/>
  <c r="AM60" i="16" s="1"/>
  <c r="AR23" i="13"/>
  <c r="AS23" i="13" s="1"/>
  <c r="AR22" i="13"/>
  <c r="AS22" i="13" s="1"/>
  <c r="AR21" i="13"/>
  <c r="AS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S48" i="13" s="1"/>
  <c r="F41" i="13"/>
  <c r="AS41" i="13" s="1"/>
  <c r="F33" i="13"/>
  <c r="F28" i="13"/>
  <c r="F20" i="13"/>
  <c r="C35" i="14"/>
  <c r="C37" i="14" s="1"/>
  <c r="B3" i="17"/>
  <c r="B1" i="17"/>
  <c r="C23" i="25" l="1"/>
  <c r="C20" i="25"/>
  <c r="C17" i="25"/>
  <c r="E17" i="25" s="1"/>
  <c r="C22" i="25"/>
  <c r="C15" i="25"/>
  <c r="C19" i="25"/>
  <c r="AT125" i="13"/>
  <c r="AU125" i="13" s="1"/>
  <c r="C8" i="25"/>
  <c r="C11" i="25"/>
  <c r="C10" i="25"/>
  <c r="F17" i="25"/>
  <c r="G17" i="25" s="1"/>
  <c r="C16" i="25"/>
  <c r="C7" i="25"/>
  <c r="F53" i="13"/>
  <c r="AS53" i="13" s="1"/>
  <c r="AS54" i="13"/>
  <c r="AT65" i="13"/>
  <c r="AU65" i="13" s="1"/>
  <c r="AS65" i="13"/>
  <c r="AT128" i="13"/>
  <c r="AU128" i="13" s="1"/>
  <c r="AS128" i="13"/>
  <c r="F68" i="13"/>
  <c r="AS70" i="13"/>
  <c r="AT131" i="13"/>
  <c r="AU131" i="13" s="1"/>
  <c r="AS131" i="13"/>
  <c r="AT149" i="13"/>
  <c r="AU149" i="13" s="1"/>
  <c r="AS149" i="13"/>
  <c r="F227" i="13"/>
  <c r="AT228" i="13"/>
  <c r="AS28" i="13"/>
  <c r="AT28" i="13"/>
  <c r="F143" i="13"/>
  <c r="AT144" i="13"/>
  <c r="AU144" i="13" s="1"/>
  <c r="AS144" i="13"/>
  <c r="F19" i="13"/>
  <c r="AS20" i="13"/>
  <c r="AS134" i="13"/>
  <c r="AT134" i="13"/>
  <c r="AU134" i="13" s="1"/>
  <c r="AT154" i="13"/>
  <c r="AU154" i="13" s="1"/>
  <c r="AS154" i="13"/>
  <c r="F124" i="13"/>
  <c r="F123" i="13" s="1"/>
  <c r="AL8" i="16"/>
  <c r="AM8" i="16" s="1"/>
  <c r="AL7" i="16"/>
  <c r="AM7" i="16" s="1"/>
  <c r="F148" i="13"/>
  <c r="AT171" i="13"/>
  <c r="AU171" i="13" s="1"/>
  <c r="AS171" i="13"/>
  <c r="AL9" i="16"/>
  <c r="AM9" i="16" s="1"/>
  <c r="AL5" i="16"/>
  <c r="AM5" i="16" s="1"/>
  <c r="F64" i="13"/>
  <c r="AS64" i="13" s="1"/>
  <c r="AL6" i="16"/>
  <c r="AM6" i="16" s="1"/>
  <c r="AT48" i="13"/>
  <c r="AU48" i="13" s="1"/>
  <c r="F77" i="13"/>
  <c r="F76" i="13" s="1"/>
  <c r="F177" i="13"/>
  <c r="AS178" i="13"/>
  <c r="AT178" i="13"/>
  <c r="AU178" i="13" s="1"/>
  <c r="F207" i="13"/>
  <c r="F32" i="13"/>
  <c r="F183" i="13"/>
  <c r="F182" i="13" s="1"/>
  <c r="F166" i="13"/>
  <c r="Q144" i="16"/>
  <c r="F206" i="13" l="1"/>
  <c r="F205" i="13" s="1"/>
  <c r="F204" i="13" s="1"/>
  <c r="C21" i="25"/>
  <c r="F165" i="13"/>
  <c r="C24" i="25"/>
  <c r="C18" i="25"/>
  <c r="C14" i="25"/>
  <c r="F10" i="25"/>
  <c r="G10" i="25" s="1"/>
  <c r="E10" i="25"/>
  <c r="F18" i="13"/>
  <c r="AS18" i="13" s="1"/>
  <c r="F67" i="13"/>
  <c r="F142" i="13"/>
  <c r="AT143" i="13"/>
  <c r="AU143" i="13" s="1"/>
  <c r="AS143" i="13"/>
  <c r="F147" i="13"/>
  <c r="AS177" i="13"/>
  <c r="AT177" i="13"/>
  <c r="AU177" i="13" s="1"/>
  <c r="F63" i="13"/>
  <c r="AS63" i="13" s="1"/>
  <c r="AT64" i="13"/>
  <c r="AU64" i="13" s="1"/>
  <c r="C10" i="14"/>
  <c r="C7" i="14"/>
  <c r="C25" i="25" l="1"/>
  <c r="F17" i="13"/>
  <c r="F16" i="13" s="1"/>
  <c r="F141" i="13"/>
  <c r="AT142" i="13"/>
  <c r="AU142" i="13" s="1"/>
  <c r="AS142" i="13"/>
  <c r="F146" i="13"/>
  <c r="F62" i="13"/>
  <c r="AS62" i="13" s="1"/>
  <c r="AT63" i="13"/>
  <c r="AU63" i="13" s="1"/>
  <c r="E42" i="14"/>
  <c r="C49" i="14"/>
  <c r="AS17" i="13" l="1"/>
  <c r="AT141" i="13"/>
  <c r="AU141" i="13" s="1"/>
  <c r="AS141" i="13"/>
  <c r="F15" i="13"/>
  <c r="AS15" i="13" s="1"/>
  <c r="AS16" i="13"/>
  <c r="AT62" i="13"/>
  <c r="AU62" i="13" s="1"/>
  <c r="F61" i="13"/>
  <c r="F45" i="14"/>
  <c r="F42" i="14"/>
  <c r="D52" i="14"/>
  <c r="D46" i="14"/>
  <c r="D49" i="14"/>
  <c r="F49" i="14" s="1"/>
  <c r="F48" i="14"/>
  <c r="F60" i="13" l="1"/>
  <c r="F51" i="14"/>
  <c r="F50" i="14"/>
  <c r="C46" i="14"/>
  <c r="F46" i="14" s="1"/>
  <c r="F47" i="14"/>
  <c r="C8" i="14"/>
  <c r="C9" i="14"/>
  <c r="A2" i="14"/>
  <c r="C21" i="14"/>
  <c r="C20" i="14"/>
  <c r="F14" i="13" l="1"/>
  <c r="Q146" i="16" s="1"/>
  <c r="B2" i="17"/>
  <c r="C2" i="20"/>
  <c r="C22" i="14"/>
  <c r="C52" i="14"/>
  <c r="F52" i="14" s="1"/>
  <c r="F44" i="14"/>
  <c r="C53" i="14" l="1"/>
  <c r="C11" i="14"/>
  <c r="C12" i="14" s="1"/>
  <c r="C17" i="14"/>
  <c r="C18" i="14"/>
  <c r="C13" i="14"/>
  <c r="C14" i="14"/>
  <c r="C15" i="14"/>
  <c r="R7" i="7"/>
  <c r="R22" i="7"/>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U160" i="13"/>
  <c r="U148" i="13" s="1"/>
  <c r="U147" i="13" s="1"/>
  <c r="T160" i="13"/>
  <c r="T148" i="13" s="1"/>
  <c r="T147" i="13" s="1"/>
  <c r="S160" i="13"/>
  <c r="S148" i="13" s="1"/>
  <c r="S147" i="13" s="1"/>
  <c r="R160" i="13"/>
  <c r="R148" i="13" s="1"/>
  <c r="R147" i="13" s="1"/>
  <c r="Q160" i="13"/>
  <c r="Q148"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U124" i="13"/>
  <c r="U123" i="13" s="1"/>
  <c r="U67" i="13" s="1"/>
  <c r="T124" i="13"/>
  <c r="T123" i="13" s="1"/>
  <c r="T67" i="13" s="1"/>
  <c r="S124" i="13"/>
  <c r="S123" i="13" s="1"/>
  <c r="S67" i="13" s="1"/>
  <c r="R124" i="13"/>
  <c r="R123" i="13" s="1"/>
  <c r="R67" i="13" s="1"/>
  <c r="Q124" i="13"/>
  <c r="P124" i="13"/>
  <c r="P123" i="13" s="1"/>
  <c r="P67" i="13" s="1"/>
  <c r="O124" i="13"/>
  <c r="O123" i="13" s="1"/>
  <c r="O67" i="13" s="1"/>
  <c r="N124" i="13"/>
  <c r="N123" i="13" s="1"/>
  <c r="N67" i="13" s="1"/>
  <c r="M124" i="13"/>
  <c r="M123" i="13" s="1"/>
  <c r="M67" i="13" s="1"/>
  <c r="L124" i="13"/>
  <c r="L123" i="13" s="1"/>
  <c r="L67" i="13" s="1"/>
  <c r="K124" i="13"/>
  <c r="K123" i="13" s="1"/>
  <c r="K67" i="13" s="1"/>
  <c r="J225" i="13"/>
  <c r="I225" i="13"/>
  <c r="J221" i="13"/>
  <c r="I221" i="13"/>
  <c r="J215" i="13"/>
  <c r="I215" i="13"/>
  <c r="J200" i="13"/>
  <c r="I200" i="13"/>
  <c r="J197" i="13"/>
  <c r="I197" i="13"/>
  <c r="J193" i="13"/>
  <c r="I193" i="13"/>
  <c r="J190" i="13"/>
  <c r="I190" i="13"/>
  <c r="J187" i="13"/>
  <c r="I187" i="13"/>
  <c r="J124" i="13"/>
  <c r="J123" i="13" s="1"/>
  <c r="J67" i="13" s="1"/>
  <c r="I124" i="13"/>
  <c r="I123" i="13" s="1"/>
  <c r="I67" i="13" s="1"/>
  <c r="H225" i="13"/>
  <c r="H221" i="13"/>
  <c r="H215" i="13"/>
  <c r="H200" i="13"/>
  <c r="H197" i="13"/>
  <c r="H193" i="13"/>
  <c r="H190" i="13"/>
  <c r="H187" i="13"/>
  <c r="H137" i="13"/>
  <c r="AT231" i="13"/>
  <c r="AU231" i="13" s="1"/>
  <c r="AS231" i="13"/>
  <c r="AT22" i="13"/>
  <c r="AU22" i="13" s="1"/>
  <c r="AT23" i="13"/>
  <c r="AU23" i="13" s="1"/>
  <c r="AR25" i="13"/>
  <c r="AS25" i="13" s="1"/>
  <c r="AR26" i="13"/>
  <c r="AR27" i="13"/>
  <c r="AR30" i="13"/>
  <c r="AR31" i="13"/>
  <c r="AR34" i="13"/>
  <c r="AR35" i="13"/>
  <c r="AR36" i="13"/>
  <c r="AR37" i="13"/>
  <c r="AS37" i="13" s="1"/>
  <c r="AR38" i="13"/>
  <c r="AR39" i="13"/>
  <c r="AR40" i="13"/>
  <c r="AR42" i="13"/>
  <c r="AR43" i="13"/>
  <c r="AR44" i="13"/>
  <c r="AR45" i="13"/>
  <c r="AS45" i="13" s="1"/>
  <c r="AR46" i="13"/>
  <c r="AS46" i="13" s="1"/>
  <c r="AR47" i="13"/>
  <c r="AR49" i="13"/>
  <c r="AS49" i="13" s="1"/>
  <c r="AR50" i="13"/>
  <c r="AR51" i="13"/>
  <c r="AR52" i="13"/>
  <c r="AR55" i="13"/>
  <c r="AR56" i="13"/>
  <c r="AR57" i="13"/>
  <c r="AS57" i="13" s="1"/>
  <c r="AR58" i="13"/>
  <c r="AR59" i="13"/>
  <c r="AR66" i="13"/>
  <c r="AR71" i="13"/>
  <c r="AR72" i="13"/>
  <c r="AR73" i="13"/>
  <c r="AR74" i="13"/>
  <c r="AR75" i="13"/>
  <c r="AR79" i="13"/>
  <c r="AR80" i="13"/>
  <c r="AR81" i="13"/>
  <c r="AS81" i="13" s="1"/>
  <c r="AR83" i="13"/>
  <c r="AR84" i="13"/>
  <c r="AR85" i="13"/>
  <c r="AR87" i="13"/>
  <c r="AR88" i="13"/>
  <c r="AS88" i="13" s="1"/>
  <c r="AR89" i="13"/>
  <c r="AR90" i="13"/>
  <c r="AR92" i="13"/>
  <c r="AS92" i="13" s="1"/>
  <c r="AR93" i="13"/>
  <c r="AR94" i="13"/>
  <c r="AR96" i="13"/>
  <c r="AS96" i="13" s="1"/>
  <c r="AR97" i="13"/>
  <c r="AS97" i="13" s="1"/>
  <c r="AR99" i="13"/>
  <c r="AR100" i="13"/>
  <c r="AS100" i="13" s="1"/>
  <c r="AR101" i="13"/>
  <c r="AS101" i="13" s="1"/>
  <c r="AR103" i="13"/>
  <c r="AT103" i="13" s="1"/>
  <c r="AU103" i="13" s="1"/>
  <c r="AR104" i="13"/>
  <c r="AT104" i="13" s="1"/>
  <c r="AU104" i="13" s="1"/>
  <c r="AR105" i="13"/>
  <c r="AR106" i="13"/>
  <c r="AT106" i="13" s="1"/>
  <c r="AU106" i="13" s="1"/>
  <c r="AR107" i="13"/>
  <c r="AT107" i="13" s="1"/>
  <c r="AU107" i="13" s="1"/>
  <c r="AR109" i="13"/>
  <c r="AR110" i="13"/>
  <c r="AS110" i="13" s="1"/>
  <c r="AR111" i="13"/>
  <c r="AT111" i="13" s="1"/>
  <c r="AU111" i="13" s="1"/>
  <c r="AR112" i="13"/>
  <c r="AT112" i="13" s="1"/>
  <c r="AU112" i="13" s="1"/>
  <c r="AR114" i="13"/>
  <c r="AT114" i="13" s="1"/>
  <c r="AU114" i="13" s="1"/>
  <c r="AR115" i="13"/>
  <c r="AT115" i="13" s="1"/>
  <c r="AU115" i="13" s="1"/>
  <c r="AR116" i="13"/>
  <c r="AR117" i="13"/>
  <c r="AR119" i="13"/>
  <c r="AT119" i="13" s="1"/>
  <c r="AU119" i="13" s="1"/>
  <c r="AR120" i="13"/>
  <c r="AT120" i="13" s="1"/>
  <c r="AU120" i="13" s="1"/>
  <c r="AR121" i="13"/>
  <c r="AT121" i="13" s="1"/>
  <c r="AR122" i="13"/>
  <c r="AT122" i="13" s="1"/>
  <c r="AU122" i="13" s="1"/>
  <c r="AR127" i="13"/>
  <c r="AR156" i="13"/>
  <c r="AT156" i="13" s="1"/>
  <c r="AU156" i="13" s="1"/>
  <c r="AR157" i="13"/>
  <c r="AT157" i="13" s="1"/>
  <c r="AU157" i="13" s="1"/>
  <c r="AR158" i="13"/>
  <c r="AR159" i="13"/>
  <c r="AT159" i="13" s="1"/>
  <c r="AU159" i="13" s="1"/>
  <c r="AR161" i="13"/>
  <c r="AT161" i="13" s="1"/>
  <c r="AU161" i="13" s="1"/>
  <c r="AR162" i="13"/>
  <c r="AR163" i="13"/>
  <c r="AT163" i="13" s="1"/>
  <c r="AU163" i="13" s="1"/>
  <c r="AR164" i="13"/>
  <c r="AT164" i="13" s="1"/>
  <c r="AU164" i="13" s="1"/>
  <c r="AR168" i="13"/>
  <c r="AT168" i="13" s="1"/>
  <c r="AU168" i="13" s="1"/>
  <c r="AR169" i="13"/>
  <c r="AT169" i="13" s="1"/>
  <c r="AU169" i="13" s="1"/>
  <c r="AR170" i="13"/>
  <c r="AR172" i="13"/>
  <c r="AT172" i="13" s="1"/>
  <c r="AU172" i="13" s="1"/>
  <c r="AR173" i="13"/>
  <c r="AT173" i="13" s="1"/>
  <c r="AU173" i="13" s="1"/>
  <c r="AR174" i="13"/>
  <c r="AR175" i="13"/>
  <c r="AT175" i="13" s="1"/>
  <c r="AU175" i="13" s="1"/>
  <c r="AR176" i="13"/>
  <c r="AT176" i="13" s="1"/>
  <c r="AU176" i="13" s="1"/>
  <c r="AR179" i="13"/>
  <c r="AT179" i="13" s="1"/>
  <c r="AU179" i="13" s="1"/>
  <c r="AR180" i="13"/>
  <c r="AT180" i="13" s="1"/>
  <c r="AU180" i="13" s="1"/>
  <c r="AR181" i="13"/>
  <c r="AT181" i="13" s="1"/>
  <c r="AU181" i="13" s="1"/>
  <c r="AR185" i="13"/>
  <c r="AT185" i="13" s="1"/>
  <c r="AU185" i="13" s="1"/>
  <c r="AR186" i="13"/>
  <c r="AR188" i="13"/>
  <c r="AT188" i="13" s="1"/>
  <c r="AU188" i="13" s="1"/>
  <c r="AR189" i="13"/>
  <c r="AR191" i="13"/>
  <c r="AT191" i="13" s="1"/>
  <c r="AU191" i="13" s="1"/>
  <c r="AR192" i="13"/>
  <c r="AR194" i="13"/>
  <c r="AT194" i="13" s="1"/>
  <c r="AU194" i="13" s="1"/>
  <c r="AR195" i="13"/>
  <c r="AR196" i="13"/>
  <c r="AT196" i="13" s="1"/>
  <c r="AU196" i="13" s="1"/>
  <c r="AR198" i="13"/>
  <c r="AR199" i="13"/>
  <c r="AS199" i="13" s="1"/>
  <c r="AR201" i="13"/>
  <c r="AR202" i="13"/>
  <c r="AT202" i="13" s="1"/>
  <c r="AU202" i="13" s="1"/>
  <c r="AR203" i="13"/>
  <c r="AT203" i="13" s="1"/>
  <c r="AU203" i="13" s="1"/>
  <c r="AR209" i="13"/>
  <c r="AT209" i="13" s="1"/>
  <c r="AU209" i="13" s="1"/>
  <c r="AR210" i="13"/>
  <c r="AT210" i="13" s="1"/>
  <c r="AU210" i="13" s="1"/>
  <c r="AR211" i="13"/>
  <c r="AT211" i="13" s="1"/>
  <c r="AU211" i="13" s="1"/>
  <c r="AR212" i="13"/>
  <c r="AR213" i="13"/>
  <c r="AS213" i="13" s="1"/>
  <c r="AR214" i="13"/>
  <c r="AT214" i="13" s="1"/>
  <c r="AU214" i="13" s="1"/>
  <c r="AR216" i="13"/>
  <c r="AR217" i="13"/>
  <c r="AT217" i="13" s="1"/>
  <c r="AU217" i="13" s="1"/>
  <c r="AR218" i="13"/>
  <c r="AT218" i="13" s="1"/>
  <c r="AU218" i="13" s="1"/>
  <c r="AR219" i="13"/>
  <c r="AT219" i="13" s="1"/>
  <c r="AU219" i="13" s="1"/>
  <c r="AR220" i="13"/>
  <c r="AR222" i="13"/>
  <c r="AT222" i="13" s="1"/>
  <c r="AU222" i="13" s="1"/>
  <c r="AR223" i="13"/>
  <c r="AT223" i="13" s="1"/>
  <c r="AU223" i="13" s="1"/>
  <c r="AR224" i="13"/>
  <c r="AR226" i="13"/>
  <c r="AT226" i="13" s="1"/>
  <c r="AU226" i="13" s="1"/>
  <c r="AR229" i="13"/>
  <c r="AT229" i="13" s="1"/>
  <c r="AU229" i="13" s="1"/>
  <c r="AR230" i="13"/>
  <c r="AT230" i="13" s="1"/>
  <c r="AU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J207" i="13" l="1"/>
  <c r="J206" i="13" s="1"/>
  <c r="J205" i="13" s="1"/>
  <c r="J204" i="13" s="1"/>
  <c r="S115" i="16"/>
  <c r="AJ115" i="16" s="1"/>
  <c r="S131" i="16"/>
  <c r="AJ131" i="16" s="1"/>
  <c r="N183" i="13"/>
  <c r="N182" i="13" s="1"/>
  <c r="N146" i="13" s="1"/>
  <c r="N61" i="13" s="1"/>
  <c r="R183" i="13"/>
  <c r="R182" i="13" s="1"/>
  <c r="R146" i="13" s="1"/>
  <c r="R61" i="13" s="1"/>
  <c r="V183" i="13"/>
  <c r="V182" i="13" s="1"/>
  <c r="V146" i="13" s="1"/>
  <c r="V61" i="13" s="1"/>
  <c r="Z183" i="13"/>
  <c r="Z182" i="13" s="1"/>
  <c r="Z146" i="13" s="1"/>
  <c r="Z61" i="13" s="1"/>
  <c r="AD183" i="13"/>
  <c r="AD182" i="13" s="1"/>
  <c r="AD146" i="13" s="1"/>
  <c r="AD61" i="13" s="1"/>
  <c r="AH183" i="13"/>
  <c r="AH182" i="13" s="1"/>
  <c r="AH146" i="13" s="1"/>
  <c r="AH61" i="13" s="1"/>
  <c r="AL183" i="13"/>
  <c r="AL182" i="13" s="1"/>
  <c r="AL146" i="13" s="1"/>
  <c r="AL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S117" i="16"/>
  <c r="AJ117" i="16" s="1"/>
  <c r="S136" i="16"/>
  <c r="AJ136" i="16" s="1"/>
  <c r="AS84" i="13"/>
  <c r="D46" i="25"/>
  <c r="AT94" i="13"/>
  <c r="AU94" i="13" s="1"/>
  <c r="AS94" i="13"/>
  <c r="AT72" i="13"/>
  <c r="AU72" i="13" s="1"/>
  <c r="AS72" i="13"/>
  <c r="AT52" i="13"/>
  <c r="AU52" i="13" s="1"/>
  <c r="AS52" i="13"/>
  <c r="AT43" i="13"/>
  <c r="AU43" i="13" s="1"/>
  <c r="AS43" i="13"/>
  <c r="AT38" i="13"/>
  <c r="AU38" i="13" s="1"/>
  <c r="AS38" i="13"/>
  <c r="AT26" i="13"/>
  <c r="AU26" i="13" s="1"/>
  <c r="AS26" i="13"/>
  <c r="AT87" i="13"/>
  <c r="AU87" i="13" s="1"/>
  <c r="AS87" i="13"/>
  <c r="AT74" i="13"/>
  <c r="AU74" i="13" s="1"/>
  <c r="AS74" i="13"/>
  <c r="AS66" i="13"/>
  <c r="AT66" i="13"/>
  <c r="AU66" i="13" s="1"/>
  <c r="AT56" i="13"/>
  <c r="AU56" i="13" s="1"/>
  <c r="AS56" i="13"/>
  <c r="AT50" i="13"/>
  <c r="AU50" i="13" s="1"/>
  <c r="AS50" i="13"/>
  <c r="AT40" i="13"/>
  <c r="AU40" i="13" s="1"/>
  <c r="AS40" i="13"/>
  <c r="AT36" i="13"/>
  <c r="AU36" i="13" s="1"/>
  <c r="AS36" i="13"/>
  <c r="AS30" i="13"/>
  <c r="AT30" i="13"/>
  <c r="AU30" i="13" s="1"/>
  <c r="H124" i="13"/>
  <c r="H123" i="13" s="1"/>
  <c r="H67" i="13" s="1"/>
  <c r="AR137" i="13"/>
  <c r="S83" i="16"/>
  <c r="S120" i="16"/>
  <c r="AJ120" i="16" s="1"/>
  <c r="AK120" i="16" s="1"/>
  <c r="S139" i="16"/>
  <c r="AJ139" i="16" s="1"/>
  <c r="AK139" i="16" s="1"/>
  <c r="Q147" i="13"/>
  <c r="AR147" i="13" s="1"/>
  <c r="AR148" i="13"/>
  <c r="AT89" i="13"/>
  <c r="AU89" i="13" s="1"/>
  <c r="AS89" i="13"/>
  <c r="AT79" i="13"/>
  <c r="AU79" i="13" s="1"/>
  <c r="AS79" i="13"/>
  <c r="AT58" i="13"/>
  <c r="AU58" i="13" s="1"/>
  <c r="AS58" i="13"/>
  <c r="AT47" i="13"/>
  <c r="AU47" i="13" s="1"/>
  <c r="AS47" i="13"/>
  <c r="AT34" i="13"/>
  <c r="AU34" i="13" s="1"/>
  <c r="AS34" i="13"/>
  <c r="AT127" i="13"/>
  <c r="AU127" i="13" s="1"/>
  <c r="AT99" i="13"/>
  <c r="AU99" i="13" s="1"/>
  <c r="AS99" i="13"/>
  <c r="AT93" i="13"/>
  <c r="AU93" i="13" s="1"/>
  <c r="AS93" i="13"/>
  <c r="AT83" i="13"/>
  <c r="AU83" i="13" s="1"/>
  <c r="AS83" i="13"/>
  <c r="AT71" i="13"/>
  <c r="AU71" i="13" s="1"/>
  <c r="AS71" i="13"/>
  <c r="AT51" i="13"/>
  <c r="AU51" i="13" s="1"/>
  <c r="AS51" i="13"/>
  <c r="AT42" i="13"/>
  <c r="AU42" i="13" s="1"/>
  <c r="AS42" i="13"/>
  <c r="AT116" i="13"/>
  <c r="AU116" i="13" s="1"/>
  <c r="AT90" i="13"/>
  <c r="AU90" i="13" s="1"/>
  <c r="AS90" i="13"/>
  <c r="AT85" i="13"/>
  <c r="AU85" i="13" s="1"/>
  <c r="AS85" i="13"/>
  <c r="AT80" i="13"/>
  <c r="AU80" i="13" s="1"/>
  <c r="AS80" i="13"/>
  <c r="AS73" i="13"/>
  <c r="AT73" i="13"/>
  <c r="AU73" i="13" s="1"/>
  <c r="AT55" i="13"/>
  <c r="AU55" i="13" s="1"/>
  <c r="AS55" i="13"/>
  <c r="AT44" i="13"/>
  <c r="AU44" i="13" s="1"/>
  <c r="AS44" i="13"/>
  <c r="AT39" i="13"/>
  <c r="AU39" i="13" s="1"/>
  <c r="AS39" i="13"/>
  <c r="AT35" i="13"/>
  <c r="AU35" i="13" s="1"/>
  <c r="AS35" i="13"/>
  <c r="AT27" i="13"/>
  <c r="AU27" i="13" s="1"/>
  <c r="AS27" i="13"/>
  <c r="S113" i="16"/>
  <c r="AJ113" i="16" s="1"/>
  <c r="AK113" i="16" s="1"/>
  <c r="S122" i="16"/>
  <c r="AJ122" i="16" s="1"/>
  <c r="AK122" i="16" s="1"/>
  <c r="AT75" i="13"/>
  <c r="AU75" i="13" s="1"/>
  <c r="AS75" i="13"/>
  <c r="AT31" i="13"/>
  <c r="AU31" i="13" s="1"/>
  <c r="AS31" i="13"/>
  <c r="AT59" i="13"/>
  <c r="AU59" i="13" s="1"/>
  <c r="AS59" i="13"/>
  <c r="Q123" i="13"/>
  <c r="H207" i="13"/>
  <c r="H206" i="13" s="1"/>
  <c r="H205" i="13" s="1"/>
  <c r="H204" i="13" s="1"/>
  <c r="AS155" i="13"/>
  <c r="AP183" i="13"/>
  <c r="AP182" i="13" s="1"/>
  <c r="AP146" i="13" s="1"/>
  <c r="AP61"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I183" i="13"/>
  <c r="I182" i="13" s="1"/>
  <c r="J183" i="13"/>
  <c r="J182" i="13" s="1"/>
  <c r="L183" i="13"/>
  <c r="L182" i="13" s="1"/>
  <c r="P183" i="13"/>
  <c r="P182" i="13" s="1"/>
  <c r="T183" i="13"/>
  <c r="T182" i="13" s="1"/>
  <c r="T146" i="13" s="1"/>
  <c r="T61" i="13" s="1"/>
  <c r="X183" i="13"/>
  <c r="X182" i="13" s="1"/>
  <c r="X146" i="13" s="1"/>
  <c r="X61" i="13" s="1"/>
  <c r="AB183" i="13"/>
  <c r="AB182" i="13" s="1"/>
  <c r="AF183" i="13"/>
  <c r="AF182" i="13" s="1"/>
  <c r="AJ183" i="13"/>
  <c r="AJ182"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K183" i="13"/>
  <c r="K182" i="13" s="1"/>
  <c r="O183" i="13"/>
  <c r="O182" i="13" s="1"/>
  <c r="S183" i="13"/>
  <c r="S182" i="13" s="1"/>
  <c r="W183" i="13"/>
  <c r="W182" i="13" s="1"/>
  <c r="W146" i="13" s="1"/>
  <c r="AA183" i="13"/>
  <c r="AA182" i="13" s="1"/>
  <c r="AA146" i="13" s="1"/>
  <c r="AE183" i="13"/>
  <c r="AE182" i="13" s="1"/>
  <c r="AI183" i="13"/>
  <c r="AI182" i="13" s="1"/>
  <c r="AM183" i="13"/>
  <c r="AM182" i="13" s="1"/>
  <c r="AM146" i="13" s="1"/>
  <c r="AQ183" i="13"/>
  <c r="AQ182" i="13" s="1"/>
  <c r="AQ146" i="13" s="1"/>
  <c r="H183" i="13"/>
  <c r="H182" i="13" s="1"/>
  <c r="H146" i="13" s="1"/>
  <c r="I207" i="13"/>
  <c r="I206" i="13" s="1"/>
  <c r="I205" i="13" s="1"/>
  <c r="I204" i="13" s="1"/>
  <c r="M183" i="13"/>
  <c r="M182" i="13" s="1"/>
  <c r="Q183" i="13"/>
  <c r="Q182" i="13" s="1"/>
  <c r="U183" i="13"/>
  <c r="U182" i="13" s="1"/>
  <c r="U146" i="13" s="1"/>
  <c r="Y183" i="13"/>
  <c r="Y182" i="13" s="1"/>
  <c r="AC183" i="13"/>
  <c r="AC182" i="13" s="1"/>
  <c r="AG183" i="13"/>
  <c r="AG182" i="13" s="1"/>
  <c r="AG146" i="13" s="1"/>
  <c r="AK183" i="13"/>
  <c r="AK182" i="13" s="1"/>
  <c r="AK146" i="13" s="1"/>
  <c r="AO183" i="13"/>
  <c r="AO182"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U144" i="16"/>
  <c r="AJ58" i="16"/>
  <c r="AK58" i="16"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R225" i="13"/>
  <c r="AS225" i="13" s="1"/>
  <c r="AR190" i="13"/>
  <c r="AT190" i="13" s="1"/>
  <c r="AU190" i="13" s="1"/>
  <c r="AR160" i="13"/>
  <c r="D15" i="25" s="1"/>
  <c r="AR200" i="13"/>
  <c r="AS200" i="13" s="1"/>
  <c r="AR82" i="13"/>
  <c r="AR102" i="13"/>
  <c r="AR184" i="13"/>
  <c r="AR197" i="13"/>
  <c r="AT197" i="13" s="1"/>
  <c r="AU197" i="13" s="1"/>
  <c r="AU228" i="13"/>
  <c r="AR86" i="13"/>
  <c r="AR108" i="13"/>
  <c r="AR187" i="13"/>
  <c r="AT187" i="13" s="1"/>
  <c r="AU187" i="13" s="1"/>
  <c r="AR78" i="13"/>
  <c r="AR95" i="13"/>
  <c r="AR118" i="13"/>
  <c r="AT118" i="13" s="1"/>
  <c r="AU118" i="13" s="1"/>
  <c r="AR193" i="13"/>
  <c r="AT193" i="13" s="1"/>
  <c r="AU193" i="13" s="1"/>
  <c r="AR215" i="13"/>
  <c r="AR33" i="13"/>
  <c r="AR221" i="13"/>
  <c r="AT221" i="13" s="1"/>
  <c r="AU221" i="13" s="1"/>
  <c r="AR208" i="13"/>
  <c r="AR91" i="13"/>
  <c r="AR113" i="13"/>
  <c r="AS113" i="13" s="1"/>
  <c r="AR227" i="13"/>
  <c r="AT227" i="13" s="1"/>
  <c r="AU227" i="13" s="1"/>
  <c r="AT155" i="13"/>
  <c r="AR68" i="13"/>
  <c r="AR69" i="13"/>
  <c r="AS211" i="13"/>
  <c r="AS185" i="13"/>
  <c r="AS169" i="13"/>
  <c r="AS112" i="13"/>
  <c r="AT100" i="13"/>
  <c r="AU100" i="13" s="1"/>
  <c r="AS226" i="13"/>
  <c r="AS218" i="13"/>
  <c r="AS210" i="13"/>
  <c r="AS203" i="13"/>
  <c r="AS176" i="13"/>
  <c r="AS168" i="13"/>
  <c r="AS119" i="13"/>
  <c r="AS111" i="13"/>
  <c r="AS103" i="13"/>
  <c r="AT97" i="13"/>
  <c r="AU97" i="13" s="1"/>
  <c r="AT46" i="13"/>
  <c r="AU46" i="13" s="1"/>
  <c r="AS223" i="13"/>
  <c r="AS194" i="13"/>
  <c r="AS188" i="13"/>
  <c r="AS181" i="13"/>
  <c r="AS173" i="13"/>
  <c r="AS157" i="13"/>
  <c r="AS116" i="13"/>
  <c r="AT199" i="13"/>
  <c r="AU199" i="13" s="1"/>
  <c r="AS219" i="13"/>
  <c r="AS191" i="13"/>
  <c r="AS161" i="13"/>
  <c r="AS120" i="13"/>
  <c r="AS104" i="13"/>
  <c r="AS230" i="13"/>
  <c r="AS222" i="13"/>
  <c r="AS214" i="13"/>
  <c r="AS180" i="13"/>
  <c r="AS172" i="13"/>
  <c r="AS164" i="13"/>
  <c r="AS156" i="13"/>
  <c r="AS115" i="13"/>
  <c r="AS107" i="13"/>
  <c r="AT213" i="13"/>
  <c r="AU213" i="13" s="1"/>
  <c r="AT110" i="13"/>
  <c r="AU110" i="13" s="1"/>
  <c r="AS224" i="13"/>
  <c r="AT224" i="13"/>
  <c r="AU224" i="13" s="1"/>
  <c r="AS220" i="13"/>
  <c r="AT220" i="13"/>
  <c r="AU220" i="13" s="1"/>
  <c r="AS216" i="13"/>
  <c r="AT216" i="13"/>
  <c r="AU216" i="13" s="1"/>
  <c r="AT212" i="13"/>
  <c r="AU212" i="13" s="1"/>
  <c r="AS212" i="13"/>
  <c r="AT201" i="13"/>
  <c r="AU201" i="13" s="1"/>
  <c r="AS201" i="13"/>
  <c r="AT198" i="13"/>
  <c r="AU198" i="13" s="1"/>
  <c r="AS198" i="13"/>
  <c r="AS195" i="13"/>
  <c r="AT195" i="13"/>
  <c r="AU195" i="13" s="1"/>
  <c r="AS192" i="13"/>
  <c r="AT192" i="13"/>
  <c r="AU192" i="13" s="1"/>
  <c r="AS189" i="13"/>
  <c r="AT189" i="13"/>
  <c r="AU189" i="13" s="1"/>
  <c r="AT186" i="13"/>
  <c r="AU186" i="13" s="1"/>
  <c r="AS186" i="13"/>
  <c r="AS174" i="13"/>
  <c r="AT174" i="13"/>
  <c r="AU174" i="13" s="1"/>
  <c r="AT170" i="13"/>
  <c r="AU170" i="13" s="1"/>
  <c r="AS170" i="13"/>
  <c r="AS162" i="13"/>
  <c r="AT162" i="13"/>
  <c r="AU162" i="13" s="1"/>
  <c r="AS158" i="13"/>
  <c r="AT158" i="13"/>
  <c r="AU158" i="13" s="1"/>
  <c r="AS126" i="13"/>
  <c r="AS121" i="13"/>
  <c r="AU121" i="13"/>
  <c r="AT117" i="13"/>
  <c r="AU117" i="13" s="1"/>
  <c r="AS117" i="13"/>
  <c r="AS109" i="13"/>
  <c r="AT109" i="13"/>
  <c r="AU109" i="13" s="1"/>
  <c r="AS105" i="13"/>
  <c r="AT105" i="13"/>
  <c r="AU105" i="13" s="1"/>
  <c r="AT101" i="13"/>
  <c r="AU101" i="13" s="1"/>
  <c r="AT96" i="13"/>
  <c r="AU96" i="13" s="1"/>
  <c r="AT92" i="13"/>
  <c r="AU92" i="13" s="1"/>
  <c r="AT88" i="13"/>
  <c r="AU88" i="13" s="1"/>
  <c r="AT84" i="13"/>
  <c r="AU84" i="13" s="1"/>
  <c r="AT81" i="13"/>
  <c r="AU81" i="13" s="1"/>
  <c r="AT57" i="13"/>
  <c r="AU57" i="13" s="1"/>
  <c r="AT49" i="13"/>
  <c r="AU49" i="13" s="1"/>
  <c r="AT45" i="13"/>
  <c r="AU45" i="13" s="1"/>
  <c r="AT37" i="13"/>
  <c r="AU37" i="13" s="1"/>
  <c r="AT25" i="13"/>
  <c r="AU25" i="13" s="1"/>
  <c r="AT21" i="13"/>
  <c r="AU21" i="13" s="1"/>
  <c r="AS229" i="13"/>
  <c r="AS217" i="13"/>
  <c r="AS209" i="13"/>
  <c r="AS202" i="13"/>
  <c r="AS196" i="13"/>
  <c r="AS179" i="13"/>
  <c r="AS175" i="13"/>
  <c r="AS163" i="13"/>
  <c r="AS159" i="13"/>
  <c r="AS127" i="13"/>
  <c r="AS122" i="13"/>
  <c r="AS114" i="13"/>
  <c r="AS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L117" i="16" l="1"/>
  <c r="AM117" i="16" s="1"/>
  <c r="AK117" i="16"/>
  <c r="AL131" i="16"/>
  <c r="AM131" i="16" s="1"/>
  <c r="AK131" i="16"/>
  <c r="AL136" i="16"/>
  <c r="AM136" i="16" s="1"/>
  <c r="AK136" i="16"/>
  <c r="AL115" i="16"/>
  <c r="AM115" i="16" s="1"/>
  <c r="AK115" i="16"/>
  <c r="D7" i="14"/>
  <c r="N60" i="13"/>
  <c r="N14" i="13" s="1"/>
  <c r="V60" i="13"/>
  <c r="V14" i="13" s="1"/>
  <c r="D11" i="25"/>
  <c r="E11" i="25" s="1"/>
  <c r="AT102" i="13"/>
  <c r="AU102" i="13" s="1"/>
  <c r="D23" i="25"/>
  <c r="D48" i="25"/>
  <c r="F46" i="25"/>
  <c r="G46" i="25" s="1"/>
  <c r="E46" i="25"/>
  <c r="D16" i="25"/>
  <c r="E16" i="25" s="1"/>
  <c r="AS78" i="13"/>
  <c r="D7" i="25"/>
  <c r="F7" i="25" s="1"/>
  <c r="G7" i="25" s="1"/>
  <c r="D9" i="25"/>
  <c r="D8" i="25"/>
  <c r="E15" i="25"/>
  <c r="F15" i="25"/>
  <c r="G15" i="25" s="1"/>
  <c r="AS33" i="13"/>
  <c r="D22" i="25"/>
  <c r="AT108" i="13"/>
  <c r="AU108" i="13" s="1"/>
  <c r="D19" i="25"/>
  <c r="Q146" i="13"/>
  <c r="AR124" i="13"/>
  <c r="AT124" i="13" s="1"/>
  <c r="AT91" i="13"/>
  <c r="AU91" i="13" s="1"/>
  <c r="AS91" i="13"/>
  <c r="AT82" i="13"/>
  <c r="AU82" i="13" s="1"/>
  <c r="AS82" i="13"/>
  <c r="AT148" i="13"/>
  <c r="AU148" i="13" s="1"/>
  <c r="AS148" i="13"/>
  <c r="S144" i="16"/>
  <c r="AJ83" i="16"/>
  <c r="AL122" i="16"/>
  <c r="AM122" i="16" s="1"/>
  <c r="AT147" i="13"/>
  <c r="AU147" i="13" s="1"/>
  <c r="AS147" i="13"/>
  <c r="AT137" i="13"/>
  <c r="AU137" i="13" s="1"/>
  <c r="AS137" i="13"/>
  <c r="H61" i="13"/>
  <c r="H60" i="13" s="1"/>
  <c r="H14" i="13" s="1"/>
  <c r="AL113" i="16"/>
  <c r="AM113" i="16" s="1"/>
  <c r="AL139" i="16"/>
  <c r="AM139" i="16" s="1"/>
  <c r="AT95" i="13"/>
  <c r="AU95" i="13" s="1"/>
  <c r="AS95" i="13"/>
  <c r="AT86" i="13"/>
  <c r="AU86" i="13" s="1"/>
  <c r="AS86" i="13"/>
  <c r="AL120" i="16"/>
  <c r="AM120" i="16" s="1"/>
  <c r="AT69" i="13"/>
  <c r="AU69" i="13" s="1"/>
  <c r="AS69" i="13"/>
  <c r="AT68" i="13"/>
  <c r="AU68" i="13" s="1"/>
  <c r="AS68" i="13"/>
  <c r="AT215" i="13"/>
  <c r="AU215" i="13" s="1"/>
  <c r="D14" i="14"/>
  <c r="Q67" i="13"/>
  <c r="AR67" i="13" s="1"/>
  <c r="AR123" i="13"/>
  <c r="AT123" i="13" s="1"/>
  <c r="AU123" i="13" s="1"/>
  <c r="M146" i="13"/>
  <c r="M61" i="13" s="1"/>
  <c r="M60" i="13" s="1"/>
  <c r="M14" i="13" s="1"/>
  <c r="P146" i="13"/>
  <c r="P61" i="13" s="1"/>
  <c r="P60" i="13" s="1"/>
  <c r="P14" i="13" s="1"/>
  <c r="AF146" i="13"/>
  <c r="AF61" i="13" s="1"/>
  <c r="AF60" i="13" s="1"/>
  <c r="AF14" i="13" s="1"/>
  <c r="AI146" i="13"/>
  <c r="AI61" i="13" s="1"/>
  <c r="AI60" i="13" s="1"/>
  <c r="AI14" i="13" s="1"/>
  <c r="O146" i="13"/>
  <c r="O61" i="13" s="1"/>
  <c r="O60" i="13" s="1"/>
  <c r="O14" i="13" s="1"/>
  <c r="L146" i="13"/>
  <c r="L61" i="13" s="1"/>
  <c r="L60" i="13" s="1"/>
  <c r="L14" i="13" s="1"/>
  <c r="AE146" i="13"/>
  <c r="AE61" i="13" s="1"/>
  <c r="AE60" i="13" s="1"/>
  <c r="AE14" i="13" s="1"/>
  <c r="AB146" i="13"/>
  <c r="AB61" i="13" s="1"/>
  <c r="AB60" i="13" s="1"/>
  <c r="AB14" i="13" s="1"/>
  <c r="AK61" i="13"/>
  <c r="AK60" i="13" s="1"/>
  <c r="AK14" i="13" s="1"/>
  <c r="U61" i="13"/>
  <c r="U60" i="13" s="1"/>
  <c r="U14" i="13" s="1"/>
  <c r="AQ61" i="13"/>
  <c r="AQ60" i="13" s="1"/>
  <c r="AQ14" i="13" s="1"/>
  <c r="AA61" i="13"/>
  <c r="AA60" i="13" s="1"/>
  <c r="AA14" i="13" s="1"/>
  <c r="K146" i="13"/>
  <c r="K61" i="13" s="1"/>
  <c r="K60" i="13" s="1"/>
  <c r="K14" i="13" s="1"/>
  <c r="J146" i="13"/>
  <c r="J61" i="13" s="1"/>
  <c r="J60" i="13" s="1"/>
  <c r="J14" i="13" s="1"/>
  <c r="S146" i="13"/>
  <c r="S61" i="13" s="1"/>
  <c r="S60" i="13" s="1"/>
  <c r="S14" i="13" s="1"/>
  <c r="AC146" i="13"/>
  <c r="AC61" i="13" s="1"/>
  <c r="AC60" i="13" s="1"/>
  <c r="AC14" i="13" s="1"/>
  <c r="AN146" i="13"/>
  <c r="AN61" i="13" s="1"/>
  <c r="AN60" i="13" s="1"/>
  <c r="AN14" i="13" s="1"/>
  <c r="AU155" i="13"/>
  <c r="AG61" i="13"/>
  <c r="AG60" i="13" s="1"/>
  <c r="AG14" i="13" s="1"/>
  <c r="AM61" i="13"/>
  <c r="AM60" i="13" s="1"/>
  <c r="AM14" i="13" s="1"/>
  <c r="W61" i="13"/>
  <c r="W60" i="13" s="1"/>
  <c r="W14" i="13" s="1"/>
  <c r="I146" i="13"/>
  <c r="I61" i="13" s="1"/>
  <c r="I60" i="13" s="1"/>
  <c r="I14" i="13" s="1"/>
  <c r="AO146" i="13"/>
  <c r="AO61" i="13" s="1"/>
  <c r="AO60" i="13" s="1"/>
  <c r="AO14" i="13" s="1"/>
  <c r="Y146" i="13"/>
  <c r="Y61" i="13" s="1"/>
  <c r="Y60" i="13" s="1"/>
  <c r="Y14" i="13" s="1"/>
  <c r="AJ146" i="13"/>
  <c r="AJ61" i="13" s="1"/>
  <c r="AJ60" i="13" s="1"/>
  <c r="AJ14" i="13" s="1"/>
  <c r="AH60" i="13"/>
  <c r="AH14" i="13" s="1"/>
  <c r="R60" i="13"/>
  <c r="R14" i="13" s="1"/>
  <c r="AD60" i="13"/>
  <c r="AD14" i="13" s="1"/>
  <c r="AL60" i="13"/>
  <c r="AL14" i="13" s="1"/>
  <c r="AP60" i="13"/>
  <c r="AP14" i="13" s="1"/>
  <c r="Z60" i="13"/>
  <c r="Z14" i="13" s="1"/>
  <c r="X60" i="13"/>
  <c r="X14" i="13" s="1"/>
  <c r="T60" i="13"/>
  <c r="T14" i="13" s="1"/>
  <c r="D8" i="14"/>
  <c r="AT160" i="13"/>
  <c r="AL58" i="16"/>
  <c r="AM58" i="16" s="1"/>
  <c r="AT53" i="13"/>
  <c r="AU53" i="13" s="1"/>
  <c r="AR32" i="13"/>
  <c r="AS32" i="13" s="1"/>
  <c r="AR29" i="13"/>
  <c r="AT24" i="13"/>
  <c r="AU24" i="13" s="1"/>
  <c r="C23" i="14"/>
  <c r="G533" i="11"/>
  <c r="G348" i="11"/>
  <c r="G363" i="11"/>
  <c r="G307" i="11" s="1"/>
  <c r="D43" i="14"/>
  <c r="F43" i="14" s="1"/>
  <c r="F41" i="14"/>
  <c r="D9" i="14"/>
  <c r="D31" i="14" s="1"/>
  <c r="AT54" i="13"/>
  <c r="AU54" i="13" s="1"/>
  <c r="D21" i="14"/>
  <c r="AT33" i="13"/>
  <c r="AU33" i="13" s="1"/>
  <c r="D20" i="14"/>
  <c r="AT184" i="13"/>
  <c r="AU184" i="13" s="1"/>
  <c r="D11" i="14"/>
  <c r="AS125" i="13"/>
  <c r="AT70" i="13"/>
  <c r="AU70" i="13" s="1"/>
  <c r="D13" i="14"/>
  <c r="D15" i="14"/>
  <c r="AS208" i="13"/>
  <c r="AT200" i="13"/>
  <c r="AU200" i="13" s="1"/>
  <c r="AS118" i="13"/>
  <c r="AS184" i="13"/>
  <c r="AT113" i="13"/>
  <c r="AU113" i="13" s="1"/>
  <c r="AS190" i="13"/>
  <c r="AS167" i="13"/>
  <c r="AT78" i="13"/>
  <c r="AU78" i="13" s="1"/>
  <c r="AS215" i="13"/>
  <c r="AS160" i="13"/>
  <c r="AT208" i="13"/>
  <c r="AU208" i="13" s="1"/>
  <c r="AT225" i="13"/>
  <c r="AU225" i="13" s="1"/>
  <c r="AS108" i="13"/>
  <c r="AS221" i="13"/>
  <c r="AS197" i="13"/>
  <c r="AS193" i="13"/>
  <c r="AS227" i="13"/>
  <c r="AT20" i="13"/>
  <c r="AU20" i="13" s="1"/>
  <c r="AS228" i="13"/>
  <c r="AS102" i="13"/>
  <c r="AT167" i="13"/>
  <c r="AU167" i="13" s="1"/>
  <c r="AR166" i="13"/>
  <c r="AS166" i="13" s="1"/>
  <c r="AS187" i="13"/>
  <c r="AT41" i="13"/>
  <c r="AU41" i="13" s="1"/>
  <c r="AR165" i="13"/>
  <c r="AR207" i="13"/>
  <c r="AT207" i="13" s="1"/>
  <c r="AU207" i="13" s="1"/>
  <c r="AR183" i="13"/>
  <c r="AS183" i="13" s="1"/>
  <c r="AR206" i="13"/>
  <c r="AT206" i="13" s="1"/>
  <c r="AU206" i="13" s="1"/>
  <c r="AR204" i="13"/>
  <c r="AS204" i="13" s="1"/>
  <c r="AR182" i="13"/>
  <c r="AR76" i="13"/>
  <c r="AS76" i="13" s="1"/>
  <c r="AR77" i="13"/>
  <c r="AS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AK83" i="16" l="1"/>
  <c r="D30" i="14" a="1"/>
  <c r="D30" i="14" s="1"/>
  <c r="E30" i="14" s="1"/>
  <c r="E7" i="25"/>
  <c r="D12" i="14"/>
  <c r="F12" i="14" s="1"/>
  <c r="F16" i="25"/>
  <c r="G16" i="25" s="1"/>
  <c r="Q61" i="13"/>
  <c r="Q60" i="13" s="1"/>
  <c r="Q14" i="13" s="1"/>
  <c r="AR14" i="13" s="1"/>
  <c r="AS14" i="13" s="1"/>
  <c r="D18" i="25"/>
  <c r="F18" i="25" s="1"/>
  <c r="G18" i="25" s="1"/>
  <c r="F11" i="25"/>
  <c r="G11" i="25" s="1"/>
  <c r="D33" i="25"/>
  <c r="E9" i="25"/>
  <c r="F9" i="25"/>
  <c r="G9" i="25" s="1"/>
  <c r="E23" i="25"/>
  <c r="F23" i="25"/>
  <c r="G23" i="25" s="1"/>
  <c r="AS29" i="13"/>
  <c r="D20" i="25"/>
  <c r="D21" i="25" s="1"/>
  <c r="D32" i="25"/>
  <c r="E8" i="25"/>
  <c r="F8" i="25"/>
  <c r="G8" i="25" s="1"/>
  <c r="D58" i="25"/>
  <c r="E48" i="25"/>
  <c r="F48" i="25"/>
  <c r="G48" i="25" s="1"/>
  <c r="F22" i="25"/>
  <c r="G22" i="25" s="1"/>
  <c r="D24" i="25"/>
  <c r="E22" i="25"/>
  <c r="E19" i="25"/>
  <c r="F19" i="25"/>
  <c r="G19" i="25" s="1"/>
  <c r="AR146" i="13"/>
  <c r="AL83" i="16"/>
  <c r="AM83" i="16" s="1"/>
  <c r="AJ144" i="16"/>
  <c r="AK144" i="16" s="1"/>
  <c r="AS67" i="13"/>
  <c r="AT67" i="13"/>
  <c r="AU67" i="13" s="1"/>
  <c r="AU160" i="13"/>
  <c r="AR19" i="13"/>
  <c r="AT29" i="13"/>
  <c r="AU29" i="13" s="1"/>
  <c r="D17" i="14"/>
  <c r="F17" i="14" s="1"/>
  <c r="G17" i="14" s="1"/>
  <c r="D18" i="14"/>
  <c r="E18" i="14" s="1"/>
  <c r="D16" i="14"/>
  <c r="AT18" i="13"/>
  <c r="AU18" i="13" s="1"/>
  <c r="AT32" i="13"/>
  <c r="AU32" i="13" s="1"/>
  <c r="AU28" i="13"/>
  <c r="F31" i="14"/>
  <c r="F33" i="14"/>
  <c r="G33" i="14" s="1"/>
  <c r="G263" i="11"/>
  <c r="G122" i="11" s="1"/>
  <c r="D53" i="14"/>
  <c r="F9" i="14"/>
  <c r="E21" i="14"/>
  <c r="F21" i="14"/>
  <c r="G21" i="14" s="1"/>
  <c r="D22" i="14"/>
  <c r="F20" i="14"/>
  <c r="G20" i="14" s="1"/>
  <c r="E20" i="14"/>
  <c r="F11" i="14"/>
  <c r="F8" i="14"/>
  <c r="F7" i="14"/>
  <c r="F10" i="14"/>
  <c r="E13" i="14"/>
  <c r="F13" i="14"/>
  <c r="G13" i="14" s="1"/>
  <c r="E15" i="14"/>
  <c r="F15" i="14"/>
  <c r="G15" i="14" s="1"/>
  <c r="E14" i="14"/>
  <c r="F14" i="14"/>
  <c r="G14" i="14" s="1"/>
  <c r="AT166" i="13"/>
  <c r="AU166" i="13" s="1"/>
  <c r="AS206" i="13"/>
  <c r="AR205" i="13"/>
  <c r="AS205" i="13" s="1"/>
  <c r="AS207" i="13"/>
  <c r="AT183" i="13"/>
  <c r="AU183" i="13" s="1"/>
  <c r="AT165" i="13"/>
  <c r="AU165" i="13" s="1"/>
  <c r="AS165" i="13"/>
  <c r="AS182" i="13"/>
  <c r="AT182" i="13"/>
  <c r="AU182" i="13" s="1"/>
  <c r="AT77" i="13"/>
  <c r="AU77" i="13" s="1"/>
  <c r="AT204" i="13"/>
  <c r="AU204" i="13" s="1"/>
  <c r="AU124" i="13"/>
  <c r="AS124" i="13"/>
  <c r="AT76" i="13"/>
  <c r="AU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F30" i="14" l="1"/>
  <c r="G30" i="14" s="1"/>
  <c r="AR61" i="13"/>
  <c r="AS61" i="13" s="1"/>
  <c r="D32" i="14"/>
  <c r="D34" i="25"/>
  <c r="E34" i="25" s="1"/>
  <c r="AR60" i="13"/>
  <c r="AS60" i="13" s="1"/>
  <c r="E18" i="25"/>
  <c r="AL144" i="16"/>
  <c r="AM144" i="16" s="1"/>
  <c r="F32" i="25"/>
  <c r="G32" i="25" s="1"/>
  <c r="E32" i="25"/>
  <c r="D59" i="25"/>
  <c r="F58" i="25"/>
  <c r="E58" i="25"/>
  <c r="E59" i="25" s="1"/>
  <c r="E20" i="25"/>
  <c r="F20" i="25"/>
  <c r="G20" i="25" s="1"/>
  <c r="E33" i="25"/>
  <c r="F33" i="25"/>
  <c r="G33" i="25" s="1"/>
  <c r="E24" i="25"/>
  <c r="F24" i="25"/>
  <c r="G24" i="25" s="1"/>
  <c r="F21" i="25"/>
  <c r="G21" i="25" s="1"/>
  <c r="E21" i="25"/>
  <c r="AT146" i="13"/>
  <c r="AU146" i="13" s="1"/>
  <c r="AS146" i="13"/>
  <c r="AT19" i="13"/>
  <c r="AU19" i="13" s="1"/>
  <c r="AS19" i="13"/>
  <c r="AT61" i="13"/>
  <c r="AU61" i="13" s="1"/>
  <c r="E17" i="14"/>
  <c r="D29" i="14"/>
  <c r="E29" i="14" s="1"/>
  <c r="F18" i="14"/>
  <c r="G18" i="14" s="1"/>
  <c r="D19" i="14"/>
  <c r="E19" i="14" s="1"/>
  <c r="G115" i="11"/>
  <c r="G114" i="11" s="1"/>
  <c r="G12" i="11" s="1"/>
  <c r="C7" i="11" s="1"/>
  <c r="E54" i="14"/>
  <c r="D54" i="14"/>
  <c r="F53" i="14"/>
  <c r="E22" i="14"/>
  <c r="F22" i="14"/>
  <c r="G22" i="14" s="1"/>
  <c r="E12" i="14"/>
  <c r="G12" i="14"/>
  <c r="E16" i="14"/>
  <c r="F16" i="14"/>
  <c r="G16" i="14" s="1"/>
  <c r="AS123" i="13"/>
  <c r="AT205" i="13"/>
  <c r="AU205" i="13" s="1"/>
  <c r="AT17" i="13"/>
  <c r="AU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T60" i="13" l="1"/>
  <c r="AU60" i="13" s="1"/>
  <c r="D31" i="25"/>
  <c r="F34" i="25"/>
  <c r="G34" i="25" s="1"/>
  <c r="G58" i="25"/>
  <c r="G59" i="25" s="1"/>
  <c r="F59" i="25"/>
  <c r="F32" i="14"/>
  <c r="G32" i="14" s="1"/>
  <c r="D23" i="14"/>
  <c r="D24" i="14" s="1"/>
  <c r="F19" i="14"/>
  <c r="G19" i="14" s="1"/>
  <c r="F29" i="14"/>
  <c r="G29" i="14" s="1"/>
  <c r="D35" i="14"/>
  <c r="E35" i="14" s="1"/>
  <c r="F54" i="14"/>
  <c r="G54" i="14"/>
  <c r="AT15" i="13"/>
  <c r="AU15" i="13" s="1"/>
  <c r="AT16" i="13"/>
  <c r="AU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F35" i="14"/>
  <c r="G35" i="14" s="1"/>
  <c r="L1323" i="8"/>
  <c r="L1322" i="8"/>
  <c r="L982" i="8"/>
  <c r="L1045" i="8"/>
  <c r="L1889" i="8"/>
  <c r="L1890" i="8"/>
  <c r="L277" i="8"/>
  <c r="L614" i="8"/>
  <c r="L2212" i="8"/>
  <c r="L2213" i="8"/>
  <c r="L309" i="8"/>
  <c r="L329" i="8"/>
  <c r="L382" i="8"/>
  <c r="L358" i="8"/>
  <c r="L359" i="8"/>
  <c r="L298" i="8"/>
  <c r="L299" i="8"/>
  <c r="F40" i="25" l="1"/>
  <c r="G40" i="25" s="1"/>
  <c r="F37" i="14"/>
  <c r="G37" i="14" s="1"/>
  <c r="AT14" i="13"/>
  <c r="AU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W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<sst xmlns="http://schemas.openxmlformats.org/spreadsheetml/2006/main" count="33711" uniqueCount="6251">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</sst>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7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0" fontId="0" fillId="0" borderId="1" xfId="0" applyFill="1" applyBorder="1" applyAlignment="1">
      <alignment horizontal="left" wrapText="1"/>
    </xf>
    <xf numFmtId="0" fontId="0" fillId="23" borderId="1" xfId="0" applyFill="1" applyBorder="1" applyAlignment="1">
      <alignment horizontal="left"/>
    </xf>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7" fillId="29"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0" borderId="1" xfId="1" applyFont="1" applyBorder="1" applyAlignment="1">
      <alignment horizontal="center"/>
    </xf>
    <xf numFmtId="41" fontId="41" fillId="0" borderId="1" xfId="1" applyFont="1" applyBorder="1" applyAlignment="1">
      <alignment horizontal="center"/>
    </xf>
    <xf numFmtId="41" fontId="37" fillId="2" borderId="1" xfId="1" applyFont="1" applyFill="1" applyBorder="1" applyAlignment="1">
      <alignment horizontal="center"/>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23" borderId="1" xfId="0" applyNumberFormat="1" applyFill="1" applyBorder="1" applyAlignment="1">
      <alignment vertical="top"/>
    </xf>
    <xf numFmtId="2" fontId="0" fillId="23"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7" fillId="26" borderId="1" xfId="0" applyNumberFormat="1" applyFont="1" applyFill="1" applyBorder="1" applyAlignment="1">
      <alignment vertical="top"/>
    </xf>
    <xf numFmtId="2" fontId="37" fillId="26" borderId="1" xfId="0" applyNumberFormat="1" applyFont="1" applyFill="1" applyBorder="1" applyAlignment="1">
      <alignment vertical="top"/>
    </xf>
    <xf numFmtId="41" fontId="0" fillId="33" borderId="1" xfId="0" applyNumberFormat="1" applyFill="1" applyBorder="1" applyAlignment="1">
      <alignment vertical="top"/>
    </xf>
    <xf numFmtId="2" fontId="0" fillId="33" borderId="1" xfId="0" applyNumberFormat="1" applyFill="1" applyBorder="1" applyAlignment="1">
      <alignment vertical="top"/>
    </xf>
    <xf numFmtId="41" fontId="0" fillId="36" borderId="1" xfId="0" applyNumberFormat="1" applyFill="1" applyBorder="1" applyAlignment="1">
      <alignment vertical="top"/>
    </xf>
    <xf numFmtId="2" fontId="0" fillId="36" borderId="1" xfId="0" applyNumberFormat="1" applyFill="1" applyBorder="1" applyAlignment="1">
      <alignment vertical="top"/>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37" fillId="29" borderId="1" xfId="0" applyFont="1" applyFill="1" applyBorder="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6" borderId="1" xfId="0" applyFont="1" applyFill="1" applyBorder="1" applyAlignment="1">
      <alignment horizontal="center"/>
    </xf>
    <xf numFmtId="0" fontId="37" fillId="0" borderId="1" xfId="0" applyFont="1" applyBorder="1" applyAlignment="1">
      <alignment horizontal="center" vertical="center" wrapText="1"/>
    </xf>
    <xf numFmtId="0" fontId="42" fillId="0" borderId="0" xfId="0" applyFont="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9" fillId="30" borderId="1" xfId="2" applyFont="1" applyFill="1" applyBorder="1" applyAlignment="1">
      <alignment horizontal="center" vertical="center"/>
    </xf>
    <xf numFmtId="0" fontId="37" fillId="0" borderId="0" xfId="0" applyFont="1" applyAlignment="1">
      <alignment horizontal="center"/>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656">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1.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22860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30480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511629</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a:extLst>
                <a:ext uri="{84589F7E-364E-4C9E-8A38-B11213B215E9}">
                  <a14:cameraTool cellRange="PERSUBBID!$A$5:$G$24" spid="_x0000_s51967"/>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E00-000005000000}"/>
                </a:ext>
              </a:extLst>
            </xdr:cNvPr>
            <xdr:cNvPicPr>
              <a:picLocks noChangeAspect="1" noChangeArrowheads="1"/>
              <a:extLst>
                <a:ext uri="{84589F7E-364E-4C9E-8A38-B11213B215E9}">
                  <a14:cameraTool cellRange="PERSUBBID!$A$39:$G$54" spid="_x0000_s51968"/>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E00-000006000000}"/>
                </a:ext>
              </a:extLst>
            </xdr:cNvPr>
            <xdr:cNvPicPr>
              <a:picLocks noChangeAspect="1" noChangeArrowheads="1"/>
              <a:extLst>
                <a:ext uri="{84589F7E-364E-4C9E-8A38-B11213B215E9}">
                  <a14:cameraTool cellRange="PERSUBBID!$A$26:$G$37" spid="_x0000_s51969"/>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a:extLst>
                <a:ext uri="{84589F7E-364E-4C9E-8A38-B11213B215E9}">
                  <a14:cameraTool cellRange="'PERSUBBID GAJI'!$A$1:$G$59" spid="_x0000_s39350"/>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Y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81058912039" createdVersion="7" refreshedVersion="8" minRefreshableVersion="3" recordCount="140" xr:uid="{F6A9A8BE-9DF4-47CC-B2DE-53AB58A65CAC}">
  <cacheSource type="worksheet">
    <worksheetSource ref="A3:AQ143" sheet="SP2D"/>
  </cacheSource>
  <cacheFields count="45">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0">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n v="0"/>
    <n v="0"/>
    <n v="0"/>
    <n v="0"/>
    <n v="0"/>
    <n v="0"/>
    <n v="0"/>
    <n v="0"/>
    <n v="0"/>
    <n v="0"/>
    <n v="0"/>
    <n v="0"/>
    <x v="0"/>
    <x v="1"/>
    <x v="3"/>
    <s v="52"/>
    <s v="SEKRETARIAT BADAN RISET DAN SUMBERDAYA MANUSIA KELAUTAN DAN PERIKANAN"/>
    <n v="0"/>
    <n v="0"/>
    <n v="8784000"/>
    <n v="100"/>
    <s v="DL.2376.AFA.001.054.A.521219"/>
    <s v="Non COVID"/>
    <s v="PERJALANAN DINAS"/>
    <s v="Belanja Barang Non Operasional"/>
  </r>
  <r>
    <s v="032"/>
    <s v="12"/>
    <s v="DL"/>
    <x v="0"/>
    <s v="2376"/>
    <x v="0"/>
    <s v="AFA"/>
    <s v="2376.AFA. Norma, Standard, Prosedur dan Kriteria"/>
    <s v="001"/>
    <x v="0"/>
    <s v="054"/>
    <x v="3"/>
    <s v="A"/>
    <x v="6"/>
    <n v="522151"/>
    <x v="1"/>
    <x v="26"/>
    <n v="10000000"/>
    <n v="0"/>
    <n v="0"/>
    <n v="0"/>
    <n v="7200000"/>
    <n v="0"/>
    <n v="0"/>
    <n v="0"/>
    <n v="0"/>
    <n v="0"/>
    <n v="0"/>
    <n v="0"/>
    <n v="0"/>
    <x v="0"/>
    <x v="1"/>
    <x v="3"/>
    <s v="52"/>
    <s v="SEKRETARIAT BADAN RISET DAN SUMBERDAYA MANUSIA KELAUTAN DAN PERIKANAN"/>
    <n v="7200000"/>
    <n v="72"/>
    <n v="2800000"/>
    <n v="28.000000000000004"/>
    <s v="DL.2376.AFA.001.054.A.522151"/>
    <s v="Non COVID"/>
    <s v="BELANJA BAHAN"/>
    <s v="Belanja Barang Non Operasional"/>
  </r>
  <r>
    <s v="032"/>
    <s v="12"/>
    <s v="DL"/>
    <x v="0"/>
    <s v="2376"/>
    <x v="0"/>
    <s v="AFA"/>
    <s v="2376.AFA. Norma, Standard, Prosedur dan Kriteria"/>
    <s v="001"/>
    <x v="0"/>
    <s v="054"/>
    <x v="3"/>
    <s v="A"/>
    <x v="6"/>
    <s v="522192"/>
    <x v="5"/>
    <x v="15"/>
    <n v="500000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n v="0"/>
    <n v="0"/>
    <n v="0"/>
    <n v="0"/>
    <n v="114200000"/>
    <n v="0"/>
    <n v="0"/>
    <n v="0"/>
    <n v="0"/>
    <n v="0"/>
    <n v="0"/>
    <n v="0"/>
    <x v="0"/>
    <x v="2"/>
    <x v="4"/>
    <n v="53"/>
    <s v="SEKRETARIAT BADAN RISET DAN SUMBERDAYA MANUSIA KELAUTAN DAN PERIKANAN"/>
    <n v="114200000"/>
    <n v="100"/>
    <n v="0"/>
    <n v="0"/>
    <s v="WA.2378.CAN.001.301.A.532111"/>
    <s v="Non COVID"/>
    <s v="BELANJA MODAL"/>
    <s v="Belanja Barang Non Operasional"/>
  </r>
  <r>
    <s v="032"/>
    <s v="12"/>
    <s v="WA"/>
    <x v="1"/>
    <s v="2378"/>
    <x v="1"/>
    <s v="EBA"/>
    <s v="2378.EBA. Layanan Dukungan Manajemen Internal"/>
    <n v="958"/>
    <x v="2"/>
    <n v="311"/>
    <x v="5"/>
    <s v="A"/>
    <x v="8"/>
    <n v="521211"/>
    <x v="0"/>
    <x v="29"/>
    <n v="144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n v="0"/>
    <n v="0"/>
    <n v="47132450"/>
    <n v="0"/>
    <n v="20031830"/>
    <n v="0"/>
    <n v="0"/>
    <n v="0"/>
    <n v="0"/>
    <n v="0"/>
    <n v="0"/>
    <n v="0"/>
    <x v="0"/>
    <x v="2"/>
    <x v="4"/>
    <s v="52"/>
    <s v="SEKRETARIAT BADAN RISET DAN SUMBERDAYA MANUSIA KELAUTAN DAN PERIKANAN"/>
    <n v="67164280"/>
    <n v="81.377711003949884"/>
    <n v="15369720"/>
    <n v="18.622288996050113"/>
    <s v="WA.2378.EBA.962.301.E.521241"/>
    <s v="COVID"/>
    <s v="BELANJA JASA"/>
    <s v="Belanja Barang Non Operasional"/>
  </r>
  <r>
    <s v="032"/>
    <s v="12"/>
    <s v="WA"/>
    <x v="1"/>
    <s v="2378"/>
    <x v="1"/>
    <s v="EBA"/>
    <s v="2378.EBA. Layanan Dukungan Manajemen Internal"/>
    <n v="962"/>
    <x v="3"/>
    <n v="301"/>
    <x v="6"/>
    <s v="E"/>
    <x v="13"/>
    <n v="522191"/>
    <x v="10"/>
    <x v="44"/>
    <n v="35000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n v="994"/>
    <x v="4"/>
    <s v="002"/>
    <x v="7"/>
    <s v="GA"/>
    <x v="18"/>
    <n v="521811"/>
    <x v="4"/>
    <x v="58"/>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BA"/>
    <s v="2378.EBA. Layanan Dukungan Manajemen Internal"/>
    <n v="994"/>
    <x v="4"/>
    <s v="002"/>
    <x v="7"/>
    <s v="GB"/>
    <x v="19"/>
    <n v="521114"/>
    <x v="12"/>
    <x v="10"/>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BA"/>
    <s v="2378.EBA. Layanan Dukungan Manajemen Internal"/>
    <n v="994"/>
    <x v="4"/>
    <s v="002"/>
    <x v="7"/>
    <s v="GB"/>
    <x v="19"/>
    <n v="522141"/>
    <x v="8"/>
    <x v="59"/>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BA"/>
    <s v="2378.EBA. Layanan Dukungan Manajemen Internal"/>
    <n v="994"/>
    <x v="4"/>
    <s v="002"/>
    <x v="7"/>
    <s v="GD"/>
    <x v="21"/>
    <n v="521115"/>
    <x v="15"/>
    <x v="63"/>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BA"/>
    <s v="2378.EBA. Layanan Dukungan Manajemen Internal"/>
    <n v="994"/>
    <x v="4"/>
    <s v="002"/>
    <x v="7"/>
    <s v="GE"/>
    <x v="22"/>
    <n v="521111"/>
    <x v="11"/>
    <x v="30"/>
    <n v="45000000"/>
    <n v="0"/>
    <n v="0"/>
    <n v="0"/>
    <n v="0"/>
    <n v="0"/>
    <n v="0"/>
    <n v="0"/>
    <n v="0"/>
    <n v="0"/>
    <n v="0"/>
    <n v="0"/>
    <n v="0"/>
    <x v="0"/>
    <x v="2"/>
    <x v="4"/>
    <s v="52"/>
    <s v="SEKRETARIAT BADAN RISET DAN SUMBERDAYA MANUSIA KELAUTAN DAN PERIKANAN"/>
    <n v="0"/>
    <n v="0"/>
    <n v="0"/>
    <n v="0"/>
    <s v="WA.2378.EBA.994.002.GE.521111"/>
    <s v="Non COVID"/>
    <s v="BELANJA PERKANTORAN"/>
    <s v="Belanja Barang Operasional"/>
  </r>
  <r>
    <s v="032"/>
    <s v="12"/>
    <s v="WA"/>
    <x v="1"/>
    <s v="2378"/>
    <x v="1"/>
    <s v="EBA"/>
    <s v="2378.EBA. Layanan Dukungan Manajemen Internal"/>
    <n v="994"/>
    <x v="4"/>
    <s v="002"/>
    <x v="7"/>
    <s v="GE"/>
    <x v="22"/>
    <n v="521811"/>
    <x v="4"/>
    <x v="30"/>
    <n v="26000000"/>
    <n v="0"/>
    <n v="0"/>
    <n v="0"/>
    <n v="0"/>
    <n v="0"/>
    <n v="0"/>
    <n v="0"/>
    <n v="0"/>
    <n v="0"/>
    <n v="0"/>
    <n v="0"/>
    <n v="0"/>
    <x v="0"/>
    <x v="2"/>
    <x v="4"/>
    <s v="52"/>
    <s v="SEKRETARIAT BADAN RISET DAN SUMBERDAYA MANUSIA KELAUTAN DAN PERIKANAN"/>
    <n v="0"/>
    <n v="0"/>
    <n v="0"/>
    <n v="0"/>
    <s v="WA.2378.EBA.994.002.GE.521811"/>
    <s v="Non COVID"/>
    <s v="BELANJA PERSEDIAAN"/>
    <s v="Belanja Barang Operasional"/>
  </r>
  <r>
    <s v="032"/>
    <s v="12"/>
    <s v="WA"/>
    <x v="1"/>
    <s v="2378"/>
    <x v="1"/>
    <s v="EBA"/>
    <s v="2378.EBA. Layanan Dukungan Manajemen Internal"/>
    <n v="994"/>
    <x v="4"/>
    <s v="002"/>
    <x v="7"/>
    <s v="GE"/>
    <x v="22"/>
    <n v="523121"/>
    <x v="13"/>
    <x v="30"/>
    <n v="2900000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n v="0"/>
    <n v="0"/>
    <n v="0"/>
    <n v="0"/>
    <n v="540000000"/>
    <n v="0"/>
    <n v="0"/>
    <n v="0"/>
    <n v="0"/>
    <n v="0"/>
    <n v="0"/>
    <n v="0"/>
    <x v="0"/>
    <x v="2"/>
    <x v="4"/>
    <n v="53"/>
    <s v="SEKRETARIAT BADAN RISET DAN SUMBERDAYA MANUSIA KELAUTAN DAN PERIKANAN"/>
    <n v="540000000"/>
    <n v="100"/>
    <n v="0"/>
    <n v="0"/>
    <s v="WA.2378.EBB.951.301.A.532111"/>
    <s v="Non COVID"/>
    <s v="BELANJA MODAL"/>
    <s v="Belanja Barang Non Operasional"/>
  </r>
  <r>
    <s v="032"/>
    <s v="12"/>
    <s v="WA"/>
    <x v="1"/>
    <s v="2378"/>
    <x v="1"/>
    <s v="EBD"/>
    <s v="2378.EBD. Layanan Manajemen Kinerja Internal"/>
    <n v="952"/>
    <x v="6"/>
    <n v="301"/>
    <x v="9"/>
    <s v="A"/>
    <x v="24"/>
    <n v="521211"/>
    <x v="0"/>
    <x v="9"/>
    <n v="22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n v="0"/>
    <n v="0"/>
    <n v="2459000"/>
    <n v="0"/>
    <n v="2390000"/>
    <n v="0"/>
    <n v="0"/>
    <n v="0"/>
    <n v="0"/>
    <n v="0"/>
    <n v="0"/>
    <n v="0"/>
    <x v="0"/>
    <x v="3"/>
    <x v="5"/>
    <s v="52"/>
    <s v="SEKRETARIAT BADAN RISET DAN SUMBERDAYA MANUSIA KELAUTAN DAN PERIKANAN"/>
    <n v="4849000"/>
    <n v="48.49"/>
    <n v="5151000"/>
    <n v="51.51"/>
    <s v="WA.2378.EBD.952.301.A.521811"/>
    <s v="Non COVID"/>
    <s v="BELANJA PERSEDIAAN"/>
    <s v="Belanja Barang Non Operasional"/>
  </r>
  <r>
    <s v="032"/>
    <s v="12"/>
    <s v="WA"/>
    <x v="1"/>
    <s v="2378"/>
    <x v="1"/>
    <s v="EBD"/>
    <s v="2378.EBD. Layanan Manajemen Kinerja Internal"/>
    <n v="952"/>
    <x v="6"/>
    <n v="301"/>
    <x v="9"/>
    <s v="A"/>
    <x v="24"/>
    <n v="524111"/>
    <x v="2"/>
    <x v="66"/>
    <n v="62400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BELANJA PERSEDIAAN"/>
    <s v="Belanja Barang Non Operasional"/>
  </r>
  <r>
    <s v="032"/>
    <s v="12"/>
    <s v="WA"/>
    <x v="1"/>
    <s v="2378"/>
    <x v="1"/>
    <s v="EBD"/>
    <s v="2378.EBD. Layanan Manajemen Kinerja Internal"/>
    <n v="952"/>
    <x v="6"/>
    <n v="301"/>
    <x v="9"/>
    <s v="B"/>
    <x v="25"/>
    <n v="522151"/>
    <x v="1"/>
    <x v="30"/>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n v="0"/>
    <n v="0"/>
    <n v="4947750"/>
    <n v="0"/>
    <n v="4878000"/>
    <n v="0"/>
    <n v="0"/>
    <n v="0"/>
    <n v="0"/>
    <n v="0"/>
    <n v="0"/>
    <n v="0"/>
    <x v="0"/>
    <x v="3"/>
    <x v="5"/>
    <s v="52"/>
    <s v="SEKRETARIAT BADAN RISET DAN SUMBERDAYA MANUSIA KELAUTAN DAN PERIKANAN"/>
    <n v="9825750"/>
    <n v="56.14714285714286"/>
    <n v="7674250"/>
    <n v="43.852857142857147"/>
    <s v="WA.2378.EBD.952.301.C.521811"/>
    <s v="Non COVID"/>
    <s v="BELANJA PERSEDIAAN"/>
    <s v="Belanja Barang Non Operasional"/>
  </r>
  <r>
    <s v="032"/>
    <s v="12"/>
    <s v="WA"/>
    <x v="1"/>
    <s v="2378"/>
    <x v="1"/>
    <s v="EBD"/>
    <s v="2378.EBD. Layanan Manajemen Kinerja Internal"/>
    <n v="952"/>
    <x v="6"/>
    <n v="301"/>
    <x v="9"/>
    <s v="C"/>
    <x v="26"/>
    <n v="522151"/>
    <x v="1"/>
    <x v="30"/>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x v="86"/>
    <n v="56380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x v="16"/>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x v="9"/>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n v="0"/>
    <n v="0"/>
    <n v="0"/>
    <n v="0"/>
    <n v="4845000"/>
    <n v="0"/>
    <n v="0"/>
    <n v="0"/>
    <n v="0"/>
    <n v="0"/>
    <n v="0"/>
    <n v="0"/>
    <x v="0"/>
    <x v="3"/>
    <x v="5"/>
    <s v="52"/>
    <s v="SEKRETARIAT BADAN RISET DAN SUMBERDAYA MANUSIA KELAUTAN DAN PERIKANAN"/>
    <n v="4845000"/>
    <n v="16.150000000000002"/>
    <n v="25155000"/>
    <n v="83.850000000000009"/>
    <s v="WA.4345.EBC.996.302.A.521811"/>
    <s v="Non COVID"/>
    <s v="BELANJA PERSEDIAAN"/>
    <s v="Belanja Barang Non Operasional"/>
  </r>
  <r>
    <s v="032"/>
    <s v="12"/>
    <s v="WA"/>
    <x v="1"/>
    <s v="4345"/>
    <x v="2"/>
    <s v="EBC"/>
    <s v="4345.EAM. Layanan Manajemen SDM Internal"/>
    <n v="996"/>
    <x v="9"/>
    <n v="302"/>
    <x v="14"/>
    <s v="A"/>
    <x v="40"/>
    <n v="524111"/>
    <x v="2"/>
    <x v="95"/>
    <n v="5420000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5">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0"/>
    <field x="3"/>
    <field x="5"/>
    <field x="31"/>
    <field x="32"/>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4"/>
    </i>
    <i r="6">
      <x v="15"/>
    </i>
    <i r="7">
      <x v="34"/>
    </i>
    <i r="8">
      <x/>
    </i>
    <i r="8">
      <x v="6"/>
    </i>
    <i r="7">
      <x v="35"/>
    </i>
    <i r="8">
      <x v="1"/>
    </i>
    <i r="8">
      <x v="7"/>
    </i>
    <i r="7">
      <x v="36"/>
    </i>
    <i r="8">
      <x v="11"/>
    </i>
    <i r="8">
      <x v="12"/>
    </i>
    <i r="7">
      <x v="37"/>
    </i>
    <i r="8">
      <x/>
    </i>
    <i r="8">
      <x v="2"/>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5" baseField="0" baseItem="0" numFmtId="41"/>
    <dataField name="Real % " fld="44" baseField="0" baseItem="0" numFmtId="2"/>
    <dataField name="Sisa " fld="37" baseField="0" baseItem="0" numFmtId="41"/>
    <dataField name="Sisa % " fld="43" baseField="0" baseItem="0" numFmtId="2"/>
  </dataFields>
  <formats count="488">
    <format dxfId="562">
      <pivotArea outline="0" collapsedLevelsAreSubtotals="1" fieldPosition="0">
        <references count="1">
          <reference field="4294967294" count="1" selected="0">
            <x v="2"/>
          </reference>
        </references>
      </pivotArea>
    </format>
    <format dxfId="561">
      <pivotArea outline="0" collapsedLevelsAreSubtotals="1" fieldPosition="0">
        <references count="1">
          <reference field="4294967294" count="1" selected="0">
            <x v="4"/>
          </reference>
        </references>
      </pivotArea>
    </format>
    <format dxfId="560">
      <pivotArea outline="0" collapsedLevelsAreSubtotals="1" fieldPosition="0">
        <references count="1">
          <reference field="4294967294" count="1" selected="0">
            <x v="3"/>
          </reference>
        </references>
      </pivotArea>
    </format>
    <format dxfId="559">
      <pivotArea outline="0" collapsedLevelsAreSubtotals="1" fieldPosition="0">
        <references count="1">
          <reference field="4294967294" count="1" selected="0">
            <x v="1"/>
          </reference>
        </references>
      </pivotArea>
    </format>
    <format dxfId="558">
      <pivotArea outline="0" collapsedLevelsAreSubtotals="1" fieldPosition="0">
        <references count="1">
          <reference field="4294967294" count="1" selected="0">
            <x v="0"/>
          </reference>
        </references>
      </pivotArea>
    </format>
    <format dxfId="557">
      <pivotArea dataOnly="0" labelOnly="1" fieldPosition="0">
        <references count="1">
          <reference field="3" count="0"/>
        </references>
      </pivotArea>
    </format>
    <format dxfId="556">
      <pivotArea dataOnly="0" labelOnly="1" fieldPosition="0">
        <references count="1">
          <reference field="5" count="0"/>
        </references>
      </pivotArea>
    </format>
    <format dxfId="555">
      <pivotArea dataOnly="0" labelOnly="1" fieldPosition="0">
        <references count="1">
          <reference field="9" count="0"/>
        </references>
      </pivotArea>
    </format>
    <format dxfId="554">
      <pivotArea dataOnly="0" labelOnly="1" fieldPosition="0">
        <references count="1">
          <reference field="11" count="0"/>
        </references>
      </pivotArea>
    </format>
    <format dxfId="553">
      <pivotArea dataOnly="0" labelOnly="1" fieldPosition="0">
        <references count="1">
          <reference field="13" count="0"/>
        </references>
      </pivotArea>
    </format>
    <format dxfId="552">
      <pivotArea dataOnly="0" labelOnly="1" outline="0" fieldPosition="0">
        <references count="1">
          <reference field="4294967294" count="5">
            <x v="0"/>
            <x v="1"/>
            <x v="2"/>
            <x v="3"/>
            <x v="4"/>
          </reference>
        </references>
      </pivotArea>
    </format>
    <format dxfId="551">
      <pivotArea type="all" dataOnly="0" outline="0" fieldPosition="0"/>
    </format>
    <format dxfId="550">
      <pivotArea outline="0" collapsedLevelsAreSubtotals="1" fieldPosition="0"/>
    </format>
    <format dxfId="549">
      <pivotArea field="3" type="button" dataOnly="0" labelOnly="1" outline="0" axis="axisRow" fieldPosition="1"/>
    </format>
    <format dxfId="548">
      <pivotArea dataOnly="0" labelOnly="1" fieldPosition="0">
        <references count="1">
          <reference field="3" count="0"/>
        </references>
      </pivotArea>
    </format>
    <format dxfId="547">
      <pivotArea dataOnly="0" labelOnly="1" grandRow="1" outline="0" fieldPosition="0"/>
    </format>
    <format dxfId="546">
      <pivotArea dataOnly="0" labelOnly="1" fieldPosition="0">
        <references count="2">
          <reference field="3" count="1" selected="0">
            <x v="0"/>
          </reference>
          <reference field="5" count="1">
            <x v="0"/>
          </reference>
        </references>
      </pivotArea>
    </format>
    <format dxfId="545">
      <pivotArea dataOnly="0" labelOnly="1" fieldPosition="0">
        <references count="2">
          <reference field="3" count="1" selected="0">
            <x v="1"/>
          </reference>
          <reference field="5" count="2">
            <x v="1"/>
            <x v="2"/>
          </reference>
        </references>
      </pivotArea>
    </format>
    <format dxfId="544">
      <pivotArea dataOnly="0" labelOnly="1" fieldPosition="0">
        <references count="3">
          <reference field="3" count="1" selected="0">
            <x v="0"/>
          </reference>
          <reference field="5" count="1" selected="0">
            <x v="0"/>
          </reference>
          <reference field="9" count="1">
            <x v="0"/>
          </reference>
        </references>
      </pivotArea>
    </format>
    <format dxfId="543">
      <pivotArea dataOnly="0" labelOnly="1" fieldPosition="0">
        <references count="3">
          <reference field="3" count="1" selected="0">
            <x v="1"/>
          </reference>
          <reference field="5" count="1" selected="0">
            <x v="1"/>
          </reference>
          <reference field="9" count="8">
            <x v="1"/>
            <x v="2"/>
            <x v="3"/>
            <x v="4"/>
            <x v="5"/>
            <x v="6"/>
            <x v="7"/>
            <x v="8"/>
          </reference>
        </references>
      </pivotArea>
    </format>
    <format dxfId="542">
      <pivotArea dataOnly="0" labelOnly="1" fieldPosition="0">
        <references count="3">
          <reference field="3" count="1" selected="0">
            <x v="1"/>
          </reference>
          <reference field="5" count="1" selected="0">
            <x v="2"/>
          </reference>
          <reference field="9" count="1">
            <x v="9"/>
          </reference>
        </references>
      </pivotArea>
    </format>
    <format dxfId="54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4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3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3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3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3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3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3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3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3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3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3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2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2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2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2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2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2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2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2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2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2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1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1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1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16">
      <pivotArea dataOnly="0" labelOnly="1" outline="0" fieldPosition="0">
        <references count="1">
          <reference field="4294967294" count="5">
            <x v="0"/>
            <x v="1"/>
            <x v="2"/>
            <x v="3"/>
            <x v="4"/>
          </reference>
        </references>
      </pivotArea>
    </format>
    <format dxfId="515">
      <pivotArea type="all" dataOnly="0" outline="0" fieldPosition="0"/>
    </format>
    <format dxfId="514">
      <pivotArea outline="0" collapsedLevelsAreSubtotals="1" fieldPosition="0"/>
    </format>
    <format dxfId="513">
      <pivotArea field="3" type="button" dataOnly="0" labelOnly="1" outline="0" axis="axisRow" fieldPosition="1"/>
    </format>
    <format dxfId="512">
      <pivotArea dataOnly="0" labelOnly="1" fieldPosition="0">
        <references count="1">
          <reference field="3" count="0"/>
        </references>
      </pivotArea>
    </format>
    <format dxfId="511">
      <pivotArea dataOnly="0" labelOnly="1" grandRow="1" outline="0" fieldPosition="0"/>
    </format>
    <format dxfId="510">
      <pivotArea dataOnly="0" labelOnly="1" fieldPosition="0">
        <references count="2">
          <reference field="3" count="1" selected="0">
            <x v="0"/>
          </reference>
          <reference field="5" count="1">
            <x v="0"/>
          </reference>
        </references>
      </pivotArea>
    </format>
    <format dxfId="509">
      <pivotArea dataOnly="0" labelOnly="1" fieldPosition="0">
        <references count="2">
          <reference field="3" count="1" selected="0">
            <x v="1"/>
          </reference>
          <reference field="5" count="2">
            <x v="1"/>
            <x v="2"/>
          </reference>
        </references>
      </pivotArea>
    </format>
    <format dxfId="508">
      <pivotArea dataOnly="0" labelOnly="1" fieldPosition="0">
        <references count="3">
          <reference field="3" count="1" selected="0">
            <x v="0"/>
          </reference>
          <reference field="5" count="1" selected="0">
            <x v="0"/>
          </reference>
          <reference field="9" count="1">
            <x v="0"/>
          </reference>
        </references>
      </pivotArea>
    </format>
    <format dxfId="507">
      <pivotArea dataOnly="0" labelOnly="1" fieldPosition="0">
        <references count="3">
          <reference field="3" count="1" selected="0">
            <x v="1"/>
          </reference>
          <reference field="5" count="1" selected="0">
            <x v="1"/>
          </reference>
          <reference field="9" count="8">
            <x v="1"/>
            <x v="2"/>
            <x v="3"/>
            <x v="4"/>
            <x v="5"/>
            <x v="6"/>
            <x v="7"/>
            <x v="8"/>
          </reference>
        </references>
      </pivotArea>
    </format>
    <format dxfId="506">
      <pivotArea dataOnly="0" labelOnly="1" fieldPosition="0">
        <references count="3">
          <reference field="3" count="1" selected="0">
            <x v="1"/>
          </reference>
          <reference field="5" count="1" selected="0">
            <x v="2"/>
          </reference>
          <reference field="9" count="1">
            <x v="9"/>
          </reference>
        </references>
      </pivotArea>
    </format>
    <format dxfId="50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0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0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0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0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0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9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9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9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9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9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9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9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9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9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8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8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8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8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8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8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8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8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8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0">
      <pivotArea dataOnly="0" labelOnly="1" outline="0" fieldPosition="0">
        <references count="1">
          <reference field="4294967294" count="5">
            <x v="0"/>
            <x v="1"/>
            <x v="2"/>
            <x v="3"/>
            <x v="4"/>
          </reference>
        </references>
      </pivotArea>
    </format>
    <format dxfId="479">
      <pivotArea collapsedLevelsAreSubtotals="1" fieldPosition="0">
        <references count="1">
          <reference field="3" count="1">
            <x v="0"/>
          </reference>
        </references>
      </pivotArea>
    </format>
    <format dxfId="478">
      <pivotArea collapsedLevelsAreSubtotals="1" fieldPosition="0">
        <references count="1">
          <reference field="3" count="1">
            <x v="1"/>
          </reference>
        </references>
      </pivotArea>
    </format>
    <format dxfId="477">
      <pivotArea collapsedLevelsAreSubtotals="1" fieldPosition="0">
        <references count="3">
          <reference field="3" count="1" selected="0">
            <x v="0"/>
          </reference>
          <reference field="5" count="1" selected="0">
            <x v="0"/>
          </reference>
          <reference field="9" count="1">
            <x v="0"/>
          </reference>
        </references>
      </pivotArea>
    </format>
    <format dxfId="476">
      <pivotArea collapsedLevelsAreSubtotals="1" fieldPosition="0">
        <references count="3">
          <reference field="3" count="1" selected="0">
            <x v="1"/>
          </reference>
          <reference field="5" count="1" selected="0">
            <x v="1"/>
          </reference>
          <reference field="9" count="1">
            <x v="1"/>
          </reference>
        </references>
      </pivotArea>
    </format>
    <format dxfId="475">
      <pivotArea collapsedLevelsAreSubtotals="1" fieldPosition="0">
        <references count="3">
          <reference field="3" count="1" selected="0">
            <x v="1"/>
          </reference>
          <reference field="5" count="1" selected="0">
            <x v="1"/>
          </reference>
          <reference field="9" count="1">
            <x v="2"/>
          </reference>
        </references>
      </pivotArea>
    </format>
    <format dxfId="474">
      <pivotArea collapsedLevelsAreSubtotals="1" fieldPosition="0">
        <references count="3">
          <reference field="3" count="1" selected="0">
            <x v="1"/>
          </reference>
          <reference field="5" count="1" selected="0">
            <x v="1"/>
          </reference>
          <reference field="9" count="1">
            <x v="3"/>
          </reference>
        </references>
      </pivotArea>
    </format>
    <format dxfId="473">
      <pivotArea collapsedLevelsAreSubtotals="1" fieldPosition="0">
        <references count="3">
          <reference field="3" count="1" selected="0">
            <x v="1"/>
          </reference>
          <reference field="5" count="1" selected="0">
            <x v="1"/>
          </reference>
          <reference field="9" count="1">
            <x v="4"/>
          </reference>
        </references>
      </pivotArea>
    </format>
    <format dxfId="472">
      <pivotArea collapsedLevelsAreSubtotals="1" fieldPosition="0">
        <references count="3">
          <reference field="3" count="1" selected="0">
            <x v="1"/>
          </reference>
          <reference field="5" count="1" selected="0">
            <x v="1"/>
          </reference>
          <reference field="9" count="1">
            <x v="5"/>
          </reference>
        </references>
      </pivotArea>
    </format>
    <format dxfId="471">
      <pivotArea collapsedLevelsAreSubtotals="1" fieldPosition="0">
        <references count="3">
          <reference field="3" count="1" selected="0">
            <x v="1"/>
          </reference>
          <reference field="5" count="1" selected="0">
            <x v="1"/>
          </reference>
          <reference field="9" count="1">
            <x v="6"/>
          </reference>
        </references>
      </pivotArea>
    </format>
    <format dxfId="470">
      <pivotArea collapsedLevelsAreSubtotals="1" fieldPosition="0">
        <references count="3">
          <reference field="3" count="1" selected="0">
            <x v="1"/>
          </reference>
          <reference field="5" count="1" selected="0">
            <x v="1"/>
          </reference>
          <reference field="9" count="1">
            <x v="7"/>
          </reference>
        </references>
      </pivotArea>
    </format>
    <format dxfId="469">
      <pivotArea collapsedLevelsAreSubtotals="1" fieldPosition="0">
        <references count="3">
          <reference field="3" count="1" selected="0">
            <x v="1"/>
          </reference>
          <reference field="5" count="1" selected="0">
            <x v="1"/>
          </reference>
          <reference field="9" count="1">
            <x v="8"/>
          </reference>
        </references>
      </pivotArea>
    </format>
    <format dxfId="468">
      <pivotArea collapsedLevelsAreSubtotals="1" fieldPosition="0">
        <references count="3">
          <reference field="3" count="1" selected="0">
            <x v="1"/>
          </reference>
          <reference field="5" count="1" selected="0">
            <x v="2"/>
          </reference>
          <reference field="9" count="1">
            <x v="9"/>
          </reference>
        </references>
      </pivotArea>
    </format>
    <format dxfId="467">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46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46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46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46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462">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46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46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45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45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457">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45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45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45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45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45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45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45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4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44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44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44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4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4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4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44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4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4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4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4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4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4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43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43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43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43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4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42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2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42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42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42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42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42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4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4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4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4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4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41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41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41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41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412">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11">
      <pivotArea collapsedLevelsAreSubtotals="1" fieldPosition="0">
        <references count="2">
          <reference field="3" count="1" selected="0">
            <x v="1"/>
          </reference>
          <reference field="5" count="1">
            <x v="1"/>
          </reference>
        </references>
      </pivotArea>
    </format>
    <format dxfId="410">
      <pivotArea field="3" type="button" dataOnly="0" labelOnly="1" outline="0" axis="axisRow" fieldPosition="1"/>
    </format>
    <format dxfId="409">
      <pivotArea collapsedLevelsAreSubtotals="1" fieldPosition="0">
        <references count="2">
          <reference field="3" count="1" selected="0">
            <x v="1"/>
          </reference>
          <reference field="5" count="1">
            <x v="2"/>
          </reference>
        </references>
      </pivotArea>
    </format>
    <format dxfId="408">
      <pivotArea collapsedLevelsAreSubtotals="1" fieldPosition="0">
        <references count="2">
          <reference field="3" count="1" selected="0">
            <x v="0"/>
          </reference>
          <reference field="5" count="1">
            <x v="0"/>
          </reference>
        </references>
      </pivotArea>
    </format>
    <format dxfId="407">
      <pivotArea field="3" type="button" dataOnly="0" labelOnly="1" outline="0" axis="axisRow" fieldPosition="1"/>
    </format>
    <format dxfId="406">
      <pivotArea dataOnly="0" labelOnly="1" outline="0" fieldPosition="0">
        <references count="1">
          <reference field="4294967294" count="5">
            <x v="0"/>
            <x v="1"/>
            <x v="2"/>
            <x v="3"/>
            <x v="4"/>
          </reference>
        </references>
      </pivotArea>
    </format>
    <format dxfId="405">
      <pivotArea field="3" type="button" dataOnly="0" labelOnly="1" outline="0" axis="axisRow" fieldPosition="1"/>
    </format>
    <format dxfId="404">
      <pivotArea dataOnly="0" labelOnly="1" outline="0" fieldPosition="0">
        <references count="1">
          <reference field="4294967294" count="5">
            <x v="0"/>
            <x v="1"/>
            <x v="2"/>
            <x v="3"/>
            <x v="4"/>
          </reference>
        </references>
      </pivotArea>
    </format>
    <format dxfId="403">
      <pivotArea field="3" type="button" dataOnly="0" labelOnly="1" outline="0" axis="axisRow" fieldPosition="1"/>
    </format>
    <format dxfId="402">
      <pivotArea dataOnly="0" labelOnly="1" fieldPosition="0">
        <references count="1">
          <reference field="3" count="0"/>
        </references>
      </pivotArea>
    </format>
    <format dxfId="401">
      <pivotArea dataOnly="0" labelOnly="1" grandRow="1" outline="0" fieldPosition="0"/>
    </format>
    <format dxfId="400">
      <pivotArea dataOnly="0" labelOnly="1" fieldPosition="0">
        <references count="2">
          <reference field="3" count="1" selected="0">
            <x v="0"/>
          </reference>
          <reference field="5" count="1">
            <x v="0"/>
          </reference>
        </references>
      </pivotArea>
    </format>
    <format dxfId="399">
      <pivotArea dataOnly="0" labelOnly="1" fieldPosition="0">
        <references count="2">
          <reference field="3" count="1" selected="0">
            <x v="1"/>
          </reference>
          <reference field="5" count="2">
            <x v="1"/>
            <x v="2"/>
          </reference>
        </references>
      </pivotArea>
    </format>
    <format dxfId="398">
      <pivotArea dataOnly="0" labelOnly="1" fieldPosition="0">
        <references count="3">
          <reference field="3" count="1" selected="0">
            <x v="0"/>
          </reference>
          <reference field="5" count="1" selected="0">
            <x v="0"/>
          </reference>
          <reference field="9" count="1">
            <x v="0"/>
          </reference>
        </references>
      </pivotArea>
    </format>
    <format dxfId="397">
      <pivotArea dataOnly="0" labelOnly="1" fieldPosition="0">
        <references count="3">
          <reference field="3" count="1" selected="0">
            <x v="1"/>
          </reference>
          <reference field="5" count="1" selected="0">
            <x v="1"/>
          </reference>
          <reference field="9" count="8">
            <x v="1"/>
            <x v="2"/>
            <x v="3"/>
            <x v="4"/>
            <x v="5"/>
            <x v="6"/>
            <x v="7"/>
            <x v="8"/>
          </reference>
        </references>
      </pivotArea>
    </format>
    <format dxfId="396">
      <pivotArea dataOnly="0" labelOnly="1" fieldPosition="0">
        <references count="3">
          <reference field="3" count="1" selected="0">
            <x v="1"/>
          </reference>
          <reference field="5" count="1" selected="0">
            <x v="2"/>
          </reference>
          <reference field="9" count="1">
            <x v="9"/>
          </reference>
        </references>
      </pivotArea>
    </format>
    <format dxfId="39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9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9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9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9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9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8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8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8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8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8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8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8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8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8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8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7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7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7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7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7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7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7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7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70">
      <pivotArea dataOnly="0" labelOnly="1" fieldPosition="0">
        <references count="1">
          <reference field="13" count="0"/>
        </references>
      </pivotArea>
    </format>
    <format dxfId="369">
      <pivotArea dataOnly="0" labelOnly="1" fieldPosition="0">
        <references count="1">
          <reference field="13" count="0"/>
        </references>
      </pivotArea>
    </format>
    <format dxfId="368">
      <pivotArea type="all" dataOnly="0" outline="0" fieldPosition="0"/>
    </format>
    <format dxfId="367">
      <pivotArea outline="0" collapsedLevelsAreSubtotals="1" fieldPosition="0"/>
    </format>
    <format dxfId="366">
      <pivotArea field="30" type="button" dataOnly="0" labelOnly="1" outline="0" axis="axisRow" fieldPosition="0"/>
    </format>
    <format dxfId="365">
      <pivotArea dataOnly="0" labelOnly="1" grandRow="1" outline="0" fieldPosition="0"/>
    </format>
    <format dxfId="364">
      <pivotArea dataOnly="0" labelOnly="1" fieldPosition="0">
        <references count="2">
          <reference field="3" count="0"/>
          <reference field="30" count="0" selected="0"/>
        </references>
      </pivotArea>
    </format>
    <format dxfId="363">
      <pivotArea dataOnly="0" labelOnly="1" fieldPosition="0">
        <references count="3">
          <reference field="3" count="1" selected="0">
            <x v="0"/>
          </reference>
          <reference field="5" count="1">
            <x v="0"/>
          </reference>
          <reference field="30" count="0" selected="0"/>
        </references>
      </pivotArea>
    </format>
    <format dxfId="362">
      <pivotArea dataOnly="0" labelOnly="1" fieldPosition="0">
        <references count="3">
          <reference field="3" count="1" selected="0">
            <x v="1"/>
          </reference>
          <reference field="5" count="2">
            <x v="1"/>
            <x v="2"/>
          </reference>
          <reference field="30" count="0" selected="0"/>
        </references>
      </pivotArea>
    </format>
    <format dxfId="361">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1"/>
          </reference>
        </references>
      </pivotArea>
    </format>
    <format dxfId="360">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2"/>
          </reference>
        </references>
      </pivotArea>
    </format>
    <format dxfId="359">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4"/>
          </reference>
        </references>
      </pivotArea>
    </format>
    <format dxfId="358">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6"/>
          </reference>
        </references>
      </pivotArea>
    </format>
    <format dxfId="357">
      <pivotArea dataOnly="0" labelOnly="1" fieldPosition="0">
        <references count="6">
          <reference field="3" count="1" selected="0">
            <x v="1"/>
          </reference>
          <reference field="5" count="1" selected="0">
            <x v="1"/>
          </reference>
          <reference field="9" count="1">
            <x v="3"/>
          </reference>
          <reference field="30" count="0" selected="0"/>
          <reference field="31" count="1" selected="0">
            <x v="0"/>
          </reference>
          <reference field="32" count="1" selected="0">
            <x v="2"/>
          </reference>
        </references>
      </pivotArea>
    </format>
    <format dxfId="356">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4"/>
          </reference>
        </references>
      </pivotArea>
    </format>
    <format dxfId="355">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6"/>
          </reference>
        </references>
      </pivotArea>
    </format>
    <format dxfId="354">
      <pivotArea dataOnly="0" labelOnly="1" fieldPosition="0">
        <references count="6">
          <reference field="3" count="1" selected="0">
            <x v="1"/>
          </reference>
          <reference field="5" count="1" selected="0">
            <x v="1"/>
          </reference>
          <reference field="9" count="1">
            <x v="7"/>
          </reference>
          <reference field="30" count="0" selected="0"/>
          <reference field="31" count="1" selected="0">
            <x v="2"/>
          </reference>
          <reference field="32" count="1" selected="0">
            <x v="0"/>
          </reference>
        </references>
      </pivotArea>
    </format>
    <format dxfId="353">
      <pivotArea dataOnly="0" labelOnly="1" fieldPosition="0">
        <references count="6">
          <reference field="3" count="1" selected="0">
            <x v="1"/>
          </reference>
          <reference field="5" count="1" selected="0">
            <x v="1"/>
          </reference>
          <reference field="9" count="2">
            <x v="2"/>
            <x v="6"/>
          </reference>
          <reference field="30" count="0" selected="0"/>
          <reference field="31" count="1" selected="0">
            <x v="2"/>
          </reference>
          <reference field="32" count="1" selected="0">
            <x v="5"/>
          </reference>
        </references>
      </pivotArea>
    </format>
    <format dxfId="352">
      <pivotArea dataOnly="0" labelOnly="1" fieldPosition="0">
        <references count="6">
          <reference field="3" count="1" selected="0">
            <x v="1"/>
          </reference>
          <reference field="5" count="1" selected="0">
            <x v="1"/>
          </reference>
          <reference field="9" count="1">
            <x v="8"/>
          </reference>
          <reference field="30" count="0" selected="0"/>
          <reference field="31" count="1" selected="0">
            <x v="3"/>
          </reference>
          <reference field="32" count="1" selected="0">
            <x v="3"/>
          </reference>
        </references>
      </pivotArea>
    </format>
    <format dxfId="351">
      <pivotArea dataOnly="0" labelOnly="1" fieldPosition="0">
        <references count="6">
          <reference field="3" count="1" selected="0">
            <x v="1"/>
          </reference>
          <reference field="5" count="1" selected="0">
            <x v="1"/>
          </reference>
          <reference field="9" count="4">
            <x v="1"/>
            <x v="3"/>
            <x v="4"/>
            <x v="5"/>
          </reference>
          <reference field="30" count="0" selected="0"/>
          <reference field="31" count="1" selected="0">
            <x v="3"/>
          </reference>
          <reference field="32" count="1" selected="0">
            <x v="7"/>
          </reference>
        </references>
      </pivotArea>
    </format>
    <format dxfId="350">
      <pivotArea dataOnly="0" labelOnly="1" fieldPosition="0">
        <references count="6">
          <reference field="3" count="1" selected="0">
            <x v="1"/>
          </reference>
          <reference field="5" count="1" selected="0">
            <x v="2"/>
          </reference>
          <reference field="9" count="1">
            <x v="9"/>
          </reference>
          <reference field="30" count="0" selected="0"/>
          <reference field="31" count="1" selected="0">
            <x v="2"/>
          </reference>
          <reference field="32" count="1" selected="0">
            <x v="5"/>
          </reference>
        </references>
      </pivotArea>
    </format>
    <format dxfId="349">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348">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347">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346">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345">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34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34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342">
      <pivotArea dataOnly="0" labelOnly="1" fieldPosition="0">
        <references count="7">
          <reference field="3" count="1" selected="0">
            <x v="1"/>
          </reference>
          <reference field="5" count="1" selected="0">
            <x v="1"/>
          </reference>
          <reference field="9" count="1" selected="0">
            <x v="7"/>
          </reference>
          <reference field="11" count="2">
            <x v="8"/>
            <x v="13"/>
          </reference>
          <reference field="30" count="0" selected="0"/>
          <reference field="31" count="1" selected="0">
            <x v="2"/>
          </reference>
          <reference field="32" count="1" selected="0">
            <x v="0"/>
          </reference>
        </references>
      </pivotArea>
    </format>
    <format dxfId="341">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340">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339">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338">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33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336">
      <pivotArea dataOnly="0" labelOnly="1" fieldPosition="0">
        <references count="7">
          <reference field="3" count="1" selected="0">
            <x v="1"/>
          </reference>
          <reference field="5" count="1" selected="0">
            <x v="1"/>
          </reference>
          <reference field="9" count="1" selected="0">
            <x v="4"/>
          </reference>
          <reference field="11" count="1">
            <x v="0"/>
          </reference>
          <reference field="30" count="0" selected="0"/>
          <reference field="31" count="1" selected="0">
            <x v="3"/>
          </reference>
          <reference field="32" count="1" selected="0">
            <x v="7"/>
          </reference>
        </references>
      </pivotArea>
    </format>
    <format dxfId="335">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334">
      <pivotArea dataOnly="0" labelOnly="1" fieldPosition="0">
        <references count="7">
          <reference field="3" count="1" selected="0">
            <x v="1"/>
          </reference>
          <reference field="5" count="1" selected="0">
            <x v="2"/>
          </reference>
          <reference field="9" count="1" selected="0">
            <x v="9"/>
          </reference>
          <reference field="11" count="2">
            <x v="5"/>
            <x v="12"/>
          </reference>
          <reference field="30" count="0" selected="0"/>
          <reference field="31" count="1" selected="0">
            <x v="2"/>
          </reference>
          <reference field="32" count="1" selected="0">
            <x v="5"/>
          </reference>
        </references>
      </pivotArea>
    </format>
    <format dxfId="333">
      <pivotArea dataOnly="0" labelOnly="1" outline="0" fieldPosition="0">
        <references count="1">
          <reference field="4294967294" count="5">
            <x v="0"/>
            <x v="1"/>
            <x v="2"/>
            <x v="3"/>
            <x v="4"/>
          </reference>
        </references>
      </pivotArea>
    </format>
    <format dxfId="332">
      <pivotArea dataOnly="0" labelOnly="1" fieldPosition="0">
        <references count="1">
          <reference field="31" count="0"/>
        </references>
      </pivotArea>
    </format>
    <format dxfId="331">
      <pivotArea dataOnly="0" labelOnly="1" fieldPosition="0">
        <references count="1">
          <reference field="32" count="0"/>
        </references>
      </pivotArea>
    </format>
    <format dxfId="330">
      <pivotArea dataOnly="0" labelOnly="1" fieldPosition="0">
        <references count="1">
          <reference field="32" count="0"/>
        </references>
      </pivotArea>
    </format>
    <format dxfId="329">
      <pivotArea dataOnly="0" labelOnly="1" fieldPosition="0">
        <references count="1">
          <reference field="32" count="0"/>
        </references>
      </pivotArea>
    </format>
    <format dxfId="328">
      <pivotArea dataOnly="0" labelOnly="1" fieldPosition="0">
        <references count="1">
          <reference field="32" count="0"/>
        </references>
      </pivotArea>
    </format>
    <format dxfId="327">
      <pivotArea dataOnly="0" labelOnly="1" fieldPosition="0">
        <references count="1">
          <reference field="31" count="0"/>
        </references>
      </pivotArea>
    </format>
    <format dxfId="326">
      <pivotArea dataOnly="0" labelOnly="1" fieldPosition="0">
        <references count="1">
          <reference field="31" count="0"/>
        </references>
      </pivotArea>
    </format>
    <format dxfId="325">
      <pivotArea dataOnly="0" labelOnly="1" fieldPosition="0">
        <references count="1">
          <reference field="31" count="0"/>
        </references>
      </pivotArea>
    </format>
    <format dxfId="324">
      <pivotArea collapsedLevelsAreSubtotals="1" fieldPosition="0">
        <references count="4">
          <reference field="3" count="1" selected="0">
            <x v="0"/>
          </reference>
          <reference field="5" count="1" selected="0">
            <x v="0"/>
          </reference>
          <reference field="30" count="0" selected="0"/>
          <reference field="31" count="1">
            <x v="0"/>
          </reference>
        </references>
      </pivotArea>
    </format>
    <format dxfId="323">
      <pivotArea dataOnly="0" labelOnly="1" fieldPosition="0">
        <references count="4">
          <reference field="3" count="1" selected="0">
            <x v="0"/>
          </reference>
          <reference field="5" count="1" selected="0">
            <x v="0"/>
          </reference>
          <reference field="30" count="0" selected="0"/>
          <reference field="31" count="1">
            <x v="0"/>
          </reference>
        </references>
      </pivotArea>
    </format>
    <format dxfId="322">
      <pivotArea collapsedLevelsAreSubtotals="1" fieldPosition="0">
        <references count="4">
          <reference field="3" count="1" selected="0">
            <x v="0"/>
          </reference>
          <reference field="5" count="1" selected="0">
            <x v="0"/>
          </reference>
          <reference field="30" count="0" selected="0"/>
          <reference field="31" count="1">
            <x v="1"/>
          </reference>
        </references>
      </pivotArea>
    </format>
    <format dxfId="321">
      <pivotArea dataOnly="0" labelOnly="1" fieldPosition="0">
        <references count="4">
          <reference field="3" count="1" selected="0">
            <x v="0"/>
          </reference>
          <reference field="5" count="1" selected="0">
            <x v="0"/>
          </reference>
          <reference field="30" count="0" selected="0"/>
          <reference field="31" count="1">
            <x v="1"/>
          </reference>
        </references>
      </pivotArea>
    </format>
    <format dxfId="320">
      <pivotArea collapsedLevelsAreSubtotals="1" fieldPosition="0">
        <references count="4">
          <reference field="3" count="1" selected="0">
            <x v="1"/>
          </reference>
          <reference field="5" count="1" selected="0">
            <x v="1"/>
          </reference>
          <reference field="30" count="0" selected="0"/>
          <reference field="31" count="1">
            <x v="0"/>
          </reference>
        </references>
      </pivotArea>
    </format>
    <format dxfId="319">
      <pivotArea dataOnly="0" labelOnly="1" fieldPosition="0">
        <references count="4">
          <reference field="3" count="1" selected="0">
            <x v="1"/>
          </reference>
          <reference field="5" count="1" selected="0">
            <x v="1"/>
          </reference>
          <reference field="30" count="0" selected="0"/>
          <reference field="31" count="1">
            <x v="0"/>
          </reference>
        </references>
      </pivotArea>
    </format>
    <format dxfId="318">
      <pivotArea collapsedLevelsAreSubtotals="1" fieldPosition="0">
        <references count="4">
          <reference field="3" count="1" selected="0">
            <x v="1"/>
          </reference>
          <reference field="5" count="1" selected="0">
            <x v="1"/>
          </reference>
          <reference field="30" count="0" selected="0"/>
          <reference field="31" count="1">
            <x v="1"/>
          </reference>
        </references>
      </pivotArea>
    </format>
    <format dxfId="317">
      <pivotArea dataOnly="0" labelOnly="1" fieldPosition="0">
        <references count="4">
          <reference field="3" count="1" selected="0">
            <x v="1"/>
          </reference>
          <reference field="5" count="1" selected="0">
            <x v="1"/>
          </reference>
          <reference field="30" count="0" selected="0"/>
          <reference field="31" count="1">
            <x v="1"/>
          </reference>
        </references>
      </pivotArea>
    </format>
    <format dxfId="316">
      <pivotArea collapsedLevelsAreSubtotals="1" fieldPosition="0">
        <references count="4">
          <reference field="3" count="1" selected="0">
            <x v="1"/>
          </reference>
          <reference field="5" count="1" selected="0">
            <x v="1"/>
          </reference>
          <reference field="30" count="0" selected="0"/>
          <reference field="31" count="1">
            <x v="2"/>
          </reference>
        </references>
      </pivotArea>
    </format>
    <format dxfId="315">
      <pivotArea dataOnly="0" labelOnly="1" fieldPosition="0">
        <references count="4">
          <reference field="3" count="1" selected="0">
            <x v="1"/>
          </reference>
          <reference field="5" count="1" selected="0">
            <x v="1"/>
          </reference>
          <reference field="30" count="0" selected="0"/>
          <reference field="31" count="1">
            <x v="2"/>
          </reference>
        </references>
      </pivotArea>
    </format>
    <format dxfId="314">
      <pivotArea collapsedLevelsAreSubtotals="1" fieldPosition="0">
        <references count="4">
          <reference field="3" count="1" selected="0">
            <x v="1"/>
          </reference>
          <reference field="5" count="1" selected="0">
            <x v="1"/>
          </reference>
          <reference field="30" count="0" selected="0"/>
          <reference field="31" count="1">
            <x v="3"/>
          </reference>
        </references>
      </pivotArea>
    </format>
    <format dxfId="313">
      <pivotArea dataOnly="0" labelOnly="1" fieldPosition="0">
        <references count="4">
          <reference field="3" count="1" selected="0">
            <x v="1"/>
          </reference>
          <reference field="5" count="1" selected="0">
            <x v="1"/>
          </reference>
          <reference field="30" count="0" selected="0"/>
          <reference field="31" count="1">
            <x v="3"/>
          </reference>
        </references>
      </pivotArea>
    </format>
    <format dxfId="312">
      <pivotArea collapsedLevelsAreSubtotals="1" fieldPosition="0">
        <references count="4">
          <reference field="3" count="1" selected="0">
            <x v="1"/>
          </reference>
          <reference field="5" count="1" selected="0">
            <x v="2"/>
          </reference>
          <reference field="30" count="0" selected="0"/>
          <reference field="31" count="1">
            <x v="2"/>
          </reference>
        </references>
      </pivotArea>
    </format>
    <format dxfId="311">
      <pivotArea dataOnly="0" labelOnly="1" fieldPosition="0">
        <references count="4">
          <reference field="3" count="1" selected="0">
            <x v="1"/>
          </reference>
          <reference field="5" count="1" selected="0">
            <x v="2"/>
          </reference>
          <reference field="30" count="0" selected="0"/>
          <reference field="31" count="1">
            <x v="2"/>
          </reference>
        </references>
      </pivotArea>
    </format>
    <format dxfId="310">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309">
      <pivotArea dataOnly="0" labelOnly="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308">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307">
      <pivotArea dataOnly="0" labelOnly="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306">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305">
      <pivotArea dataOnly="0" labelOnly="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304">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303">
      <pivotArea dataOnly="0" labelOnly="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302">
      <pivotArea collapsedLevelsAreSubtotals="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301">
      <pivotArea dataOnly="0" labelOnly="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300">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299">
      <pivotArea dataOnly="0" labelOnly="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298">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297">
      <pivotArea dataOnly="0" labelOnly="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296">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295">
      <pivotArea dataOnly="0" labelOnly="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294">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293">
      <pivotArea dataOnly="0" labelOnly="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292">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291">
      <pivotArea dataOnly="0" labelOnly="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290">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289">
      <pivotArea dataOnly="0" labelOnly="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288">
      <pivotArea collapsedLevelsAreSubtotals="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287">
      <pivotArea dataOnly="0" labelOnly="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286">
      <pivotArea dataOnly="0" labelOnly="1" fieldPosition="0">
        <references count="1">
          <reference field="30" count="0"/>
        </references>
      </pivotArea>
    </format>
    <format dxfId="285">
      <pivotArea collapsedLevelsAreSubtotals="1" fieldPosition="0">
        <references count="1">
          <reference field="30" count="0"/>
        </references>
      </pivotArea>
    </format>
    <format dxfId="284">
      <pivotArea dataOnly="0" labelOnly="1" fieldPosition="0">
        <references count="1">
          <reference field="30" count="0"/>
        </references>
      </pivotArea>
    </format>
    <format dxfId="283">
      <pivotArea dataOnly="0" labelOnly="1" fieldPosition="0">
        <references count="1">
          <reference field="13" count="0"/>
        </references>
      </pivotArea>
    </format>
    <format dxfId="28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28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28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27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27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27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27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27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27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27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27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27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27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26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2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2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2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2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2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2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2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2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26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25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25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25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25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25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25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25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25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25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25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24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24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24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24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24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24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24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24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24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24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2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23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2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23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23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23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23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23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2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2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2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2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2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2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2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2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2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2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2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2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21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2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21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21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21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21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21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212">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21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21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20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20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2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20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2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20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20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202">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2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200">
      <pivotArea dataOnly="0" labelOnly="1" fieldPosition="0">
        <references count="1">
          <reference field="11" count="0"/>
        </references>
      </pivotArea>
    </format>
    <format dxfId="199">
      <pivotArea dataOnly="0" labelOnly="1" fieldPosition="0">
        <references count="1">
          <reference field="11" count="0"/>
        </references>
      </pivotArea>
    </format>
    <format dxfId="198">
      <pivotArea dataOnly="0" labelOnly="1" fieldPosition="0">
        <references count="1">
          <reference field="13" count="0"/>
        </references>
      </pivotArea>
    </format>
    <format dxfId="197">
      <pivotArea dataOnly="0" labelOnly="1" fieldPosition="0">
        <references count="1">
          <reference field="13" count="0"/>
        </references>
      </pivotArea>
    </format>
    <format dxfId="196">
      <pivotArea dataOnly="0" labelOnly="1" fieldPosition="0">
        <references count="1">
          <reference field="32" count="0"/>
        </references>
      </pivotArea>
    </format>
    <format dxfId="195">
      <pivotArea dataOnly="0" labelOnly="1" fieldPosition="0">
        <references count="1">
          <reference field="32" count="0"/>
        </references>
      </pivotArea>
    </format>
    <format dxfId="1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1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1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1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1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159">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6">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5">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4">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15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1" selected="0">
            <x v="7"/>
          </reference>
        </references>
      </pivotArea>
    </format>
    <format dxfId="15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1" selected="0">
            <x v="7"/>
          </reference>
        </references>
      </pivotArea>
    </format>
    <format dxfId="15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1" selected="0">
            <x v="7"/>
          </reference>
        </references>
      </pivotArea>
    </format>
    <format dxfId="15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1" selected="0">
            <x v="7"/>
          </reference>
        </references>
      </pivotArea>
    </format>
    <format dxfId="14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1" selected="0">
            <x v="7"/>
          </reference>
        </references>
      </pivotArea>
    </format>
    <format dxfId="148">
      <pivotArea dataOnly="0" labelOnly="1" fieldPosition="0">
        <references count="1">
          <reference field="11" count="0"/>
        </references>
      </pivotArea>
    </format>
    <format dxfId="147">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146">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145">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144">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143">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142">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141">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140">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139">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13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137">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136">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135">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13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133">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132">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131">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130">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129">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128">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127">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126">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125">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124">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123">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122">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121">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120">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119">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11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117">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116">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115">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114">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113">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112">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111">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110">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109">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108">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107">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106">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105">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104">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103">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102">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101">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100">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99">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9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97">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96">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95">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94">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93">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92">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91">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90">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89">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88">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87">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86">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85">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8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83">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82">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81">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80">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79">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78">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77">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76">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7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74">
      <pivotArea outline="0" collapsedLevelsAreSubtotals="1" fieldPosition="0"/>
    </format>
    <format dxfId="73">
      <pivotArea type="all" dataOnly="0" outline="0" fieldPosition="0"/>
    </format>
    <format dxfId="72">
      <pivotArea outline="0" collapsedLevelsAreSubtotals="1" fieldPosition="0"/>
    </format>
    <format dxfId="71">
      <pivotArea field="30" type="button" dataOnly="0" labelOnly="1" outline="0" axis="axisRow" fieldPosition="0"/>
    </format>
    <format dxfId="70">
      <pivotArea dataOnly="0" labelOnly="1" grandRow="1" outline="0" fieldPosition="0"/>
    </format>
    <format dxfId="69">
      <pivotArea dataOnly="0" labelOnly="1" outline="0" fieldPosition="0">
        <references count="1">
          <reference field="4294967294" count="4">
            <x v="0"/>
            <x v="1"/>
            <x v="2"/>
            <x v="3"/>
          </reference>
        </references>
      </pivotArea>
    </format>
    <format dxfId="68">
      <pivotArea dataOnly="0" labelOnly="1" fieldPosition="0">
        <references count="1">
          <reference field="30" count="0"/>
        </references>
      </pivotArea>
    </format>
    <format dxfId="67">
      <pivotArea collapsedLevelsAreSubtotals="1" fieldPosition="0">
        <references count="1">
          <reference field="30" count="1">
            <x v="0"/>
          </reference>
        </references>
      </pivotArea>
    </format>
    <format dxfId="66">
      <pivotArea dataOnly="0" labelOnly="1" fieldPosition="0">
        <references count="1">
          <reference field="30" count="1">
            <x v="0"/>
          </reference>
        </references>
      </pivotArea>
    </format>
    <format dxfId="65">
      <pivotArea collapsedLevelsAreSubtotals="1" fieldPosition="0">
        <references count="1">
          <reference field="30" count="1">
            <x v="1"/>
          </reference>
        </references>
      </pivotArea>
    </format>
    <format dxfId="64">
      <pivotArea dataOnly="0" labelOnly="1" fieldPosition="0">
        <references count="1">
          <reference field="30" count="1">
            <x v="1"/>
          </reference>
        </references>
      </pivotArea>
    </format>
    <format dxfId="63">
      <pivotArea collapsedLevelsAreSubtotals="1" fieldPosition="0">
        <references count="1">
          <reference field="30" count="1">
            <x v="2"/>
          </reference>
        </references>
      </pivotArea>
    </format>
    <format dxfId="62">
      <pivotArea dataOnly="0" labelOnly="1" fieldPosition="0">
        <references count="1">
          <reference field="30" count="1">
            <x v="2"/>
          </reference>
        </references>
      </pivotArea>
    </format>
    <format dxfId="61">
      <pivotArea collapsedLevelsAreSubtotals="1" fieldPosition="0">
        <references count="1">
          <reference field="30" count="1">
            <x v="3"/>
          </reference>
        </references>
      </pivotArea>
    </format>
    <format dxfId="60">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599">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598">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597">
      <calculatedColumnFormula>_xlfn.TEXTJOIN(" - ",TRUE,Subkoord[[#This Row],[id]],Subkoord[[#This Row],[skrdklpk]])</calculatedColumnFormula>
    </tableColumn>
    <tableColumn id="7" xr3:uid="{BB0E08D1-7433-45E1-9A8E-F09478BEE345}" name="Koordinator" dataDxfId="596">
      <calculatedColumnFormula array="1">INDEX(Koord[Koordinator],MATCH(1,(Subkoord[[#This Row],[id2]]=Koord[id2])*(Subkoord[[#This Row],[id3]]=Koord[id]),0))</calculatedColumnFormula>
    </tableColumn>
    <tableColumn id="8" xr3:uid="{CE9A8D26-5115-4AB0-A0D6-173532BAC073}" name="Eselon2" dataDxfId="595">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591" dataDxfId="590" tableBorderDxfId="589">
  <autoFilter ref="B10:O170" xr:uid="{5439E600-4AE6-4A9C-BF96-1F8B4649EF5E}"/>
  <sortState xmlns:xlrd2="http://schemas.microsoft.com/office/spreadsheetml/2017/richdata2" ref="B11:O155">
    <sortCondition ref="C10:C155"/>
  </sortState>
  <tableColumns count="14">
    <tableColumn id="1" xr3:uid="{EA3EA993-E9B8-4175-AE78-56C2DE826084}" name="No" dataDxfId="588" totalsRowDxfId="587" dataCellStyle="Normal 4" totalsRowCellStyle="Normal 4"/>
    <tableColumn id="14" xr3:uid="{39BE1E11-4C0D-43C9-A7CF-CFD7B6D88EC1}" name="Urut" dataDxfId="586" totalsRowDxfId="585" dataCellStyle="Normal 4" totalsRowCellStyle="Normal 4"/>
    <tableColumn id="2" xr3:uid="{55765DF9-9B2D-49B2-8C10-51C6F4795A2B}" name="Nomor SP2D" dataDxfId="584" totalsRowDxfId="583" totalsRowCellStyle="Normal 4"/>
    <tableColumn id="3" xr3:uid="{95F2A4A6-178D-4D09-BEC2-A35DA9DD284C}" name="Tanggal SP2D" dataDxfId="582" totalsRowDxfId="581" totalsRowCellStyle="Normal 4"/>
    <tableColumn id="4" xr3:uid="{1BFC6E15-B107-44FC-880F-0FA398A70437}" name="Nilai SP2D" dataDxfId="580" totalsRowDxfId="579" dataCellStyle="Comma [0]" totalsRowCellStyle="Comma [0]"/>
    <tableColumn id="5" xr3:uid="{BA79B4B6-6D4D-4C40-A794-FBA956D546A8}" name="Jenis SPM" dataDxfId="578" totalsRowDxfId="577" totalsRowCellStyle="Normal 4"/>
    <tableColumn id="6" xr3:uid="{0728F6B3-877B-4801-849D-78A7FD394756}" name="Nomor Invoice" dataDxfId="576" totalsRowDxfId="575" totalsRowCellStyle="Normal 4"/>
    <tableColumn id="7" xr3:uid="{BC8C9A9E-906E-4F73-AA7C-36C21228DCD0}" name="Tanggal Invoice" dataDxfId="574" totalsRowDxfId="573" totalsRowCellStyle="Normal 4"/>
    <tableColumn id="8" xr3:uid="{4F370E97-CC92-41D4-B70A-C2C397F13E5F}" name="Jenis SP2D" dataDxfId="572" totalsRowDxfId="571" totalsRowCellStyle="Normal 4"/>
    <tableColumn id="9" xr3:uid="{5AB0F2BB-729E-4A36-99C2-531506F2E0D4}" name="Deskripsi" dataDxfId="570" totalsRowDxfId="569" totalsRowCellStyle="Normal 4"/>
    <tableColumn id="10" xr3:uid="{E9855FB4-726E-4E0F-A40E-89C5AF4CAAE7}" name="Bagian / Bidang" dataDxfId="568" totalsRowDxfId="567" dataCellStyle="Normal 4" totalsRowCellStyle="Normal 4"/>
    <tableColumn id="11" xr3:uid="{07CEE088-AC9A-406D-AECA-D9F23626D4D5}" name="Subbagian / Subbidang" dataDxfId="566" totalsRowDxfId="565" dataCellStyle="Normal 4" totalsRowCellStyle="Normal 4"/>
    <tableColumn id="13" xr3:uid="{7D701C80-B1AD-4D78-B3C3-525A71261916}" name="Status Realisasi" dataDxfId="564" dataCellStyle="Normal 4"/>
    <tableColumn id="12" xr3:uid="{BE916C21-2F59-4DE9-9BDF-707A1C1956B2}" name="all" dataDxfId="563"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Table7" displayName="Table7" ref="A3:AY143" totalsRowShown="0" headerRowDxfId="59" dataDxfId="58">
  <autoFilter ref="A3:AY143" xr:uid="{0C46C9EE-53F2-428C-9BE4-AA19FA2987DF}">
    <filterColumn colId="40">
      <filters>
        <filter val="COVID"/>
      </filters>
    </filterColumn>
  </autoFilter>
  <tableColumns count="51">
    <tableColumn id="1" xr3:uid="{A2BC3788-B1CE-4A3F-B6F3-D1D27F201210}" name="kddept" dataDxfId="57"/>
    <tableColumn id="2" xr3:uid="{2DB0BCF7-353A-4057-BFD0-5A9AFD7AD377}" name="kdunit" dataDxfId="56"/>
    <tableColumn id="3" xr3:uid="{6BCC3689-465C-41AB-AA41-B61148952378}" name="kdprogram" dataDxfId="55"/>
    <tableColumn id="4" xr3:uid="{2A5A7B58-839E-4216-A115-BA31451747CC}" name="Program" dataDxfId="54"/>
    <tableColumn id="5" xr3:uid="{B90B5CFD-D8F4-48C4-81DF-60CCA43D8B33}" name="kdgiat" dataDxfId="53"/>
    <tableColumn id="6" xr3:uid="{665306DE-5004-4796-BA54-AF3E581B23DE}" name="Kegiatan" dataDxfId="52"/>
    <tableColumn id="7" xr3:uid="{896282BA-49FB-4172-920C-20AE0DBD436D}" name="kdoutput" dataDxfId="51"/>
    <tableColumn id="8" xr3:uid="{81ACE6BC-C81E-44B5-AC16-FA7339E6C95D}" name="Output" dataDxfId="50"/>
    <tableColumn id="9" xr3:uid="{B9A79FBA-908D-418C-864B-733536EBB6AD}" name="kdsoutput" dataDxfId="49"/>
    <tableColumn id="10" xr3:uid="{8730A0E5-24CD-4DD0-97C9-7EB5897F6937}" name="SubOutput" dataDxfId="48"/>
    <tableColumn id="11" xr3:uid="{A1213678-0772-43DE-9A68-4CCAC2CAB97F}" name="kdkmpnen" dataDxfId="47"/>
    <tableColumn id="12" xr3:uid="{13F01672-806F-47CD-8E7B-DBEF02211C49}" name="Komponen" dataDxfId="46"/>
    <tableColumn id="13" xr3:uid="{EE24777D-4C50-49CF-9D51-B1D10E6B59C5}" name="kdskmpnen" dataDxfId="45"/>
    <tableColumn id="14" xr3:uid="{6B16732C-65AB-40BC-9BE7-38F27B545CA4}" name="SubKomponen" dataDxfId="44"/>
    <tableColumn id="15" xr3:uid="{9DE11426-CAD6-4307-AF79-5BA31FE425C4}" name="kdakun" dataDxfId="43"/>
    <tableColumn id="16" xr3:uid="{95D2AD80-8C0A-4582-9C73-FCD7148568BD}" name="Akun" dataDxfId="42"/>
    <tableColumn id="17" xr3:uid="{1099A73B-6EFE-4758-9112-C98BE9AF6233}" name="Pagu" dataDxfId="41" dataCellStyle="Comma [0]"/>
    <tableColumn id="18" xr3:uid="{F5761B11-9E81-4F7C-BD95-CB52A5BA049C}" name="Pagu Semula" dataDxfId="40"/>
    <tableColumn id="19" xr3:uid="{D85464D1-34A4-4D62-B202-AA5B44380AE8}" name="Jan" dataDxfId="39">
      <calculatedColumnFormula>SUM('PER BULAN'!H92:J92)</calculatedColumnFormula>
    </tableColumn>
    <tableColumn id="20" xr3:uid="{59AFB7C3-9561-4F72-BA75-233CA8574E0E}" name="Feb" dataDxfId="38"/>
    <tableColumn id="21" xr3:uid="{339941D9-EB6A-4D9E-AAFD-8BC87914D9CD}" name="Mar" dataDxfId="37"/>
    <tableColumn id="22" xr3:uid="{4DB8271D-A562-4BDB-AF86-6803F5A0D6B6}" name="Apr" dataDxfId="36"/>
    <tableColumn id="23" xr3:uid="{A6296B83-2C3A-4B7B-B349-C7B81EF82E20}" name="Mei" dataDxfId="35"/>
    <tableColumn id="24" xr3:uid="{E35B9BB8-2C59-4938-BD17-AB6DA6D49836}" name="Jun" dataDxfId="34"/>
    <tableColumn id="25" xr3:uid="{0B56CE2F-22F5-4935-B179-82B908FFA45C}" name="Jul" dataDxfId="33"/>
    <tableColumn id="26" xr3:uid="{C5C2C340-1544-4521-9059-33AEBE3423A8}" name="Ags" dataDxfId="32"/>
    <tableColumn id="27" xr3:uid="{86511B91-6FBB-44C6-BFE0-FC75035E6D40}" name="Sep" dataDxfId="31"/>
    <tableColumn id="28" xr3:uid="{2C0763CA-B0D1-4434-BD74-3778A7A332E6}" name="Okt" dataDxfId="30"/>
    <tableColumn id="29" xr3:uid="{1D2AE206-2433-4713-B023-179D69FA3E25}" name="Nov" dataDxfId="29"/>
    <tableColumn id="30" xr3:uid="{C1E5584B-01F1-4175-8FA8-D285D3701F44}" name="Des" dataDxfId="28"/>
    <tableColumn id="31" xr3:uid="{3BEE2055-AE9D-40FE-AE62-8E331B1816BF}" name="eselon2" dataDxfId="27"/>
    <tableColumn id="32" xr3:uid="{A002471B-4101-4577-BC3A-704405B733FB}" name="koordinator" dataDxfId="26"/>
    <tableColumn id="33" xr3:uid="{D023DF90-D6C9-428C-971B-7DDF8C7D5F03}" name="Subkoordinator" dataDxfId="25"/>
    <tableColumn id="34" xr3:uid="{FE48F7A1-0956-4644-89C0-EA36C183F595}" name="Jns_Belanja" dataDxfId="24"/>
    <tableColumn id="35" xr3:uid="{BE3FC102-4A2C-4D3D-B515-5052A70FFDEB}" name="satker" dataDxfId="23"/>
    <tableColumn id="36" xr3:uid="{C44DBFA7-2D15-465C-8D00-F06B638B5ED4}" name="Realisasi" dataDxfId="22">
      <calculatedColumnFormula>SUM(S4:AD4)</calculatedColumnFormula>
    </tableColumn>
    <tableColumn id="37" xr3:uid="{DE361282-2992-4D2B-992E-4096AF6D8E40}" name="Real %" dataDxfId="21">
      <calculatedColumnFormula>IFERROR(AJ4/Q4*100,0)</calculatedColumnFormula>
    </tableColumn>
    <tableColumn id="38" xr3:uid="{EEF961EF-FF6A-40D5-A0B6-ED634EBADFBC}" name="Sisa" dataDxfId="20">
      <calculatedColumnFormula>Q4-AJ4</calculatedColumnFormula>
    </tableColumn>
    <tableColumn id="39" xr3:uid="{85643851-7A65-42C2-A08E-B6A7A8DA03F0}" name="Real %2" dataDxfId="19">
      <calculatedColumnFormula>IFERROR(AL4/Q4*100,0)</calculatedColumnFormula>
    </tableColumn>
    <tableColumn id="40" xr3:uid="{9E4F31F6-8A80-4410-976A-8EEA7368EA20}" name="Kode Akun" dataDxfId="18">
      <calculatedColumnFormula>_xlfn.TEXTJOIN(".",TRUE,C4,E4,G4,I4,K4,M4,O4)</calculatedColumnFormula>
    </tableColumn>
    <tableColumn id="41" xr3:uid="{0FDDBC90-1CC8-4C07-8122-50D2362EF739}" name="Status Covid" dataDxfId="17">
      <calculatedColumnFormula>IF(ISNUMBER(SEARCH("COVID",Table7[[#This Row],[Akun]])),"COVID","Non COVID")</calculatedColumnFormula>
    </tableColumn>
    <tableColumn id="42" xr3:uid="{3D9BDB80-A0C7-4422-BA12-733AF91AF0E5}" name="Status Realisasi" dataDxfId="16">
      <calculatedColumnFormula>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calculatedColumnFormula>
    </tableColumn>
    <tableColumn id="43" xr3:uid="{2482823B-0259-4D8F-90FB-AC30AB18C334}" name="Jenis Belanja" dataDxfId="15">
      <calculatedColumnFormula>IF(AND(ISNUMBER(SEARCH("OPERASIONAL",Table7[[#This Row],[Komponen]])),ISNUMBER(SEARCH("LAYANAN PERKANTORAN",Table7[[#This Row],[SubOutput]]))),"Belanja Barang Operasional",IF(LEFT(Table7[[#This Row],[kdakun]],2)="53","Belanja Modal",IF(LEFT(Table7[[#This Row],[kdakun]],2)="51","Belanja Pegawai","Belanja Barang Non Operasional")))</calculatedColumnFormula>
    </tableColumn>
    <tableColumn id="44" xr3:uid="{3F633488-FF46-4239-9C2B-E12C41E61A1D}" name="GUP 1" dataDxfId="14"/>
    <tableColumn id="45" xr3:uid="{4B827D21-BED7-493A-98C2-BF92D20ACB6E}" name="TUP 1" dataDxfId="13"/>
    <tableColumn id="46" xr3:uid="{1A108E85-F9A8-4C5A-B9B2-E8E733C3D3EB}" name="GUP 2" dataDxfId="12"/>
    <tableColumn id="47" xr3:uid="{197D7FA7-EA56-478F-AC63-0B5D47D9765B}" name="GUP 3" dataDxfId="11"/>
    <tableColumn id="48" xr3:uid="{4614C9FA-2AB0-4D2D-AA55-13680C8EE8C5}" name="GUP 4" dataDxfId="10"/>
    <tableColumn id="49" xr3:uid="{9B9C7D3C-BD3B-413C-9633-5B1476894793}" name="GUP 5" dataDxfId="9"/>
    <tableColumn id="50" xr3:uid="{7F81D278-F155-4728-BD7E-4DD553D05EAC}" name="TUP 2 (1)" dataDxfId="8"/>
    <tableColumn id="51" xr3:uid="{40F6E74E-B62F-4684-A934-E1FBCD0EDECE}" name="TUP 2 (2)"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 totalsRowDxfId="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38" t="s">
        <v>598</v>
      </c>
      <c r="C1" s="438"/>
      <c r="D1" s="438"/>
      <c r="E1" s="438"/>
      <c r="F1" s="438"/>
      <c r="G1" s="438"/>
      <c r="I1" s="9"/>
    </row>
    <row r="2" spans="1:10" x14ac:dyDescent="0.25">
      <c r="B2" s="439" t="s">
        <v>614</v>
      </c>
      <c r="C2" s="439"/>
      <c r="D2" s="439"/>
      <c r="E2" s="439"/>
      <c r="F2" s="439"/>
      <c r="G2" s="439"/>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40" t="s">
        <v>606</v>
      </c>
      <c r="C9" s="442" t="s">
        <v>607</v>
      </c>
      <c r="D9" s="443" t="s">
        <v>608</v>
      </c>
      <c r="E9" s="440" t="s">
        <v>609</v>
      </c>
      <c r="F9" s="443" t="s">
        <v>610</v>
      </c>
      <c r="G9" s="443" t="s">
        <v>611</v>
      </c>
      <c r="I9" s="14"/>
    </row>
    <row r="10" spans="1:10" s="16" customFormat="1" x14ac:dyDescent="0.25">
      <c r="A10" s="15" t="s">
        <v>499</v>
      </c>
      <c r="B10" s="441"/>
      <c r="C10" s="441"/>
      <c r="D10" s="441"/>
      <c r="E10" s="444"/>
      <c r="F10" s="441"/>
      <c r="G10" s="441"/>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35" t="s">
        <v>596</v>
      </c>
      <c r="J13" s="436" t="s">
        <v>597</v>
      </c>
    </row>
    <row r="14" spans="1:10" x14ac:dyDescent="0.25">
      <c r="A14" s="7" t="s">
        <v>199</v>
      </c>
      <c r="B14" s="25" t="s">
        <v>194</v>
      </c>
      <c r="C14" s="26" t="s">
        <v>2</v>
      </c>
      <c r="D14" s="25"/>
      <c r="E14" s="55"/>
      <c r="F14" s="27"/>
      <c r="G14" s="27">
        <v>1500000000</v>
      </c>
      <c r="I14" s="435"/>
      <c r="J14" s="436"/>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37"/>
      <c r="J22" s="437"/>
    </row>
    <row r="23" spans="1:10" x14ac:dyDescent="0.25">
      <c r="A23" s="7" t="s">
        <v>208</v>
      </c>
      <c r="B23" s="43" t="s">
        <v>195</v>
      </c>
      <c r="C23" s="44" t="s">
        <v>620</v>
      </c>
      <c r="D23" s="47">
        <v>1</v>
      </c>
      <c r="E23" s="61" t="s">
        <v>9</v>
      </c>
      <c r="F23" s="45">
        <v>1000000</v>
      </c>
      <c r="G23" s="45">
        <v>1000000</v>
      </c>
      <c r="I23" s="437"/>
      <c r="J23" s="437"/>
    </row>
    <row r="24" spans="1:10" x14ac:dyDescent="0.25">
      <c r="A24" s="7" t="s">
        <v>209</v>
      </c>
      <c r="B24" s="40" t="s">
        <v>516</v>
      </c>
      <c r="C24" s="41" t="s">
        <v>11</v>
      </c>
      <c r="D24" s="40"/>
      <c r="E24" s="60"/>
      <c r="F24" s="42"/>
      <c r="G24" s="42">
        <v>9000000</v>
      </c>
      <c r="I24" s="437"/>
      <c r="J24" s="437"/>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G56" sqref="G56"/>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38" t="s">
        <v>598</v>
      </c>
      <c r="C1" s="438"/>
      <c r="D1" s="438"/>
      <c r="E1" s="438"/>
      <c r="F1" s="438"/>
      <c r="G1" s="446"/>
      <c r="H1" s="330"/>
      <c r="I1" s="330"/>
      <c r="J1" s="330"/>
      <c r="K1" s="330"/>
    </row>
    <row r="2" spans="1:13" ht="15.6" x14ac:dyDescent="0.3">
      <c r="B2" s="447" t="s">
        <v>5000</v>
      </c>
      <c r="C2" s="447"/>
      <c r="D2" s="447"/>
      <c r="E2" s="447"/>
      <c r="F2" s="447"/>
      <c r="G2" s="448"/>
      <c r="H2" s="332"/>
      <c r="I2" s="332"/>
      <c r="J2" s="332"/>
      <c r="K2" s="332"/>
    </row>
    <row r="3" spans="1:13" ht="15.6" x14ac:dyDescent="0.3">
      <c r="B3" s="331"/>
      <c r="C3" s="331"/>
      <c r="D3" s="331"/>
      <c r="E3" s="331"/>
      <c r="F3" s="331"/>
      <c r="G3" s="332"/>
      <c r="H3" s="332"/>
      <c r="I3" s="332"/>
      <c r="J3" s="332"/>
      <c r="K3" s="332"/>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49" t="s">
        <v>606</v>
      </c>
      <c r="C9" s="450" t="s">
        <v>607</v>
      </c>
      <c r="D9" s="451" t="s">
        <v>608</v>
      </c>
      <c r="E9" s="449" t="s">
        <v>609</v>
      </c>
      <c r="F9" s="451" t="s">
        <v>610</v>
      </c>
      <c r="G9" s="445" t="s">
        <v>4650</v>
      </c>
      <c r="H9" s="445" t="s">
        <v>4651</v>
      </c>
      <c r="I9" s="445" t="s">
        <v>4648</v>
      </c>
      <c r="J9" s="445" t="s">
        <v>4652</v>
      </c>
      <c r="K9" s="445" t="s">
        <v>4648</v>
      </c>
    </row>
    <row r="10" spans="1:13" s="180" customFormat="1" ht="14.25" customHeight="1" x14ac:dyDescent="0.25">
      <c r="A10" s="179" t="s">
        <v>499</v>
      </c>
      <c r="B10" s="441"/>
      <c r="C10" s="441"/>
      <c r="D10" s="444"/>
      <c r="E10" s="444"/>
      <c r="F10" s="441"/>
      <c r="G10" s="441"/>
      <c r="H10" s="445"/>
      <c r="I10" s="445"/>
      <c r="J10" s="445"/>
      <c r="K10" s="445"/>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5">
        <f t="shared" ref="I12:I17" si="1">H12/G12*100</f>
        <v>33.753792948784039</v>
      </c>
      <c r="J12" s="175">
        <f t="shared" ref="J12:J17" si="2">G12-H12</f>
        <v>4292089105</v>
      </c>
      <c r="K12" s="335">
        <f t="shared" ref="K12:K17" si="3">J12/G12*100</f>
        <v>66.246207051215961</v>
      </c>
    </row>
    <row r="13" spans="1:13" ht="13.8" x14ac:dyDescent="0.25">
      <c r="A13" s="7" t="s">
        <v>0</v>
      </c>
      <c r="B13" s="192" t="s">
        <v>0</v>
      </c>
      <c r="C13" s="191" t="s">
        <v>1</v>
      </c>
      <c r="D13" s="192"/>
      <c r="E13" s="192"/>
      <c r="F13" s="193"/>
      <c r="G13" s="193">
        <f t="shared" si="0"/>
        <v>6478996000</v>
      </c>
      <c r="H13" s="336">
        <f t="shared" si="0"/>
        <v>2186906895</v>
      </c>
      <c r="I13" s="335">
        <f t="shared" si="1"/>
        <v>33.753792948784039</v>
      </c>
      <c r="J13" s="175">
        <f t="shared" si="2"/>
        <v>4292089105</v>
      </c>
      <c r="K13" s="335">
        <f t="shared" si="3"/>
        <v>66.246207051215961</v>
      </c>
    </row>
    <row r="14" spans="1:13" ht="13.8" x14ac:dyDescent="0.25">
      <c r="A14" s="7" t="s">
        <v>1699</v>
      </c>
      <c r="B14" s="192" t="s">
        <v>3986</v>
      </c>
      <c r="C14" s="191" t="s">
        <v>1701</v>
      </c>
      <c r="D14" s="192">
        <v>1</v>
      </c>
      <c r="E14" s="192" t="s">
        <v>3740</v>
      </c>
      <c r="F14" s="193"/>
      <c r="G14" s="193">
        <f t="shared" si="0"/>
        <v>6478996000</v>
      </c>
      <c r="H14" s="337">
        <f t="shared" si="0"/>
        <v>2186906895</v>
      </c>
      <c r="I14" s="335">
        <f t="shared" si="1"/>
        <v>33.753792948784039</v>
      </c>
      <c r="J14" s="175">
        <f t="shared" si="2"/>
        <v>4292089105</v>
      </c>
      <c r="K14" s="335">
        <f t="shared" si="3"/>
        <v>66.246207051215961</v>
      </c>
    </row>
    <row r="15" spans="1:13" ht="13.8" x14ac:dyDescent="0.25">
      <c r="A15" s="7" t="s">
        <v>1702</v>
      </c>
      <c r="B15" s="195" t="s">
        <v>501</v>
      </c>
      <c r="C15" s="194" t="s">
        <v>76</v>
      </c>
      <c r="D15" s="195"/>
      <c r="E15" s="195"/>
      <c r="F15" s="196"/>
      <c r="G15" s="196">
        <f>SUM(G16,G55)</f>
        <v>6478996000</v>
      </c>
      <c r="H15" s="338">
        <f>SUM(H16,H55)</f>
        <v>2186906895</v>
      </c>
      <c r="I15" s="335">
        <f t="shared" si="1"/>
        <v>33.753792948784039</v>
      </c>
      <c r="J15" s="175">
        <f t="shared" si="2"/>
        <v>4292089105</v>
      </c>
      <c r="K15" s="335">
        <f t="shared" si="3"/>
        <v>66.246207051215961</v>
      </c>
    </row>
    <row r="16" spans="1:13" ht="13.8" x14ac:dyDescent="0.25">
      <c r="A16" s="7" t="s">
        <v>1806</v>
      </c>
      <c r="B16" s="192" t="s">
        <v>1807</v>
      </c>
      <c r="C16" s="191" t="s">
        <v>1808</v>
      </c>
      <c r="D16" s="192"/>
      <c r="E16" s="192"/>
      <c r="F16" s="193"/>
      <c r="G16" s="193">
        <f>SUM(G17,G21,G25,G29,G33,G37,G41,G45,G47,G49,G53)</f>
        <v>6155047000</v>
      </c>
      <c r="H16" s="337">
        <f>H17+H21+H25+H29+H33+H37+H41+H45+H47+H49+H53</f>
        <v>2186906895</v>
      </c>
      <c r="I16" s="335">
        <f t="shared" si="1"/>
        <v>35.53030374910216</v>
      </c>
      <c r="J16" s="175">
        <f t="shared" si="2"/>
        <v>3968140105</v>
      </c>
      <c r="K16" s="335">
        <f t="shared" si="3"/>
        <v>64.46969625089784</v>
      </c>
      <c r="L16" s="341">
        <v>210863345</v>
      </c>
      <c r="M16" s="342">
        <f>H16-L16</f>
        <v>1976043550</v>
      </c>
    </row>
    <row r="17" spans="1:13" ht="13.8" x14ac:dyDescent="0.25">
      <c r="A17" s="7" t="s">
        <v>1809</v>
      </c>
      <c r="B17" s="192">
        <v>511111</v>
      </c>
      <c r="C17" s="191" t="s">
        <v>77</v>
      </c>
      <c r="D17" s="192"/>
      <c r="E17" s="192"/>
      <c r="F17" s="193"/>
      <c r="G17" s="193">
        <f>SUM(G18:G20)</f>
        <v>2483477000</v>
      </c>
      <c r="H17" s="337">
        <v>1010194000</v>
      </c>
      <c r="I17" s="335">
        <f t="shared" si="1"/>
        <v>40.676599783287706</v>
      </c>
      <c r="J17" s="175">
        <f t="shared" si="2"/>
        <v>1473283000</v>
      </c>
      <c r="K17" s="335">
        <f t="shared" si="3"/>
        <v>59.323400216712294</v>
      </c>
      <c r="L17" s="342">
        <v>165522900</v>
      </c>
      <c r="M17" s="342"/>
    </row>
    <row r="18" spans="1:13" ht="13.8" hidden="1" x14ac:dyDescent="0.25">
      <c r="A18" s="7" t="s">
        <v>1810</v>
      </c>
      <c r="B18" s="152"/>
      <c r="C18" s="151" t="s">
        <v>3987</v>
      </c>
      <c r="D18" s="152">
        <v>1</v>
      </c>
      <c r="E18" s="152" t="s">
        <v>97</v>
      </c>
      <c r="F18" s="153">
        <v>180000000</v>
      </c>
      <c r="G18" s="153">
        <f>ROUNDDOWN(D18*F18,-3)</f>
        <v>180000000</v>
      </c>
      <c r="H18" s="334"/>
      <c r="I18" s="153"/>
      <c r="J18" s="153"/>
      <c r="K18" s="153"/>
    </row>
    <row r="19" spans="1:13" ht="13.8" hidden="1" x14ac:dyDescent="0.25">
      <c r="A19" s="7" t="s">
        <v>1811</v>
      </c>
      <c r="B19" s="152"/>
      <c r="C19" s="151" t="s">
        <v>3988</v>
      </c>
      <c r="D19" s="152">
        <v>1</v>
      </c>
      <c r="E19" s="152" t="s">
        <v>60</v>
      </c>
      <c r="F19" s="153">
        <v>2123477000</v>
      </c>
      <c r="G19" s="153">
        <f>ROUNDDOWN(D19*F19,-3)</f>
        <v>2123477000</v>
      </c>
      <c r="H19" s="334"/>
      <c r="I19" s="153"/>
      <c r="J19" s="153"/>
      <c r="K19" s="153"/>
    </row>
    <row r="20" spans="1:13" ht="13.8" hidden="1" x14ac:dyDescent="0.25">
      <c r="A20" s="7" t="s">
        <v>1812</v>
      </c>
      <c r="B20" s="152"/>
      <c r="C20" s="151" t="s">
        <v>3989</v>
      </c>
      <c r="D20" s="152">
        <v>1</v>
      </c>
      <c r="E20" s="152" t="s">
        <v>97</v>
      </c>
      <c r="F20" s="153">
        <v>180000000</v>
      </c>
      <c r="G20" s="153">
        <f>ROUNDDOWN(D20*F20,-3)</f>
        <v>180000000</v>
      </c>
      <c r="H20" s="334"/>
      <c r="I20" s="153"/>
      <c r="J20" s="153"/>
      <c r="K20" s="153"/>
    </row>
    <row r="21" spans="1:13" ht="13.8" x14ac:dyDescent="0.25">
      <c r="A21" s="7" t="s">
        <v>1813</v>
      </c>
      <c r="B21" s="192">
        <v>511119</v>
      </c>
      <c r="C21" s="191" t="s">
        <v>79</v>
      </c>
      <c r="D21" s="192"/>
      <c r="E21" s="192"/>
      <c r="F21" s="193"/>
      <c r="G21" s="193">
        <f>SUM(G22:G24)</f>
        <v>38000</v>
      </c>
      <c r="H21" s="337">
        <v>15786</v>
      </c>
      <c r="I21" s="335">
        <f>H21/G21*100</f>
        <v>41.5421052631579</v>
      </c>
      <c r="J21" s="175">
        <f>G21-H21</f>
        <v>22214</v>
      </c>
      <c r="K21" s="335">
        <f>J21/G21*100</f>
        <v>58.457894736842107</v>
      </c>
      <c r="L21" s="342">
        <v>2454</v>
      </c>
    </row>
    <row r="22" spans="1:13" ht="13.8" hidden="1" x14ac:dyDescent="0.25">
      <c r="A22" s="7" t="s">
        <v>1814</v>
      </c>
      <c r="B22" s="152"/>
      <c r="C22" s="151" t="s">
        <v>3990</v>
      </c>
      <c r="D22" s="152">
        <v>1</v>
      </c>
      <c r="E22" s="152" t="s">
        <v>97</v>
      </c>
      <c r="F22" s="153">
        <v>3000</v>
      </c>
      <c r="G22" s="153">
        <f>ROUNDDOWN(D22*F22,-3)</f>
        <v>3000</v>
      </c>
      <c r="H22" s="334"/>
      <c r="I22" s="153"/>
      <c r="J22" s="153"/>
      <c r="K22" s="153"/>
    </row>
    <row r="23" spans="1:13" ht="13.8" hidden="1" x14ac:dyDescent="0.25">
      <c r="A23" s="7" t="s">
        <v>1815</v>
      </c>
      <c r="B23" s="152"/>
      <c r="C23" s="151" t="s">
        <v>3991</v>
      </c>
      <c r="D23" s="152">
        <v>1</v>
      </c>
      <c r="E23" s="152" t="s">
        <v>153</v>
      </c>
      <c r="F23" s="153">
        <v>32000</v>
      </c>
      <c r="G23" s="153">
        <f>ROUNDDOWN(D23*F23,-3)</f>
        <v>32000</v>
      </c>
      <c r="H23" s="334"/>
      <c r="I23" s="153"/>
      <c r="J23" s="153"/>
      <c r="K23" s="153"/>
    </row>
    <row r="24" spans="1:13" ht="13.8" hidden="1" x14ac:dyDescent="0.25">
      <c r="A24" s="7" t="s">
        <v>1816</v>
      </c>
      <c r="B24" s="152"/>
      <c r="C24" s="151" t="s">
        <v>3992</v>
      </c>
      <c r="D24" s="152">
        <v>1</v>
      </c>
      <c r="E24" s="152" t="s">
        <v>97</v>
      </c>
      <c r="F24" s="153">
        <v>3000</v>
      </c>
      <c r="G24" s="153">
        <f>ROUNDDOWN(D24*F24,-3)</f>
        <v>3000</v>
      </c>
      <c r="H24" s="334"/>
      <c r="I24" s="153"/>
      <c r="J24" s="153"/>
      <c r="K24" s="153"/>
    </row>
    <row r="25" spans="1:13" ht="13.8" x14ac:dyDescent="0.25">
      <c r="A25" s="7" t="s">
        <v>1817</v>
      </c>
      <c r="B25" s="192">
        <v>511121</v>
      </c>
      <c r="C25" s="191" t="s">
        <v>80</v>
      </c>
      <c r="D25" s="192"/>
      <c r="E25" s="192"/>
      <c r="F25" s="193"/>
      <c r="G25" s="193">
        <f>SUM(G26:G28)</f>
        <v>171959000</v>
      </c>
      <c r="H25" s="337">
        <v>65751610</v>
      </c>
      <c r="I25" s="335">
        <f>H25/G25*100</f>
        <v>38.236794817369258</v>
      </c>
      <c r="J25" s="175">
        <f>G25-H25</f>
        <v>106207390</v>
      </c>
      <c r="K25" s="335">
        <f>J25/G25*100</f>
        <v>61.763205182630742</v>
      </c>
      <c r="L25" s="342">
        <v>10849200</v>
      </c>
    </row>
    <row r="26" spans="1:13" ht="13.8" hidden="1" x14ac:dyDescent="0.25">
      <c r="A26" s="7" t="s">
        <v>1818</v>
      </c>
      <c r="B26" s="152"/>
      <c r="C26" s="151" t="s">
        <v>3993</v>
      </c>
      <c r="D26" s="152">
        <v>1</v>
      </c>
      <c r="E26" s="152" t="s">
        <v>153</v>
      </c>
      <c r="F26" s="153">
        <v>147267000</v>
      </c>
      <c r="G26" s="153">
        <f>ROUNDDOWN(D26*F26,-3)</f>
        <v>147267000</v>
      </c>
      <c r="H26" s="334"/>
      <c r="I26" s="153"/>
      <c r="J26" s="153"/>
      <c r="K26" s="153"/>
    </row>
    <row r="27" spans="1:13" ht="13.8" hidden="1" x14ac:dyDescent="0.25">
      <c r="A27" s="7" t="s">
        <v>1819</v>
      </c>
      <c r="B27" s="152"/>
      <c r="C27" s="151" t="s">
        <v>3994</v>
      </c>
      <c r="D27" s="152">
        <v>1</v>
      </c>
      <c r="E27" s="152" t="s">
        <v>97</v>
      </c>
      <c r="F27" s="153">
        <v>12494000</v>
      </c>
      <c r="G27" s="153">
        <f>ROUNDDOWN(D27*F27,-3)</f>
        <v>12494000</v>
      </c>
      <c r="H27" s="334"/>
      <c r="I27" s="153"/>
      <c r="J27" s="153"/>
      <c r="K27" s="153"/>
    </row>
    <row r="28" spans="1:13" ht="13.8" hidden="1" x14ac:dyDescent="0.25">
      <c r="A28" s="7" t="s">
        <v>1820</v>
      </c>
      <c r="B28" s="152"/>
      <c r="C28" s="151" t="s">
        <v>3995</v>
      </c>
      <c r="D28" s="152">
        <v>1</v>
      </c>
      <c r="E28" s="152" t="s">
        <v>97</v>
      </c>
      <c r="F28" s="153">
        <v>12198000</v>
      </c>
      <c r="G28" s="153">
        <f>ROUNDDOWN(D28*F28,-3)</f>
        <v>12198000</v>
      </c>
      <c r="H28" s="334"/>
      <c r="I28" s="153"/>
      <c r="J28" s="153"/>
      <c r="K28" s="153"/>
    </row>
    <row r="29" spans="1:13" ht="13.8" x14ac:dyDescent="0.25">
      <c r="A29" s="7" t="s">
        <v>1821</v>
      </c>
      <c r="B29" s="192">
        <v>511122</v>
      </c>
      <c r="C29" s="191" t="s">
        <v>81</v>
      </c>
      <c r="D29" s="192"/>
      <c r="E29" s="192"/>
      <c r="F29" s="193"/>
      <c r="G29" s="193">
        <f>SUM(G30:G32)</f>
        <v>46700000</v>
      </c>
      <c r="H29" s="337">
        <v>19499258</v>
      </c>
      <c r="I29" s="335">
        <f>H29/G29*100</f>
        <v>41.754299785867239</v>
      </c>
      <c r="J29" s="175">
        <f>G29-H29</f>
        <v>27200742</v>
      </c>
      <c r="K29" s="335">
        <f>J29/G29*100</f>
        <v>58.245700214132768</v>
      </c>
      <c r="L29" s="342">
        <v>3260746</v>
      </c>
    </row>
    <row r="30" spans="1:13" ht="13.8" hidden="1" x14ac:dyDescent="0.25">
      <c r="A30" s="7" t="s">
        <v>1822</v>
      </c>
      <c r="B30" s="152"/>
      <c r="C30" s="151" t="s">
        <v>3996</v>
      </c>
      <c r="D30" s="152">
        <v>1</v>
      </c>
      <c r="E30" s="152" t="s">
        <v>97</v>
      </c>
      <c r="F30" s="153">
        <v>3282000</v>
      </c>
      <c r="G30" s="153">
        <f>ROUNDDOWN(D30*F30,-3)</f>
        <v>3282000</v>
      </c>
      <c r="H30" s="334"/>
      <c r="I30" s="153"/>
      <c r="J30" s="153"/>
      <c r="K30" s="153"/>
    </row>
    <row r="31" spans="1:13" ht="13.8" hidden="1" x14ac:dyDescent="0.25">
      <c r="A31" s="7" t="s">
        <v>1823</v>
      </c>
      <c r="B31" s="152"/>
      <c r="C31" s="151" t="s">
        <v>3997</v>
      </c>
      <c r="D31" s="152">
        <v>1</v>
      </c>
      <c r="E31" s="152" t="s">
        <v>153</v>
      </c>
      <c r="F31" s="153">
        <v>40080000</v>
      </c>
      <c r="G31" s="153">
        <f>ROUNDDOWN(D31*F31,-3)</f>
        <v>40080000</v>
      </c>
      <c r="H31" s="334"/>
      <c r="I31" s="153"/>
      <c r="J31" s="153"/>
      <c r="K31" s="153"/>
    </row>
    <row r="32" spans="1:13" ht="13.8" hidden="1" x14ac:dyDescent="0.25">
      <c r="A32" s="7" t="s">
        <v>1824</v>
      </c>
      <c r="B32" s="152"/>
      <c r="C32" s="151" t="s">
        <v>3998</v>
      </c>
      <c r="D32" s="152">
        <v>1</v>
      </c>
      <c r="E32" s="152" t="s">
        <v>97</v>
      </c>
      <c r="F32" s="153">
        <v>3338000</v>
      </c>
      <c r="G32" s="153">
        <f>ROUNDDOWN(D32*F32,-3)</f>
        <v>3338000</v>
      </c>
      <c r="H32" s="334"/>
      <c r="I32" s="153"/>
      <c r="J32" s="153"/>
      <c r="K32" s="153"/>
    </row>
    <row r="33" spans="1:12" ht="13.8" x14ac:dyDescent="0.25">
      <c r="A33" s="7" t="s">
        <v>1825</v>
      </c>
      <c r="B33" s="192">
        <v>511123</v>
      </c>
      <c r="C33" s="191" t="s">
        <v>82</v>
      </c>
      <c r="D33" s="192"/>
      <c r="E33" s="192"/>
      <c r="F33" s="193"/>
      <c r="G33" s="193">
        <f>SUM(G34:G36)</f>
        <v>158000000</v>
      </c>
      <c r="H33" s="337">
        <v>58380000</v>
      </c>
      <c r="I33" s="335">
        <f>H33/G33*100</f>
        <v>36.949367088607595</v>
      </c>
      <c r="J33" s="175">
        <f>G33-H33</f>
        <v>99620000</v>
      </c>
      <c r="K33" s="335">
        <f>J33/G33*100</f>
        <v>63.050632911392398</v>
      </c>
      <c r="L33" s="342">
        <v>9718696</v>
      </c>
    </row>
    <row r="34" spans="1:12" ht="13.8" hidden="1" x14ac:dyDescent="0.25">
      <c r="A34" s="7" t="s">
        <v>1826</v>
      </c>
      <c r="B34" s="152"/>
      <c r="C34" s="151" t="s">
        <v>3999</v>
      </c>
      <c r="D34" s="152">
        <v>1</v>
      </c>
      <c r="E34" s="152" t="s">
        <v>97</v>
      </c>
      <c r="F34" s="153">
        <v>12070000</v>
      </c>
      <c r="G34" s="153">
        <f>ROUNDDOWN(D34*F34,-3)</f>
        <v>12070000</v>
      </c>
      <c r="H34" s="334"/>
      <c r="I34" s="153"/>
      <c r="J34" s="153"/>
      <c r="K34" s="153"/>
    </row>
    <row r="35" spans="1:12" ht="13.8" hidden="1" x14ac:dyDescent="0.25">
      <c r="A35" s="7" t="s">
        <v>1827</v>
      </c>
      <c r="B35" s="152"/>
      <c r="C35" s="151" t="s">
        <v>4000</v>
      </c>
      <c r="D35" s="152">
        <v>1</v>
      </c>
      <c r="E35" s="152" t="s">
        <v>60</v>
      </c>
      <c r="F35" s="153">
        <v>133860000</v>
      </c>
      <c r="G35" s="153">
        <f>ROUNDDOWN(D35*F35,-3)</f>
        <v>133860000</v>
      </c>
      <c r="H35" s="334"/>
      <c r="I35" s="153"/>
      <c r="J35" s="153"/>
      <c r="K35" s="153"/>
    </row>
    <row r="36" spans="1:12" ht="13.8" hidden="1" x14ac:dyDescent="0.25">
      <c r="A36" s="7" t="s">
        <v>1828</v>
      </c>
      <c r="B36" s="152"/>
      <c r="C36" s="151" t="s">
        <v>4001</v>
      </c>
      <c r="D36" s="152">
        <v>1</v>
      </c>
      <c r="E36" s="152" t="s">
        <v>97</v>
      </c>
      <c r="F36" s="153">
        <v>12070000</v>
      </c>
      <c r="G36" s="153">
        <f>ROUNDDOWN(D36*F36,-3)</f>
        <v>12070000</v>
      </c>
      <c r="H36" s="334"/>
      <c r="I36" s="153"/>
      <c r="J36" s="153"/>
      <c r="K36" s="153"/>
    </row>
    <row r="37" spans="1:12" ht="13.8" x14ac:dyDescent="0.25">
      <c r="A37" s="7" t="s">
        <v>1829</v>
      </c>
      <c r="B37" s="192">
        <v>511124</v>
      </c>
      <c r="C37" s="191" t="s">
        <v>83</v>
      </c>
      <c r="D37" s="192"/>
      <c r="E37" s="192"/>
      <c r="F37" s="193"/>
      <c r="G37" s="193">
        <f>SUM(G38:G40)</f>
        <v>48180000</v>
      </c>
      <c r="H37" s="337">
        <v>28515000</v>
      </c>
      <c r="I37" s="335">
        <f>H37/G37*100</f>
        <v>59.184308841843091</v>
      </c>
      <c r="J37" s="175">
        <f>G37-H37</f>
        <v>19665000</v>
      </c>
      <c r="K37" s="335">
        <f>J37/G37*100</f>
        <v>40.815691158156916</v>
      </c>
      <c r="L37" s="342">
        <v>4807000</v>
      </c>
    </row>
    <row r="38" spans="1:12" ht="13.8" hidden="1" x14ac:dyDescent="0.25">
      <c r="A38" s="7" t="s">
        <v>1830</v>
      </c>
      <c r="B38" s="152"/>
      <c r="C38" s="151" t="s">
        <v>4002</v>
      </c>
      <c r="D38" s="152">
        <v>1</v>
      </c>
      <c r="E38" s="152" t="s">
        <v>97</v>
      </c>
      <c r="F38" s="153">
        <v>2000000</v>
      </c>
      <c r="G38" s="153">
        <f>ROUNDDOWN(D38*F38,-3)</f>
        <v>2000000</v>
      </c>
      <c r="H38" s="334"/>
      <c r="I38" s="153"/>
      <c r="J38" s="153"/>
      <c r="K38" s="153"/>
    </row>
    <row r="39" spans="1:12" ht="13.8" hidden="1" x14ac:dyDescent="0.25">
      <c r="A39" s="7" t="s">
        <v>1831</v>
      </c>
      <c r="B39" s="152"/>
      <c r="C39" s="151" t="s">
        <v>4003</v>
      </c>
      <c r="D39" s="152">
        <v>1</v>
      </c>
      <c r="E39" s="152" t="s">
        <v>60</v>
      </c>
      <c r="F39" s="153">
        <v>44180000</v>
      </c>
      <c r="G39" s="153">
        <f>ROUNDDOWN(D39*F39,-3)</f>
        <v>44180000</v>
      </c>
      <c r="H39" s="334"/>
      <c r="I39" s="153"/>
      <c r="J39" s="153"/>
      <c r="K39" s="153"/>
    </row>
    <row r="40" spans="1:12" ht="13.8" hidden="1" x14ac:dyDescent="0.25">
      <c r="A40" s="7" t="s">
        <v>1832</v>
      </c>
      <c r="B40" s="152"/>
      <c r="C40" s="151" t="s">
        <v>4004</v>
      </c>
      <c r="D40" s="152">
        <v>1</v>
      </c>
      <c r="E40" s="152" t="s">
        <v>97</v>
      </c>
      <c r="F40" s="153">
        <v>2000000</v>
      </c>
      <c r="G40" s="153">
        <f>ROUNDDOWN(D40*F40,-3)</f>
        <v>2000000</v>
      </c>
      <c r="H40" s="334"/>
      <c r="I40" s="153"/>
      <c r="J40" s="153"/>
      <c r="K40" s="153"/>
    </row>
    <row r="41" spans="1:12" ht="13.8" x14ac:dyDescent="0.25">
      <c r="A41" s="7" t="s">
        <v>1833</v>
      </c>
      <c r="B41" s="192">
        <v>511125</v>
      </c>
      <c r="C41" s="191" t="s">
        <v>84</v>
      </c>
      <c r="D41" s="192"/>
      <c r="E41" s="192"/>
      <c r="F41" s="193"/>
      <c r="G41" s="193">
        <f>SUM(G42:G44)</f>
        <v>13133000</v>
      </c>
      <c r="H41" s="337">
        <v>4084719</v>
      </c>
      <c r="I41" s="335">
        <f>H41/G41*100</f>
        <v>31.102710728698696</v>
      </c>
      <c r="J41" s="175">
        <f>G41-H41</f>
        <v>9048281</v>
      </c>
      <c r="K41" s="335">
        <f>J41/G41*100</f>
        <v>68.897289271301304</v>
      </c>
      <c r="L41" s="342">
        <v>273209</v>
      </c>
    </row>
    <row r="42" spans="1:12" ht="13.8" hidden="1" x14ac:dyDescent="0.25">
      <c r="A42" s="7" t="s">
        <v>1834</v>
      </c>
      <c r="B42" s="152"/>
      <c r="C42" s="151" t="s">
        <v>4005</v>
      </c>
      <c r="D42" s="152">
        <v>1</v>
      </c>
      <c r="E42" s="152" t="s">
        <v>97</v>
      </c>
      <c r="F42" s="153">
        <v>3360000</v>
      </c>
      <c r="G42" s="153">
        <f>ROUNDDOWN(D42*F42,-3)</f>
        <v>3360000</v>
      </c>
      <c r="H42" s="334"/>
      <c r="I42" s="153"/>
      <c r="J42" s="153"/>
      <c r="K42" s="153"/>
    </row>
    <row r="43" spans="1:12" ht="13.8" hidden="1" x14ac:dyDescent="0.25">
      <c r="A43" s="7" t="s">
        <v>1835</v>
      </c>
      <c r="B43" s="152"/>
      <c r="C43" s="151" t="s">
        <v>4006</v>
      </c>
      <c r="D43" s="152">
        <v>1</v>
      </c>
      <c r="E43" s="152" t="s">
        <v>153</v>
      </c>
      <c r="F43" s="153">
        <v>6407000</v>
      </c>
      <c r="G43" s="153">
        <f>ROUNDDOWN(D43*F43,-3)</f>
        <v>6407000</v>
      </c>
      <c r="H43" s="334"/>
      <c r="I43" s="153"/>
      <c r="J43" s="153"/>
      <c r="K43" s="153"/>
    </row>
    <row r="44" spans="1:12" ht="13.8" hidden="1" x14ac:dyDescent="0.25">
      <c r="A44" s="7" t="s">
        <v>1836</v>
      </c>
      <c r="B44" s="152"/>
      <c r="C44" s="151" t="s">
        <v>4007</v>
      </c>
      <c r="D44" s="152">
        <v>1</v>
      </c>
      <c r="E44" s="152" t="s">
        <v>97</v>
      </c>
      <c r="F44" s="153">
        <v>3366000</v>
      </c>
      <c r="G44" s="153">
        <f>ROUNDDOWN(D44*F44,-3)</f>
        <v>3366000</v>
      </c>
      <c r="H44" s="334"/>
      <c r="I44" s="153"/>
      <c r="J44" s="153"/>
      <c r="K44" s="153"/>
    </row>
    <row r="45" spans="1:12" ht="13.8" x14ac:dyDescent="0.25">
      <c r="A45" s="7" t="s">
        <v>1837</v>
      </c>
      <c r="B45" s="192">
        <v>511126</v>
      </c>
      <c r="C45" s="191" t="s">
        <v>85</v>
      </c>
      <c r="D45" s="192"/>
      <c r="E45" s="192"/>
      <c r="F45" s="193"/>
      <c r="G45" s="193">
        <f>G46</f>
        <v>130333000</v>
      </c>
      <c r="H45" s="337">
        <v>44248620</v>
      </c>
      <c r="I45" s="335">
        <f>H45/G45*100</f>
        <v>33.950434655843111</v>
      </c>
      <c r="J45" s="175">
        <f>G45-H45</f>
        <v>86084380</v>
      </c>
      <c r="K45" s="335">
        <f>J45/G45*100</f>
        <v>66.049565344156889</v>
      </c>
      <c r="L45" s="342">
        <v>8835240</v>
      </c>
    </row>
    <row r="46" spans="1:12" ht="13.8" hidden="1" x14ac:dyDescent="0.25">
      <c r="A46" s="7" t="s">
        <v>1838</v>
      </c>
      <c r="B46" s="152"/>
      <c r="C46" s="151" t="s">
        <v>4008</v>
      </c>
      <c r="D46" s="152">
        <v>1</v>
      </c>
      <c r="E46" s="152" t="s">
        <v>60</v>
      </c>
      <c r="F46" s="153">
        <v>130333000</v>
      </c>
      <c r="G46" s="153">
        <f>ROUNDDOWN(D46*F46,-3)</f>
        <v>130333000</v>
      </c>
      <c r="H46" s="334"/>
      <c r="I46" s="153"/>
      <c r="J46" s="153"/>
      <c r="K46" s="153"/>
    </row>
    <row r="47" spans="1:12" ht="13.8" x14ac:dyDescent="0.25">
      <c r="A47" s="7" t="s">
        <v>1839</v>
      </c>
      <c r="B47" s="192">
        <v>511129</v>
      </c>
      <c r="C47" s="191" t="s">
        <v>86</v>
      </c>
      <c r="D47" s="192"/>
      <c r="E47" s="192"/>
      <c r="F47" s="193"/>
      <c r="G47" s="193">
        <f>G48</f>
        <v>379379000</v>
      </c>
      <c r="H47" s="337">
        <v>83417000</v>
      </c>
      <c r="I47" s="335">
        <f>H47/G47*100</f>
        <v>21.987774758223306</v>
      </c>
      <c r="J47" s="175">
        <f>G47-H47</f>
        <v>295962000</v>
      </c>
      <c r="K47" s="335">
        <f>J47/G47*100</f>
        <v>78.01222524177669</v>
      </c>
      <c r="L47" s="342">
        <v>-185000</v>
      </c>
    </row>
    <row r="48" spans="1:12" ht="13.8" hidden="1" x14ac:dyDescent="0.25">
      <c r="A48" s="7" t="s">
        <v>1840</v>
      </c>
      <c r="B48" s="152"/>
      <c r="C48" s="151" t="s">
        <v>4009</v>
      </c>
      <c r="D48" s="152">
        <v>1</v>
      </c>
      <c r="E48" s="152" t="s">
        <v>153</v>
      </c>
      <c r="F48" s="153">
        <v>379379000</v>
      </c>
      <c r="G48" s="153">
        <f>ROUNDDOWN(D48*F48,-3)</f>
        <v>379379000</v>
      </c>
      <c r="H48" s="334"/>
      <c r="I48" s="153"/>
      <c r="J48" s="153"/>
      <c r="K48" s="153"/>
    </row>
    <row r="49" spans="1:12" ht="13.8" x14ac:dyDescent="0.25">
      <c r="A49" s="7" t="s">
        <v>1841</v>
      </c>
      <c r="B49" s="192">
        <v>511151</v>
      </c>
      <c r="C49" s="191" t="s">
        <v>87</v>
      </c>
      <c r="D49" s="192"/>
      <c r="E49" s="192"/>
      <c r="F49" s="193"/>
      <c r="G49" s="193">
        <f>SUM(G50:G52)</f>
        <v>88360000</v>
      </c>
      <c r="H49" s="337">
        <v>33430000</v>
      </c>
      <c r="I49" s="335">
        <f>H49/G49*100</f>
        <v>37.833861475780893</v>
      </c>
      <c r="J49" s="175">
        <f>G49-H49</f>
        <v>54930000</v>
      </c>
      <c r="K49" s="335">
        <f>J49/G49*100</f>
        <v>62.166138524219107</v>
      </c>
      <c r="L49" s="342">
        <v>5720000</v>
      </c>
    </row>
    <row r="50" spans="1:12" ht="13.8" hidden="1" x14ac:dyDescent="0.25">
      <c r="A50" s="7" t="s">
        <v>1842</v>
      </c>
      <c r="B50" s="152"/>
      <c r="C50" s="151" t="s">
        <v>4010</v>
      </c>
      <c r="D50" s="152">
        <v>1</v>
      </c>
      <c r="E50" s="152" t="s">
        <v>97</v>
      </c>
      <c r="F50" s="153">
        <v>6655000</v>
      </c>
      <c r="G50" s="153">
        <f>ROUNDDOWN(D50*F50,-3)</f>
        <v>6655000</v>
      </c>
      <c r="H50" s="334"/>
      <c r="I50" s="153"/>
      <c r="J50" s="153"/>
      <c r="K50" s="153"/>
    </row>
    <row r="51" spans="1:12" ht="13.8" hidden="1" x14ac:dyDescent="0.25">
      <c r="A51" s="7" t="s">
        <v>1843</v>
      </c>
      <c r="B51" s="152"/>
      <c r="C51" s="151" t="s">
        <v>4011</v>
      </c>
      <c r="D51" s="152">
        <v>1</v>
      </c>
      <c r="E51" s="152" t="s">
        <v>60</v>
      </c>
      <c r="F51" s="153">
        <v>75605000</v>
      </c>
      <c r="G51" s="153">
        <f>ROUNDDOWN(D51*F51,-3)</f>
        <v>75605000</v>
      </c>
      <c r="H51" s="334"/>
      <c r="I51" s="153"/>
      <c r="J51" s="153"/>
      <c r="K51" s="153"/>
    </row>
    <row r="52" spans="1:12" ht="13.8" hidden="1" x14ac:dyDescent="0.25">
      <c r="A52" s="7" t="s">
        <v>1844</v>
      </c>
      <c r="B52" s="152"/>
      <c r="C52" s="151" t="s">
        <v>4012</v>
      </c>
      <c r="D52" s="152">
        <v>1</v>
      </c>
      <c r="E52" s="152" t="s">
        <v>97</v>
      </c>
      <c r="F52" s="153">
        <v>6100000</v>
      </c>
      <c r="G52" s="153">
        <f>ROUNDDOWN(D52*F52,-3)</f>
        <v>6100000</v>
      </c>
      <c r="H52" s="334"/>
      <c r="I52" s="153"/>
      <c r="J52" s="153"/>
      <c r="K52" s="153"/>
    </row>
    <row r="53" spans="1:12" ht="13.8" x14ac:dyDescent="0.25">
      <c r="A53" s="7" t="s">
        <v>1845</v>
      </c>
      <c r="B53" s="192">
        <v>512411</v>
      </c>
      <c r="C53" s="191" t="s">
        <v>88</v>
      </c>
      <c r="D53" s="192"/>
      <c r="E53" s="192"/>
      <c r="F53" s="193"/>
      <c r="G53" s="193">
        <f>G54</f>
        <v>2635488000</v>
      </c>
      <c r="H53" s="337">
        <v>839370902</v>
      </c>
      <c r="I53" s="335">
        <f>H53/G53*100</f>
        <v>31.848784817081317</v>
      </c>
      <c r="J53" s="175">
        <f>G53-H53</f>
        <v>1796117098</v>
      </c>
      <c r="K53" s="335">
        <f>J53/G53*100</f>
        <v>68.151215182918691</v>
      </c>
      <c r="L53" s="342">
        <v>3000</v>
      </c>
    </row>
    <row r="54" spans="1:12" ht="13.8" hidden="1" x14ac:dyDescent="0.25">
      <c r="A54" s="7" t="s">
        <v>1846</v>
      </c>
      <c r="B54" s="152"/>
      <c r="C54" s="151" t="s">
        <v>4013</v>
      </c>
      <c r="D54" s="152">
        <v>1</v>
      </c>
      <c r="E54" s="152" t="s">
        <v>153</v>
      </c>
      <c r="F54" s="153">
        <v>2635488000</v>
      </c>
      <c r="G54" s="153">
        <f>ROUNDDOWN(D54*F54,-3)</f>
        <v>2635488000</v>
      </c>
      <c r="H54" s="334"/>
      <c r="I54" s="153"/>
      <c r="J54" s="153"/>
      <c r="K54" s="153"/>
    </row>
    <row r="55" spans="1:12" ht="13.8" x14ac:dyDescent="0.25">
      <c r="A55" s="7" t="s">
        <v>4041</v>
      </c>
      <c r="B55" s="192" t="s">
        <v>2208</v>
      </c>
      <c r="C55" s="191" t="s">
        <v>4042</v>
      </c>
      <c r="D55" s="192"/>
      <c r="E55" s="192"/>
      <c r="F55" s="193"/>
      <c r="G55" s="193">
        <f>G56</f>
        <v>323949000</v>
      </c>
      <c r="H55" s="337">
        <f>H56</f>
        <v>0</v>
      </c>
      <c r="I55" s="335">
        <f>H55/G55*100</f>
        <v>0</v>
      </c>
      <c r="J55" s="175">
        <f>G55-H55</f>
        <v>323949000</v>
      </c>
      <c r="K55" s="335">
        <f>J55/G55*100</f>
        <v>100</v>
      </c>
    </row>
    <row r="56" spans="1:12" ht="13.8" x14ac:dyDescent="0.25">
      <c r="A56" s="7" t="s">
        <v>4043</v>
      </c>
      <c r="B56" s="192">
        <v>512411</v>
      </c>
      <c r="C56" s="191" t="s">
        <v>88</v>
      </c>
      <c r="D56" s="192"/>
      <c r="E56" s="192"/>
      <c r="F56" s="193"/>
      <c r="G56" s="193">
        <f>G57</f>
        <v>323949000</v>
      </c>
      <c r="H56" s="337">
        <v>0</v>
      </c>
      <c r="I56" s="335">
        <f>H56/G56*100</f>
        <v>0</v>
      </c>
      <c r="J56" s="175">
        <f>G56-H56</f>
        <v>323949000</v>
      </c>
      <c r="K56" s="335">
        <f>J56/G56*100</f>
        <v>100</v>
      </c>
    </row>
    <row r="57" spans="1:12" ht="13.8" hidden="1" x14ac:dyDescent="0.25">
      <c r="A57" s="7" t="s">
        <v>4044</v>
      </c>
      <c r="B57" s="152"/>
      <c r="C57" s="151" t="s">
        <v>4045</v>
      </c>
      <c r="D57" s="152">
        <v>1</v>
      </c>
      <c r="E57" s="152" t="s">
        <v>4046</v>
      </c>
      <c r="F57" s="153">
        <v>323949000</v>
      </c>
      <c r="G57" s="153">
        <f>ROUNDDOWN(D57*F57,-3)</f>
        <v>323949000</v>
      </c>
      <c r="H57" s="153"/>
      <c r="I57" s="333"/>
      <c r="J57" s="333"/>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55" priority="18">
      <formula>NOT(_xlfn.ISFORMULA(G12))</formula>
    </cfRule>
  </conditionalFormatting>
  <conditionalFormatting sqref="B11:K12 K56:K57">
    <cfRule type="expression" dxfId="654" priority="19">
      <formula>AND(#REF!="Ya",#REF!=ROW())</formula>
    </cfRule>
  </conditionalFormatting>
  <conditionalFormatting sqref="B13:J57">
    <cfRule type="expression" dxfId="653" priority="22">
      <formula>AND(#REF!="Ya",#REF!=ROW())</formula>
    </cfRule>
  </conditionalFormatting>
  <conditionalFormatting sqref="K13:K56">
    <cfRule type="expression" dxfId="652" priority="4">
      <formula>AND(#REF!="Ya",#REF!=ROW())</formula>
    </cfRule>
  </conditionalFormatting>
  <conditionalFormatting sqref="I55:I56 I53 I49 I47 I45 I41 I37 I33 I29 I25 I21 I13:I17">
    <cfRule type="expression" dxfId="651" priority="3">
      <formula>AND(#REF!="Ya",#REF!=ROW())</formula>
    </cfRule>
  </conditionalFormatting>
  <conditionalFormatting sqref="J55:J56 J53 J49 J47 J45 J41 J37 J33 J29 J25 J21 J13:J17">
    <cfRule type="expression" dxfId="650" priority="2">
      <formula>AND(#REF!="Ya",#REF!=ROW())</formula>
    </cfRule>
  </conditionalFormatting>
  <conditionalFormatting sqref="K55 K53 K49 K47 K45 K41 K37 K33 K29 K25 K21 K13:K17">
    <cfRule type="expression" dxfId="64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38" t="s">
        <v>598</v>
      </c>
      <c r="C1" s="438"/>
      <c r="D1" s="438"/>
      <c r="E1" s="438"/>
      <c r="F1" s="438"/>
      <c r="G1" s="446"/>
      <c r="H1" s="294"/>
      <c r="I1" s="294"/>
      <c r="J1" s="294"/>
    </row>
    <row r="2" spans="1:24" ht="15.6" x14ac:dyDescent="0.3">
      <c r="B2" s="447" t="s">
        <v>4825</v>
      </c>
      <c r="C2" s="447"/>
      <c r="D2" s="447"/>
      <c r="E2" s="447"/>
      <c r="F2" s="447"/>
      <c r="G2" s="448"/>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49" t="s">
        <v>606</v>
      </c>
      <c r="C9" s="450" t="s">
        <v>607</v>
      </c>
      <c r="D9" s="451" t="s">
        <v>608</v>
      </c>
      <c r="E9" s="449" t="s">
        <v>609</v>
      </c>
      <c r="F9" s="451" t="s">
        <v>610</v>
      </c>
      <c r="G9" s="445" t="s">
        <v>611</v>
      </c>
      <c r="H9" s="208"/>
      <c r="I9" s="208"/>
      <c r="J9" s="208"/>
      <c r="K9" s="452" t="s">
        <v>4629</v>
      </c>
      <c r="L9" s="452"/>
      <c r="M9" s="452"/>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41"/>
      <c r="C10" s="441"/>
      <c r="D10" s="444"/>
      <c r="E10" s="444"/>
      <c r="F10" s="441"/>
      <c r="G10" s="441"/>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648" priority="14">
      <formula>NOT(_xlfn.ISFORMULA(G12))</formula>
    </cfRule>
  </conditionalFormatting>
  <conditionalFormatting sqref="B11:J12 H13:J546">
    <cfRule type="expression" dxfId="647" priority="15">
      <formula>AND(#REF!="Ya",#REF!=ROW())</formula>
    </cfRule>
  </conditionalFormatting>
  <conditionalFormatting sqref="B518:F518 G543:G544 G540:G541 G536 G533 G531 G527:G529 G523:G524 G521 G518:G519 B13:G517">
    <cfRule type="expression" dxfId="646" priority="13">
      <formula>AND($R$4="Ya",$Q$2=ROW())</formula>
    </cfRule>
  </conditionalFormatting>
  <conditionalFormatting sqref="G546">
    <cfRule type="expression" dxfId="645" priority="12">
      <formula>AND($R$4="Ya",$Q$2=ROW())</formula>
    </cfRule>
  </conditionalFormatting>
  <conditionalFormatting sqref="G546 G543:G544 G540:G541 G536 G533 G531 G527:G529 G523:G524 G521 G518:G519">
    <cfRule type="expression" dxfId="644" priority="11">
      <formula>NOT(_xlfn.ISFORMULA(G518))</formula>
    </cfRule>
  </conditionalFormatting>
  <conditionalFormatting sqref="G530">
    <cfRule type="expression" dxfId="643" priority="10">
      <formula>NOT(_xlfn.ISFORMULA(G530))</formula>
    </cfRule>
  </conditionalFormatting>
  <conditionalFormatting sqref="G530">
    <cfRule type="expression" dxfId="642" priority="9">
      <formula>AND($R$4="Ya",$Q$2=ROW())</formula>
    </cfRule>
  </conditionalFormatting>
  <conditionalFormatting sqref="G520">
    <cfRule type="expression" dxfId="641" priority="8">
      <formula>NOT(_xlfn.ISFORMULA(G520))</formula>
    </cfRule>
  </conditionalFormatting>
  <conditionalFormatting sqref="G520">
    <cfRule type="expression" dxfId="640" priority="7">
      <formula>AND($R$4="Ya",$Q$2=ROW())</formula>
    </cfRule>
  </conditionalFormatting>
  <conditionalFormatting sqref="G545">
    <cfRule type="expression" dxfId="639" priority="6">
      <formula>NOT(_xlfn.ISFORMULA(G545))</formula>
    </cfRule>
  </conditionalFormatting>
  <conditionalFormatting sqref="G545">
    <cfRule type="expression" dxfId="638" priority="5">
      <formula>AND($R$4="Ya",$Q$2=ROW())</formula>
    </cfRule>
  </conditionalFormatting>
  <conditionalFormatting sqref="G542">
    <cfRule type="expression" dxfId="637" priority="4">
      <formula>NOT(_xlfn.ISFORMULA(G542))</formula>
    </cfRule>
  </conditionalFormatting>
  <conditionalFormatting sqref="G542">
    <cfRule type="expression" dxfId="636" priority="3">
      <formula>AND($R$4="Ya",$Q$2=ROW())</formula>
    </cfRule>
  </conditionalFormatting>
  <conditionalFormatting sqref="G539">
    <cfRule type="expression" dxfId="635" priority="2">
      <formula>NOT(_xlfn.ISFORMULA(G539))</formula>
    </cfRule>
  </conditionalFormatting>
  <conditionalFormatting sqref="G539">
    <cfRule type="expression" dxfId="63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38" t="s">
        <v>598</v>
      </c>
      <c r="C1" s="438"/>
      <c r="D1" s="438"/>
      <c r="E1" s="438"/>
      <c r="F1" s="438"/>
      <c r="G1" s="446"/>
      <c r="H1" s="214"/>
      <c r="I1" s="233"/>
      <c r="J1" s="233"/>
    </row>
    <row r="2" spans="1:24" ht="15.6" x14ac:dyDescent="0.3">
      <c r="B2" s="447" t="s">
        <v>4628</v>
      </c>
      <c r="C2" s="447"/>
      <c r="D2" s="447"/>
      <c r="E2" s="447"/>
      <c r="F2" s="447"/>
      <c r="G2" s="448"/>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49" t="s">
        <v>606</v>
      </c>
      <c r="C9" s="450" t="s">
        <v>607</v>
      </c>
      <c r="D9" s="451" t="s">
        <v>608</v>
      </c>
      <c r="E9" s="449" t="s">
        <v>609</v>
      </c>
      <c r="F9" s="451" t="s">
        <v>610</v>
      </c>
      <c r="G9" s="445" t="s">
        <v>611</v>
      </c>
      <c r="H9" s="208"/>
      <c r="I9" s="208"/>
      <c r="J9" s="208"/>
      <c r="K9" s="452" t="s">
        <v>4629</v>
      </c>
      <c r="L9" s="452"/>
      <c r="M9" s="452"/>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41"/>
      <c r="C10" s="441"/>
      <c r="D10" s="444"/>
      <c r="E10" s="444"/>
      <c r="F10" s="441"/>
      <c r="G10" s="441"/>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633" priority="14">
      <formula>NOT(_xlfn.ISFORMULA(G12))</formula>
    </cfRule>
  </conditionalFormatting>
  <conditionalFormatting sqref="B11:J12 H13:J589">
    <cfRule type="expression" dxfId="632" priority="15">
      <formula>AND(#REF!="Ya",#REF!=ROW())</formula>
    </cfRule>
  </conditionalFormatting>
  <conditionalFormatting sqref="B561:F561 G586:G587 G583:G584 G579 G576 G574 G570:G572 G566:G567 G564 G561:G562 B13:G560">
    <cfRule type="expression" dxfId="631" priority="13">
      <formula>AND($R$4="Ya",$Q$2=ROW())</formula>
    </cfRule>
  </conditionalFormatting>
  <conditionalFormatting sqref="G589">
    <cfRule type="expression" dxfId="630" priority="12">
      <formula>AND($R$4="Ya",$Q$2=ROW())</formula>
    </cfRule>
  </conditionalFormatting>
  <conditionalFormatting sqref="G589 G586:G587 G583:G584 G579 G576 G574 G570:G572 G566:G567 G564 G561:G562">
    <cfRule type="expression" dxfId="629" priority="11">
      <formula>NOT(_xlfn.ISFORMULA(G561))</formula>
    </cfRule>
  </conditionalFormatting>
  <conditionalFormatting sqref="G573">
    <cfRule type="expression" dxfId="628" priority="10">
      <formula>NOT(_xlfn.ISFORMULA(G573))</formula>
    </cfRule>
  </conditionalFormatting>
  <conditionalFormatting sqref="G573">
    <cfRule type="expression" dxfId="627" priority="9">
      <formula>AND($R$4="Ya",$Q$2=ROW())</formula>
    </cfRule>
  </conditionalFormatting>
  <conditionalFormatting sqref="G563">
    <cfRule type="expression" dxfId="626" priority="8">
      <formula>NOT(_xlfn.ISFORMULA(G563))</formula>
    </cfRule>
  </conditionalFormatting>
  <conditionalFormatting sqref="G563">
    <cfRule type="expression" dxfId="625" priority="7">
      <formula>AND($R$4="Ya",$Q$2=ROW())</formula>
    </cfRule>
  </conditionalFormatting>
  <conditionalFormatting sqref="G588">
    <cfRule type="expression" dxfId="624" priority="6">
      <formula>NOT(_xlfn.ISFORMULA(G588))</formula>
    </cfRule>
  </conditionalFormatting>
  <conditionalFormatting sqref="G588">
    <cfRule type="expression" dxfId="623" priority="5">
      <formula>AND($R$4="Ya",$Q$2=ROW())</formula>
    </cfRule>
  </conditionalFormatting>
  <conditionalFormatting sqref="G585">
    <cfRule type="expression" dxfId="622" priority="4">
      <formula>NOT(_xlfn.ISFORMULA(G585))</formula>
    </cfRule>
  </conditionalFormatting>
  <conditionalFormatting sqref="G585">
    <cfRule type="expression" dxfId="621" priority="3">
      <formula>AND($R$4="Ya",$Q$2=ROW())</formula>
    </cfRule>
  </conditionalFormatting>
  <conditionalFormatting sqref="G582">
    <cfRule type="expression" dxfId="620" priority="2">
      <formula>NOT(_xlfn.ISFORMULA(G582))</formula>
    </cfRule>
  </conditionalFormatting>
  <conditionalFormatting sqref="G582">
    <cfRule type="expression" dxfId="61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38" t="s">
        <v>598</v>
      </c>
      <c r="C1" s="438"/>
      <c r="D1" s="438"/>
      <c r="E1" s="438"/>
      <c r="F1" s="438"/>
      <c r="G1" s="446"/>
      <c r="M1" s="9"/>
      <c r="P1" s="109" t="s">
        <v>3586</v>
      </c>
      <c r="Q1" s="110" t="s">
        <v>3587</v>
      </c>
      <c r="R1" s="110" t="s">
        <v>592</v>
      </c>
      <c r="S1" s="110" t="s">
        <v>3588</v>
      </c>
      <c r="T1" s="111" t="s">
        <v>497</v>
      </c>
      <c r="V1" s="115" t="s">
        <v>3589</v>
      </c>
      <c r="W1" s="116" t="s">
        <v>592</v>
      </c>
      <c r="X1" s="116" t="s">
        <v>3588</v>
      </c>
    </row>
    <row r="2" spans="1:24" ht="14.4" x14ac:dyDescent="0.3">
      <c r="B2" s="439" t="s">
        <v>614</v>
      </c>
      <c r="C2" s="439"/>
      <c r="D2" s="439"/>
      <c r="E2" s="439"/>
      <c r="F2" s="439"/>
      <c r="G2" s="456"/>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40" t="s">
        <v>606</v>
      </c>
      <c r="C9" s="442" t="s">
        <v>607</v>
      </c>
      <c r="D9" s="443" t="s">
        <v>608</v>
      </c>
      <c r="E9" s="440" t="s">
        <v>609</v>
      </c>
      <c r="F9" s="443" t="s">
        <v>610</v>
      </c>
      <c r="G9" s="457" t="s">
        <v>611</v>
      </c>
      <c r="I9" s="453" t="s">
        <v>3590</v>
      </c>
      <c r="J9" s="454"/>
      <c r="K9" s="455"/>
      <c r="M9" s="14"/>
      <c r="P9" s="163"/>
    </row>
    <row r="10" spans="1:24" s="16" customFormat="1" x14ac:dyDescent="0.25">
      <c r="A10" s="15" t="s">
        <v>499</v>
      </c>
      <c r="B10" s="441"/>
      <c r="C10" s="441"/>
      <c r="D10" s="444"/>
      <c r="E10" s="444"/>
      <c r="F10" s="441"/>
      <c r="G10" s="441"/>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35" t="s">
        <v>596</v>
      </c>
      <c r="N13" s="436"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35"/>
      <c r="N14" s="436"/>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37"/>
      <c r="N22" s="437"/>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37"/>
      <c r="N23" s="437"/>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37"/>
      <c r="N24" s="437"/>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618" priority="4">
      <formula>AND($Q$4="Ya",$P$2=ROW())</formula>
    </cfRule>
  </conditionalFormatting>
  <conditionalFormatting sqref="G12:G2220">
    <cfRule type="expression" dxfId="617" priority="3">
      <formula>NOT(_xlfn.ISFORMULA(G12))</formula>
    </cfRule>
  </conditionalFormatting>
  <conditionalFormatting sqref="G2249 G2246:G2247 G2243:G2244 G2239 G2236 G2234 G2230:G2232 G2226:G2227 G2224 G2221:G2222">
    <cfRule type="expression" dxfId="616" priority="2">
      <formula>AND($Q$4="Ya",$P$2=ROW())</formula>
    </cfRule>
  </conditionalFormatting>
  <conditionalFormatting sqref="G2249 G2246:G2247 G2243:G2244 G2239 G2236 G2234 G2230:G2232 G2226:G2227 G2224 G2221:G2222">
    <cfRule type="expression" dxfId="615"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89" r:id="rId4" name="cmdGetAkun">
          <controlPr defaultSize="0" autoLine="0" r:id="rId5">
            <anchor moveWithCells="1">
              <from>
                <xdr:col>12</xdr:col>
                <xdr:colOff>327660</xdr:colOff>
                <xdr:row>1</xdr:row>
                <xdr:rowOff>22860</xdr:rowOff>
              </from>
              <to>
                <xdr:col>12</xdr:col>
                <xdr:colOff>1402080</xdr:colOff>
                <xdr:row>3</xdr:row>
                <xdr:rowOff>22860</xdr:rowOff>
              </to>
            </anchor>
          </controlPr>
        </control>
      </mc:Choice>
      <mc:Fallback>
        <control shapeId="12289" r:id="rId4" name="cmdGetAkun"/>
      </mc:Fallback>
    </mc:AlternateContent>
    <mc:AlternateContent xmlns:mc="http://schemas.openxmlformats.org/markup-compatibility/2006">
      <mc:Choice Requires="x14">
        <control shapeId="12297" r:id="rId6" name="cmdWarna">
          <controlPr defaultSize="0" print="0" autoLine="0" r:id="rId7">
            <anchor>
              <from>
                <xdr:col>12</xdr:col>
                <xdr:colOff>327660</xdr:colOff>
                <xdr:row>21</xdr:row>
                <xdr:rowOff>137160</xdr:rowOff>
              </from>
              <to>
                <xdr:col>12</xdr:col>
                <xdr:colOff>1668780</xdr:colOff>
                <xdr:row>23</xdr:row>
                <xdr:rowOff>30480</xdr:rowOff>
              </to>
            </anchor>
          </controlPr>
        </control>
      </mc:Choice>
      <mc:Fallback>
        <control shapeId="12297" r:id="rId6" name="cmdWarna"/>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38" t="s">
        <v>598</v>
      </c>
      <c r="C1" s="438"/>
      <c r="D1" s="438"/>
      <c r="E1" s="438"/>
      <c r="F1" s="438"/>
      <c r="G1" s="446"/>
      <c r="H1" s="206"/>
    </row>
    <row r="2" spans="1:22" ht="15.6" x14ac:dyDescent="0.3">
      <c r="B2" s="447" t="s">
        <v>4628</v>
      </c>
      <c r="C2" s="447"/>
      <c r="D2" s="447"/>
      <c r="E2" s="447"/>
      <c r="F2" s="447"/>
      <c r="G2" s="448"/>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49" t="s">
        <v>606</v>
      </c>
      <c r="C9" s="450" t="s">
        <v>607</v>
      </c>
      <c r="D9" s="451" t="s">
        <v>608</v>
      </c>
      <c r="E9" s="449" t="s">
        <v>609</v>
      </c>
      <c r="F9" s="451" t="s">
        <v>610</v>
      </c>
      <c r="G9" s="445" t="s">
        <v>611</v>
      </c>
      <c r="H9" s="208"/>
      <c r="I9" s="452" t="s">
        <v>4629</v>
      </c>
      <c r="J9" s="452"/>
      <c r="K9" s="452"/>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41"/>
      <c r="C10" s="441"/>
      <c r="D10" s="444"/>
      <c r="E10" s="444"/>
      <c r="F10" s="441"/>
      <c r="G10" s="441"/>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614" priority="15">
      <formula>NOT(_xlfn.ISFORMULA(G12))</formula>
    </cfRule>
  </conditionalFormatting>
  <conditionalFormatting sqref="B11:H12 H13:H589">
    <cfRule type="expression" dxfId="613" priority="17">
      <formula>AND(#REF!="Ya",#REF!=ROW())</formula>
    </cfRule>
  </conditionalFormatting>
  <conditionalFormatting sqref="B561:F561 G586:G587 G583:G584 G579 G576 G574 G570:G572 G566:G567 G564 G561:G562 B13:G560">
    <cfRule type="expression" dxfId="612" priority="14">
      <formula>AND($P$4="Ya",$O$2=ROW())</formula>
    </cfRule>
  </conditionalFormatting>
  <conditionalFormatting sqref="G589">
    <cfRule type="expression" dxfId="611" priority="12">
      <formula>AND($P$4="Ya",$O$2=ROW())</formula>
    </cfRule>
  </conditionalFormatting>
  <conditionalFormatting sqref="G589 G586:G587 G583:G584 G579 G576 G574 G570:G572 G566:G567 G564 G561:G562">
    <cfRule type="expression" dxfId="610" priority="11">
      <formula>NOT(_xlfn.ISFORMULA(G561))</formula>
    </cfRule>
  </conditionalFormatting>
  <conditionalFormatting sqref="G573">
    <cfRule type="expression" dxfId="609" priority="10">
      <formula>NOT(_xlfn.ISFORMULA(G573))</formula>
    </cfRule>
  </conditionalFormatting>
  <conditionalFormatting sqref="G573">
    <cfRule type="expression" dxfId="608" priority="9">
      <formula>AND($P$4="Ya",$O$2=ROW())</formula>
    </cfRule>
  </conditionalFormatting>
  <conditionalFormatting sqref="G563">
    <cfRule type="expression" dxfId="607" priority="8">
      <formula>NOT(_xlfn.ISFORMULA(G563))</formula>
    </cfRule>
  </conditionalFormatting>
  <conditionalFormatting sqref="G563">
    <cfRule type="expression" dxfId="606" priority="7">
      <formula>AND($P$4="Ya",$O$2=ROW())</formula>
    </cfRule>
  </conditionalFormatting>
  <conditionalFormatting sqref="G588">
    <cfRule type="expression" dxfId="605" priority="6">
      <formula>NOT(_xlfn.ISFORMULA(G588))</formula>
    </cfRule>
  </conditionalFormatting>
  <conditionalFormatting sqref="G588">
    <cfRule type="expression" dxfId="604" priority="5">
      <formula>AND($P$4="Ya",$O$2=ROW())</formula>
    </cfRule>
  </conditionalFormatting>
  <conditionalFormatting sqref="G585">
    <cfRule type="expression" dxfId="603" priority="4">
      <formula>NOT(_xlfn.ISFORMULA(G585))</formula>
    </cfRule>
  </conditionalFormatting>
  <conditionalFormatting sqref="G585">
    <cfRule type="expression" dxfId="602" priority="3">
      <formula>AND($P$4="Ya",$O$2=ROW())</formula>
    </cfRule>
  </conditionalFormatting>
  <conditionalFormatting sqref="G582">
    <cfRule type="expression" dxfId="601" priority="2">
      <formula>NOT(_xlfn.ISFORMULA(G582))</formula>
    </cfRule>
  </conditionalFormatting>
  <conditionalFormatting sqref="G582">
    <cfRule type="expression" dxfId="60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6"/>
    <col min="2" max="2" width="7.5546875" style="345" customWidth="1"/>
    <col min="3" max="3" width="5.44140625" style="345" customWidth="1"/>
    <col min="4" max="4" width="22.88671875" style="346" customWidth="1"/>
    <col min="5" max="5" width="18.109375" style="346" customWidth="1"/>
    <col min="6" max="6" width="19.44140625" style="348" customWidth="1"/>
    <col min="7" max="7" width="19.6640625" style="349" customWidth="1"/>
    <col min="8" max="8" width="26.109375" style="349" customWidth="1"/>
    <col min="9" max="9" width="20.5546875" style="346" customWidth="1"/>
    <col min="10" max="10" width="15.5546875" style="346" customWidth="1"/>
    <col min="11" max="11" width="104.6640625" style="354" customWidth="1"/>
    <col min="12" max="12" width="33.88671875" style="349" customWidth="1"/>
    <col min="13" max="13" width="34.109375" style="349" customWidth="1"/>
    <col min="14" max="14" width="25.33203125" style="396" customWidth="1"/>
    <col min="15" max="15" width="19.109375" style="346" bestFit="1" customWidth="1"/>
    <col min="16" max="19" width="9.109375" style="346"/>
    <col min="20" max="20" width="125" style="346" customWidth="1"/>
    <col min="21" max="16384" width="9.109375" style="346"/>
  </cols>
  <sheetData>
    <row r="1" spans="2:20" ht="15" x14ac:dyDescent="0.25">
      <c r="E1" s="347"/>
      <c r="K1" s="349"/>
    </row>
    <row r="2" spans="2:20" ht="15" x14ac:dyDescent="0.25">
      <c r="E2" s="347"/>
      <c r="K2" s="349"/>
      <c r="N2" s="396" t="s">
        <v>5350</v>
      </c>
      <c r="O2" s="395">
        <f>SUMIF(Table1[Status Realisasi],N2,Table1[Nilai SP2D])</f>
        <v>381840000</v>
      </c>
    </row>
    <row r="3" spans="2:20" ht="15" x14ac:dyDescent="0.25">
      <c r="E3" s="347"/>
      <c r="K3" s="349"/>
      <c r="N3" s="396" t="s">
        <v>5348</v>
      </c>
      <c r="O3" s="395">
        <f>SUMIF(Table1[Status Realisasi],N3,Table1[Nilai SP2D])</f>
        <v>3393066206</v>
      </c>
      <c r="T3" s="346" t="s">
        <v>5415</v>
      </c>
    </row>
    <row r="4" spans="2:20" ht="15" x14ac:dyDescent="0.25">
      <c r="E4" s="347"/>
      <c r="K4" s="349"/>
      <c r="N4" s="396" t="s">
        <v>5349</v>
      </c>
      <c r="O4" s="395">
        <f>SUMIF(Table1[Status Realisasi],N4,Table1[Nilai SP2D])</f>
        <v>2939763957</v>
      </c>
    </row>
    <row r="5" spans="2:20" ht="15" x14ac:dyDescent="0.25">
      <c r="E5" s="347"/>
      <c r="K5" s="349"/>
      <c r="N5" s="396" t="s">
        <v>5351</v>
      </c>
      <c r="O5" s="395">
        <f>SUMIF(Table1[Status Realisasi],N5,Table1[Nilai SP2D])</f>
        <v>654200000</v>
      </c>
    </row>
    <row r="6" spans="2:20" ht="15" x14ac:dyDescent="0.25">
      <c r="E6" s="347"/>
      <c r="K6" s="349"/>
      <c r="N6" s="396" t="s">
        <v>5352</v>
      </c>
    </row>
    <row r="7" spans="2:20" ht="15" x14ac:dyDescent="0.25">
      <c r="E7" s="347"/>
      <c r="K7" s="349"/>
      <c r="N7" s="396">
        <v>51</v>
      </c>
      <c r="O7" s="395">
        <f>SUMIF(Table1[all],N7,Table1[Nilai SP2D])</f>
        <v>2939763957</v>
      </c>
    </row>
    <row r="8" spans="2:20" ht="15" x14ac:dyDescent="0.25">
      <c r="E8" s="347"/>
      <c r="F8" s="346"/>
      <c r="K8" s="349"/>
      <c r="N8" s="396">
        <v>52</v>
      </c>
      <c r="O8" s="395">
        <f>SUMIF(Table1[all],N8,Table1[Nilai SP2D])</f>
        <v>5413122932</v>
      </c>
    </row>
    <row r="9" spans="2:20" ht="15" x14ac:dyDescent="0.25">
      <c r="E9" s="347"/>
      <c r="F9" s="346"/>
      <c r="K9" s="349"/>
      <c r="N9" s="396">
        <v>53</v>
      </c>
      <c r="O9" s="395">
        <f>SUMIF(Table1[all],N9,Table1[Nilai SP2D])</f>
        <v>654200000</v>
      </c>
    </row>
    <row r="10" spans="2:20" s="376" customFormat="1" ht="38.25" customHeight="1" x14ac:dyDescent="0.3">
      <c r="B10" s="393" t="s">
        <v>4839</v>
      </c>
      <c r="C10" s="393" t="s">
        <v>5376</v>
      </c>
      <c r="D10" s="394" t="s">
        <v>4840</v>
      </c>
      <c r="E10" s="394" t="s">
        <v>4841</v>
      </c>
      <c r="F10" s="394" t="s">
        <v>4842</v>
      </c>
      <c r="G10" s="394" t="s">
        <v>4843</v>
      </c>
      <c r="H10" s="394" t="s">
        <v>4844</v>
      </c>
      <c r="I10" s="394" t="s">
        <v>4845</v>
      </c>
      <c r="J10" s="394" t="s">
        <v>4846</v>
      </c>
      <c r="K10" s="394" t="s">
        <v>4847</v>
      </c>
      <c r="L10" s="376" t="s">
        <v>5190</v>
      </c>
      <c r="M10" s="376" t="s">
        <v>5191</v>
      </c>
      <c r="N10" s="376" t="s">
        <v>4691</v>
      </c>
      <c r="O10" s="376" t="s">
        <v>5375</v>
      </c>
      <c r="T10" s="376"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1">
        <v>1</v>
      </c>
      <c r="C11" s="321">
        <v>1</v>
      </c>
      <c r="D11" s="317" t="s">
        <v>5091</v>
      </c>
      <c r="E11" s="356" t="s">
        <v>5092</v>
      </c>
      <c r="F11" s="318">
        <v>208949299</v>
      </c>
      <c r="G11" s="369" t="s">
        <v>5008</v>
      </c>
      <c r="H11" s="351" t="s">
        <v>5093</v>
      </c>
      <c r="I11" s="317" t="s">
        <v>5092</v>
      </c>
      <c r="J11" s="317" t="s">
        <v>4867</v>
      </c>
      <c r="K11" s="320" t="s">
        <v>5094</v>
      </c>
      <c r="L11" s="387" t="s">
        <v>576</v>
      </c>
      <c r="M11" s="387" t="s">
        <v>5160</v>
      </c>
      <c r="N11" s="401" t="s">
        <v>5349</v>
      </c>
      <c r="O11" s="321">
        <v>51</v>
      </c>
    </row>
    <row r="12" spans="2:20" ht="69.900000000000006" customHeight="1" x14ac:dyDescent="0.25">
      <c r="B12" s="321">
        <v>2</v>
      </c>
      <c r="C12" s="321">
        <v>2</v>
      </c>
      <c r="D12" s="317" t="s">
        <v>5086</v>
      </c>
      <c r="E12" s="356" t="s">
        <v>5087</v>
      </c>
      <c r="F12" s="318">
        <v>203627955</v>
      </c>
      <c r="G12" s="369" t="s">
        <v>5008</v>
      </c>
      <c r="H12" s="351" t="s">
        <v>5088</v>
      </c>
      <c r="I12" s="317" t="s">
        <v>5089</v>
      </c>
      <c r="J12" s="317" t="s">
        <v>4867</v>
      </c>
      <c r="K12" s="320" t="s">
        <v>5090</v>
      </c>
      <c r="L12" s="387" t="s">
        <v>576</v>
      </c>
      <c r="M12" s="387" t="s">
        <v>5160</v>
      </c>
      <c r="N12" s="401" t="s">
        <v>5349</v>
      </c>
      <c r="O12" s="321">
        <v>51</v>
      </c>
    </row>
    <row r="13" spans="2:20" ht="69.900000000000006" customHeight="1" x14ac:dyDescent="0.25">
      <c r="B13" s="321">
        <v>3</v>
      </c>
      <c r="C13" s="321">
        <v>2</v>
      </c>
      <c r="D13" s="317" t="s">
        <v>5082</v>
      </c>
      <c r="E13" s="356" t="s">
        <v>5083</v>
      </c>
      <c r="F13" s="318">
        <v>233065910</v>
      </c>
      <c r="G13" s="369" t="s">
        <v>4853</v>
      </c>
      <c r="H13" s="351" t="s">
        <v>5084</v>
      </c>
      <c r="I13" s="317" t="s">
        <v>5083</v>
      </c>
      <c r="J13" s="317" t="s">
        <v>4853</v>
      </c>
      <c r="K13" s="320" t="s">
        <v>5085</v>
      </c>
      <c r="L13" s="387" t="s">
        <v>576</v>
      </c>
      <c r="M13" s="387" t="s">
        <v>5160</v>
      </c>
      <c r="N13" s="401" t="s">
        <v>5349</v>
      </c>
      <c r="O13" s="321">
        <v>51</v>
      </c>
    </row>
    <row r="14" spans="2:20" ht="69.900000000000006" customHeight="1" x14ac:dyDescent="0.25">
      <c r="B14" s="321">
        <v>4</v>
      </c>
      <c r="C14" s="321">
        <v>2</v>
      </c>
      <c r="D14" s="317" t="s">
        <v>5076</v>
      </c>
      <c r="E14" s="356" t="s">
        <v>5072</v>
      </c>
      <c r="F14" s="318">
        <v>3208063</v>
      </c>
      <c r="G14" s="369" t="s">
        <v>5040</v>
      </c>
      <c r="H14" s="351" t="s">
        <v>5077</v>
      </c>
      <c r="I14" s="317" t="s">
        <v>5074</v>
      </c>
      <c r="J14" s="317" t="s">
        <v>4853</v>
      </c>
      <c r="K14" s="320" t="s">
        <v>5078</v>
      </c>
      <c r="L14" s="387" t="s">
        <v>576</v>
      </c>
      <c r="M14" s="387" t="s">
        <v>5160</v>
      </c>
      <c r="N14" s="401" t="s">
        <v>5349</v>
      </c>
      <c r="O14" s="321">
        <v>51</v>
      </c>
    </row>
    <row r="15" spans="2:20" ht="69.900000000000006" customHeight="1" x14ac:dyDescent="0.25">
      <c r="B15" s="321">
        <v>5</v>
      </c>
      <c r="C15" s="321">
        <v>2</v>
      </c>
      <c r="D15" s="317" t="s">
        <v>5079</v>
      </c>
      <c r="E15" s="356" t="s">
        <v>5072</v>
      </c>
      <c r="F15" s="318">
        <v>31515000</v>
      </c>
      <c r="G15" s="369" t="s">
        <v>5024</v>
      </c>
      <c r="H15" s="351" t="s">
        <v>5080</v>
      </c>
      <c r="I15" s="317" t="s">
        <v>5074</v>
      </c>
      <c r="J15" s="317" t="s">
        <v>4853</v>
      </c>
      <c r="K15" s="320" t="s">
        <v>5081</v>
      </c>
      <c r="L15" s="387" t="s">
        <v>576</v>
      </c>
      <c r="M15" s="387" t="s">
        <v>5160</v>
      </c>
      <c r="N15" s="401" t="s">
        <v>5349</v>
      </c>
      <c r="O15" s="321">
        <v>51</v>
      </c>
    </row>
    <row r="16" spans="2:20" ht="69.900000000000006" customHeight="1" x14ac:dyDescent="0.25">
      <c r="B16" s="321">
        <v>6</v>
      </c>
      <c r="C16" s="321">
        <v>2</v>
      </c>
      <c r="D16" s="321" t="s">
        <v>4848</v>
      </c>
      <c r="E16" s="355" t="s">
        <v>4849</v>
      </c>
      <c r="F16" s="352">
        <v>63640000</v>
      </c>
      <c r="G16" s="364" t="s">
        <v>4850</v>
      </c>
      <c r="H16" s="322" t="s">
        <v>4851</v>
      </c>
      <c r="I16" s="321" t="s">
        <v>4852</v>
      </c>
      <c r="J16" s="321" t="s">
        <v>4853</v>
      </c>
      <c r="K16" s="323" t="s">
        <v>4854</v>
      </c>
      <c r="L16" s="387" t="s">
        <v>576</v>
      </c>
      <c r="M16" s="387" t="s">
        <v>5158</v>
      </c>
      <c r="N16" s="401" t="s">
        <v>5350</v>
      </c>
      <c r="O16" s="321">
        <v>52</v>
      </c>
    </row>
    <row r="17" spans="2:15" ht="69.900000000000006" customHeight="1" x14ac:dyDescent="0.25">
      <c r="B17" s="321">
        <v>7</v>
      </c>
      <c r="C17" s="321">
        <v>2</v>
      </c>
      <c r="D17" s="321" t="s">
        <v>4855</v>
      </c>
      <c r="E17" s="355" t="s">
        <v>4857</v>
      </c>
      <c r="F17" s="352">
        <v>9587800</v>
      </c>
      <c r="G17" s="365" t="s">
        <v>4853</v>
      </c>
      <c r="H17" s="321" t="s">
        <v>4858</v>
      </c>
      <c r="I17" s="321" t="s">
        <v>4856</v>
      </c>
      <c r="J17" s="321" t="s">
        <v>4853</v>
      </c>
      <c r="K17" s="323" t="s">
        <v>4859</v>
      </c>
      <c r="L17" s="387" t="s">
        <v>542</v>
      </c>
      <c r="M17" s="387" t="s">
        <v>5159</v>
      </c>
      <c r="N17" s="401"/>
      <c r="O17" s="321">
        <v>52</v>
      </c>
    </row>
    <row r="18" spans="2:15" ht="69.900000000000006" customHeight="1" x14ac:dyDescent="0.25">
      <c r="B18" s="321">
        <v>8</v>
      </c>
      <c r="C18" s="321">
        <v>2</v>
      </c>
      <c r="D18" s="321" t="s">
        <v>4860</v>
      </c>
      <c r="E18" s="355" t="s">
        <v>4857</v>
      </c>
      <c r="F18" s="352">
        <v>1010000</v>
      </c>
      <c r="G18" s="365" t="s">
        <v>4853</v>
      </c>
      <c r="H18" s="321" t="s">
        <v>4861</v>
      </c>
      <c r="I18" s="321" t="s">
        <v>4856</v>
      </c>
      <c r="J18" s="321" t="s">
        <v>4853</v>
      </c>
      <c r="K18" s="323" t="s">
        <v>4862</v>
      </c>
      <c r="L18" s="387" t="s">
        <v>542</v>
      </c>
      <c r="M18" s="387" t="s">
        <v>5159</v>
      </c>
      <c r="N18" s="401"/>
      <c r="O18" s="321">
        <v>52</v>
      </c>
    </row>
    <row r="19" spans="2:15" ht="69.900000000000006" customHeight="1" x14ac:dyDescent="0.25">
      <c r="B19" s="321">
        <v>9</v>
      </c>
      <c r="C19" s="321">
        <v>3</v>
      </c>
      <c r="D19" s="317" t="s">
        <v>5071</v>
      </c>
      <c r="E19" s="356" t="s">
        <v>4863</v>
      </c>
      <c r="F19" s="318">
        <v>211929456</v>
      </c>
      <c r="G19" s="369" t="s">
        <v>5008</v>
      </c>
      <c r="H19" s="351" t="s">
        <v>5073</v>
      </c>
      <c r="I19" s="317" t="s">
        <v>5074</v>
      </c>
      <c r="J19" s="317" t="s">
        <v>4867</v>
      </c>
      <c r="K19" s="320" t="s">
        <v>5075</v>
      </c>
      <c r="L19" s="387" t="s">
        <v>576</v>
      </c>
      <c r="M19" s="387" t="s">
        <v>5160</v>
      </c>
      <c r="N19" s="401" t="s">
        <v>5349</v>
      </c>
      <c r="O19" s="321">
        <v>51</v>
      </c>
    </row>
    <row r="20" spans="2:15" ht="69.900000000000006" customHeight="1" x14ac:dyDescent="0.25">
      <c r="B20" s="321">
        <v>10</v>
      </c>
      <c r="C20" s="321">
        <v>3</v>
      </c>
      <c r="D20" s="317" t="s">
        <v>5068</v>
      </c>
      <c r="E20" s="356" t="s">
        <v>4870</v>
      </c>
      <c r="F20" s="318">
        <v>8028903</v>
      </c>
      <c r="G20" s="369" t="s">
        <v>4853</v>
      </c>
      <c r="H20" s="351" t="s">
        <v>5069</v>
      </c>
      <c r="I20" s="317" t="s">
        <v>4873</v>
      </c>
      <c r="J20" s="317" t="s">
        <v>4853</v>
      </c>
      <c r="K20" s="320" t="s">
        <v>5070</v>
      </c>
      <c r="L20" s="387" t="s">
        <v>576</v>
      </c>
      <c r="M20" s="387" t="s">
        <v>5160</v>
      </c>
      <c r="N20" s="401" t="s">
        <v>5349</v>
      </c>
      <c r="O20" s="321">
        <v>51</v>
      </c>
    </row>
    <row r="21" spans="2:15" ht="69.900000000000006" customHeight="1" x14ac:dyDescent="0.25">
      <c r="B21" s="321">
        <v>11</v>
      </c>
      <c r="C21" s="321">
        <v>3</v>
      </c>
      <c r="D21" s="317" t="s">
        <v>5060</v>
      </c>
      <c r="E21" s="356" t="s">
        <v>5061</v>
      </c>
      <c r="F21" s="318">
        <v>237145862</v>
      </c>
      <c r="G21" s="369" t="s">
        <v>4853</v>
      </c>
      <c r="H21" s="351" t="s">
        <v>5062</v>
      </c>
      <c r="I21" s="317" t="s">
        <v>5063</v>
      </c>
      <c r="J21" s="317" t="s">
        <v>4853</v>
      </c>
      <c r="K21" s="320" t="s">
        <v>5064</v>
      </c>
      <c r="L21" s="387" t="s">
        <v>576</v>
      </c>
      <c r="M21" s="387" t="s">
        <v>5160</v>
      </c>
      <c r="N21" s="401" t="s">
        <v>5349</v>
      </c>
      <c r="O21" s="321">
        <v>51</v>
      </c>
    </row>
    <row r="22" spans="2:15" ht="69.900000000000006" customHeight="1" x14ac:dyDescent="0.25">
      <c r="B22" s="321">
        <v>12</v>
      </c>
      <c r="C22" s="321">
        <v>3</v>
      </c>
      <c r="D22" s="317" t="s">
        <v>5065</v>
      </c>
      <c r="E22" s="356" t="s">
        <v>5061</v>
      </c>
      <c r="F22" s="318">
        <v>24572000</v>
      </c>
      <c r="G22" s="369" t="s">
        <v>5024</v>
      </c>
      <c r="H22" s="351" t="s">
        <v>5066</v>
      </c>
      <c r="I22" s="317" t="s">
        <v>5063</v>
      </c>
      <c r="J22" s="317" t="s">
        <v>4853</v>
      </c>
      <c r="K22" s="320" t="s">
        <v>5067</v>
      </c>
      <c r="L22" s="387" t="s">
        <v>576</v>
      </c>
      <c r="M22" s="387" t="s">
        <v>5160</v>
      </c>
      <c r="N22" s="401" t="s">
        <v>5349</v>
      </c>
      <c r="O22" s="321">
        <v>51</v>
      </c>
    </row>
    <row r="23" spans="2:15" ht="69.900000000000006" customHeight="1" x14ac:dyDescent="0.25">
      <c r="B23" s="321">
        <v>13</v>
      </c>
      <c r="C23" s="321">
        <v>3</v>
      </c>
      <c r="D23" s="317" t="s">
        <v>5050</v>
      </c>
      <c r="E23" s="356" t="s">
        <v>4883</v>
      </c>
      <c r="F23" s="318">
        <v>7294465</v>
      </c>
      <c r="G23" s="369" t="s">
        <v>5040</v>
      </c>
      <c r="H23" s="351" t="s">
        <v>5051</v>
      </c>
      <c r="I23" s="317" t="s">
        <v>5045</v>
      </c>
      <c r="J23" s="317" t="s">
        <v>4853</v>
      </c>
      <c r="K23" s="320" t="s">
        <v>5052</v>
      </c>
      <c r="L23" s="387" t="s">
        <v>576</v>
      </c>
      <c r="M23" s="387" t="s">
        <v>5160</v>
      </c>
      <c r="N23" s="401" t="s">
        <v>5349</v>
      </c>
      <c r="O23" s="321">
        <v>51</v>
      </c>
    </row>
    <row r="24" spans="2:15" ht="69.900000000000006" customHeight="1" x14ac:dyDescent="0.25">
      <c r="B24" s="321">
        <v>14</v>
      </c>
      <c r="C24" s="321">
        <v>3</v>
      </c>
      <c r="D24" s="317" t="s">
        <v>5047</v>
      </c>
      <c r="E24" s="356" t="s">
        <v>4883</v>
      </c>
      <c r="F24" s="318">
        <v>257904</v>
      </c>
      <c r="G24" s="369" t="s">
        <v>5036</v>
      </c>
      <c r="H24" s="351" t="s">
        <v>5048</v>
      </c>
      <c r="I24" s="317" t="s">
        <v>5045</v>
      </c>
      <c r="J24" s="317" t="s">
        <v>4853</v>
      </c>
      <c r="K24" s="320" t="s">
        <v>5049</v>
      </c>
      <c r="L24" s="387" t="s">
        <v>576</v>
      </c>
      <c r="M24" s="387" t="s">
        <v>5160</v>
      </c>
      <c r="N24" s="401" t="s">
        <v>5349</v>
      </c>
      <c r="O24" s="321">
        <v>51</v>
      </c>
    </row>
    <row r="25" spans="2:15" ht="69.900000000000006" customHeight="1" x14ac:dyDescent="0.25">
      <c r="B25" s="321">
        <v>15</v>
      </c>
      <c r="C25" s="321">
        <v>3</v>
      </c>
      <c r="D25" s="317" t="s">
        <v>5053</v>
      </c>
      <c r="E25" s="356" t="s">
        <v>4883</v>
      </c>
      <c r="F25" s="318">
        <v>595396</v>
      </c>
      <c r="G25" s="369" t="s">
        <v>5036</v>
      </c>
      <c r="H25" s="351" t="s">
        <v>5054</v>
      </c>
      <c r="I25" s="317" t="s">
        <v>5045</v>
      </c>
      <c r="J25" s="317" t="s">
        <v>4853</v>
      </c>
      <c r="K25" s="320" t="s">
        <v>5055</v>
      </c>
      <c r="L25" s="387" t="s">
        <v>576</v>
      </c>
      <c r="M25" s="387" t="s">
        <v>5160</v>
      </c>
      <c r="N25" s="401" t="s">
        <v>5349</v>
      </c>
      <c r="O25" s="321">
        <v>51</v>
      </c>
    </row>
    <row r="26" spans="2:15" ht="69.900000000000006" customHeight="1" x14ac:dyDescent="0.25">
      <c r="B26" s="321">
        <v>16</v>
      </c>
      <c r="C26" s="321">
        <v>3</v>
      </c>
      <c r="D26" s="317" t="s">
        <v>5043</v>
      </c>
      <c r="E26" s="356" t="s">
        <v>4883</v>
      </c>
      <c r="F26" s="318">
        <v>3422128</v>
      </c>
      <c r="G26" s="369" t="s">
        <v>5036</v>
      </c>
      <c r="H26" s="351" t="s">
        <v>5044</v>
      </c>
      <c r="I26" s="317" t="s">
        <v>5045</v>
      </c>
      <c r="J26" s="317" t="s">
        <v>4853</v>
      </c>
      <c r="K26" s="320" t="s">
        <v>5046</v>
      </c>
      <c r="L26" s="387" t="s">
        <v>576</v>
      </c>
      <c r="M26" s="387" t="s">
        <v>5160</v>
      </c>
      <c r="N26" s="401" t="s">
        <v>5349</v>
      </c>
      <c r="O26" s="321">
        <v>51</v>
      </c>
    </row>
    <row r="27" spans="2:15" ht="69.900000000000006" customHeight="1" x14ac:dyDescent="0.25">
      <c r="B27" s="321">
        <v>17</v>
      </c>
      <c r="C27" s="321">
        <v>3</v>
      </c>
      <c r="D27" s="350" t="s">
        <v>4982</v>
      </c>
      <c r="E27" s="355" t="s">
        <v>4863</v>
      </c>
      <c r="F27" s="352">
        <v>63640000</v>
      </c>
      <c r="G27" s="364" t="s">
        <v>4864</v>
      </c>
      <c r="H27" s="322" t="s">
        <v>4865</v>
      </c>
      <c r="I27" s="321" t="s">
        <v>4866</v>
      </c>
      <c r="J27" s="321" t="s">
        <v>4867</v>
      </c>
      <c r="K27" s="323" t="s">
        <v>4868</v>
      </c>
      <c r="L27" s="387" t="s">
        <v>576</v>
      </c>
      <c r="M27" s="387" t="s">
        <v>5158</v>
      </c>
      <c r="N27" s="401" t="s">
        <v>5350</v>
      </c>
      <c r="O27" s="321">
        <v>52</v>
      </c>
    </row>
    <row r="28" spans="2:15" ht="69.900000000000006" customHeight="1" x14ac:dyDescent="0.25">
      <c r="B28" s="321">
        <v>18</v>
      </c>
      <c r="C28" s="321">
        <v>3</v>
      </c>
      <c r="D28" s="321" t="s">
        <v>4869</v>
      </c>
      <c r="E28" s="355" t="s">
        <v>4871</v>
      </c>
      <c r="F28" s="352">
        <v>99961115</v>
      </c>
      <c r="G28" s="366" t="s">
        <v>4641</v>
      </c>
      <c r="H28" s="321" t="s">
        <v>4872</v>
      </c>
      <c r="I28" s="321" t="s">
        <v>4873</v>
      </c>
      <c r="J28" s="321" t="s">
        <v>4853</v>
      </c>
      <c r="K28" s="323" t="s">
        <v>4874</v>
      </c>
      <c r="L28" s="387"/>
      <c r="M28" s="387"/>
      <c r="N28" s="401"/>
      <c r="O28" s="321">
        <v>52</v>
      </c>
    </row>
    <row r="29" spans="2:15" ht="69.900000000000006" customHeight="1" x14ac:dyDescent="0.25">
      <c r="B29" s="321">
        <v>19</v>
      </c>
      <c r="C29" s="321">
        <v>3</v>
      </c>
      <c r="D29" s="321" t="s">
        <v>4875</v>
      </c>
      <c r="E29" s="355" t="s">
        <v>4876</v>
      </c>
      <c r="F29" s="352">
        <v>21912994</v>
      </c>
      <c r="G29" s="367" t="s">
        <v>4877</v>
      </c>
      <c r="H29" s="321" t="s">
        <v>4878</v>
      </c>
      <c r="I29" s="321" t="s">
        <v>4879</v>
      </c>
      <c r="J29" s="321" t="s">
        <v>4880</v>
      </c>
      <c r="K29" s="323" t="s">
        <v>4881</v>
      </c>
      <c r="L29" s="387"/>
      <c r="M29" s="387"/>
      <c r="N29" s="401"/>
      <c r="O29" s="321">
        <v>52</v>
      </c>
    </row>
    <row r="30" spans="2:15" ht="69.900000000000006" customHeight="1" x14ac:dyDescent="0.25">
      <c r="B30" s="321">
        <v>20</v>
      </c>
      <c r="C30" s="321">
        <v>3</v>
      </c>
      <c r="D30" s="321" t="s">
        <v>4882</v>
      </c>
      <c r="E30" s="355" t="s">
        <v>4883</v>
      </c>
      <c r="F30" s="352">
        <v>31765000</v>
      </c>
      <c r="G30" s="367" t="s">
        <v>4877</v>
      </c>
      <c r="H30" s="321" t="s">
        <v>4884</v>
      </c>
      <c r="I30" s="321" t="s">
        <v>4879</v>
      </c>
      <c r="J30" s="321" t="s">
        <v>4880</v>
      </c>
      <c r="K30" s="323" t="s">
        <v>4881</v>
      </c>
      <c r="L30" s="387"/>
      <c r="M30" s="387"/>
      <c r="N30" s="401"/>
      <c r="O30" s="321">
        <v>52</v>
      </c>
    </row>
    <row r="31" spans="2:15" ht="69.900000000000006" customHeight="1" x14ac:dyDescent="0.25">
      <c r="B31" s="321">
        <v>21</v>
      </c>
      <c r="C31" s="321">
        <v>3</v>
      </c>
      <c r="D31" s="321" t="s">
        <v>4885</v>
      </c>
      <c r="E31" s="355" t="s">
        <v>4876</v>
      </c>
      <c r="F31" s="352">
        <v>2949500</v>
      </c>
      <c r="G31" s="367" t="s">
        <v>4877</v>
      </c>
      <c r="H31" s="321" t="s">
        <v>4886</v>
      </c>
      <c r="I31" s="321" t="s">
        <v>4879</v>
      </c>
      <c r="J31" s="321" t="s">
        <v>4880</v>
      </c>
      <c r="K31" s="323" t="s">
        <v>4881</v>
      </c>
      <c r="L31" s="387"/>
      <c r="M31" s="387"/>
      <c r="N31" s="401"/>
      <c r="O31" s="321">
        <v>52</v>
      </c>
    </row>
    <row r="32" spans="2:15" ht="69.900000000000006" customHeight="1" x14ac:dyDescent="0.25">
      <c r="B32" s="321">
        <v>22</v>
      </c>
      <c r="C32" s="321">
        <v>3</v>
      </c>
      <c r="D32" s="321" t="s">
        <v>4887</v>
      </c>
      <c r="E32" s="355" t="s">
        <v>4876</v>
      </c>
      <c r="F32" s="352">
        <v>58197700</v>
      </c>
      <c r="G32" s="367" t="s">
        <v>4877</v>
      </c>
      <c r="H32" s="321" t="s">
        <v>4888</v>
      </c>
      <c r="I32" s="321" t="s">
        <v>4879</v>
      </c>
      <c r="J32" s="321" t="s">
        <v>4880</v>
      </c>
      <c r="K32" s="323" t="s">
        <v>4881</v>
      </c>
      <c r="L32" s="387"/>
      <c r="M32" s="387"/>
      <c r="N32" s="401"/>
      <c r="O32" s="321">
        <v>52</v>
      </c>
    </row>
    <row r="33" spans="2:15" ht="69.900000000000006" customHeight="1" x14ac:dyDescent="0.25">
      <c r="B33" s="321">
        <v>23</v>
      </c>
      <c r="C33" s="321">
        <v>3</v>
      </c>
      <c r="D33" s="321" t="s">
        <v>4889</v>
      </c>
      <c r="E33" s="355" t="s">
        <v>4876</v>
      </c>
      <c r="F33" s="352">
        <v>42927193</v>
      </c>
      <c r="G33" s="367" t="s">
        <v>4877</v>
      </c>
      <c r="H33" s="321" t="s">
        <v>4890</v>
      </c>
      <c r="I33" s="321" t="s">
        <v>4879</v>
      </c>
      <c r="J33" s="321" t="s">
        <v>4880</v>
      </c>
      <c r="K33" s="323" t="s">
        <v>4881</v>
      </c>
      <c r="L33" s="387"/>
      <c r="M33" s="387"/>
      <c r="N33" s="401"/>
      <c r="O33" s="321">
        <v>52</v>
      </c>
    </row>
    <row r="34" spans="2:15" ht="69.900000000000006" customHeight="1" x14ac:dyDescent="0.25">
      <c r="B34" s="321">
        <v>24</v>
      </c>
      <c r="C34" s="321">
        <v>3</v>
      </c>
      <c r="D34" s="321" t="s">
        <v>4891</v>
      </c>
      <c r="E34" s="355" t="s">
        <v>4876</v>
      </c>
      <c r="F34" s="352">
        <v>3436750</v>
      </c>
      <c r="G34" s="367" t="s">
        <v>4877</v>
      </c>
      <c r="H34" s="321" t="s">
        <v>4892</v>
      </c>
      <c r="I34" s="321" t="s">
        <v>4879</v>
      </c>
      <c r="J34" s="321" t="s">
        <v>4880</v>
      </c>
      <c r="K34" s="323" t="s">
        <v>4881</v>
      </c>
      <c r="L34" s="387"/>
      <c r="M34" s="387"/>
      <c r="N34" s="401"/>
      <c r="O34" s="321">
        <v>52</v>
      </c>
    </row>
    <row r="35" spans="2:15" ht="69.900000000000006" customHeight="1" x14ac:dyDescent="0.25">
      <c r="B35" s="321">
        <v>25</v>
      </c>
      <c r="C35" s="321">
        <v>3</v>
      </c>
      <c r="D35" s="321" t="s">
        <v>4893</v>
      </c>
      <c r="E35" s="355" t="s">
        <v>4876</v>
      </c>
      <c r="F35" s="352">
        <v>50674500</v>
      </c>
      <c r="G35" s="367" t="s">
        <v>4877</v>
      </c>
      <c r="H35" s="321" t="s">
        <v>4894</v>
      </c>
      <c r="I35" s="321" t="s">
        <v>4879</v>
      </c>
      <c r="J35" s="321" t="s">
        <v>4880</v>
      </c>
      <c r="K35" s="323" t="s">
        <v>4881</v>
      </c>
      <c r="L35" s="387"/>
      <c r="M35" s="387"/>
      <c r="N35" s="401"/>
      <c r="O35" s="321">
        <v>52</v>
      </c>
    </row>
    <row r="36" spans="2:15" ht="69.900000000000006" customHeight="1" x14ac:dyDescent="0.25">
      <c r="B36" s="321">
        <v>26</v>
      </c>
      <c r="C36" s="321">
        <v>3</v>
      </c>
      <c r="D36" s="321" t="s">
        <v>4895</v>
      </c>
      <c r="E36" s="355" t="s">
        <v>4876</v>
      </c>
      <c r="F36" s="352">
        <v>198636550</v>
      </c>
      <c r="G36" s="367" t="s">
        <v>4877</v>
      </c>
      <c r="H36" s="321" t="s">
        <v>4896</v>
      </c>
      <c r="I36" s="321" t="s">
        <v>4879</v>
      </c>
      <c r="J36" s="321" t="s">
        <v>4880</v>
      </c>
      <c r="K36" s="323" t="s">
        <v>4881</v>
      </c>
      <c r="L36" s="387"/>
      <c r="M36" s="387"/>
      <c r="N36" s="401"/>
      <c r="O36" s="321">
        <v>52</v>
      </c>
    </row>
    <row r="37" spans="2:15" ht="69.900000000000006" customHeight="1" x14ac:dyDescent="0.25">
      <c r="B37" s="321">
        <v>27</v>
      </c>
      <c r="C37" s="321">
        <v>3</v>
      </c>
      <c r="D37" s="321" t="s">
        <v>4901</v>
      </c>
      <c r="E37" s="355" t="s">
        <v>4902</v>
      </c>
      <c r="F37" s="352">
        <v>1743940</v>
      </c>
      <c r="G37" s="366" t="s">
        <v>4641</v>
      </c>
      <c r="H37" s="321" t="s">
        <v>4903</v>
      </c>
      <c r="I37" s="321" t="s">
        <v>4904</v>
      </c>
      <c r="J37" s="321" t="s">
        <v>4853</v>
      </c>
      <c r="K37" s="323" t="s">
        <v>4905</v>
      </c>
      <c r="L37" s="387"/>
      <c r="M37" s="387"/>
      <c r="N37" s="401"/>
      <c r="O37" s="321">
        <v>52</v>
      </c>
    </row>
    <row r="38" spans="2:15" ht="69.900000000000006" customHeight="1" x14ac:dyDescent="0.25">
      <c r="B38" s="321">
        <v>28</v>
      </c>
      <c r="C38" s="321">
        <v>3</v>
      </c>
      <c r="D38" s="321" t="s">
        <v>4906</v>
      </c>
      <c r="E38" s="355" t="s">
        <v>4902</v>
      </c>
      <c r="F38" s="352">
        <v>21906300</v>
      </c>
      <c r="G38" s="366" t="s">
        <v>4641</v>
      </c>
      <c r="H38" s="321" t="s">
        <v>4907</v>
      </c>
      <c r="I38" s="321" t="s">
        <v>4904</v>
      </c>
      <c r="J38" s="321" t="s">
        <v>4853</v>
      </c>
      <c r="K38" s="323" t="s">
        <v>4905</v>
      </c>
      <c r="L38" s="387"/>
      <c r="M38" s="387"/>
      <c r="N38" s="401"/>
      <c r="O38" s="321">
        <v>52</v>
      </c>
    </row>
    <row r="39" spans="2:15" ht="69.900000000000006" customHeight="1" x14ac:dyDescent="0.25">
      <c r="B39" s="321">
        <v>29</v>
      </c>
      <c r="C39" s="321">
        <v>3</v>
      </c>
      <c r="D39" s="321" t="s">
        <v>4908</v>
      </c>
      <c r="E39" s="355" t="s">
        <v>4902</v>
      </c>
      <c r="F39" s="352">
        <v>12373213</v>
      </c>
      <c r="G39" s="366" t="s">
        <v>4641</v>
      </c>
      <c r="H39" s="321" t="s">
        <v>4909</v>
      </c>
      <c r="I39" s="321" t="s">
        <v>4904</v>
      </c>
      <c r="J39" s="321" t="s">
        <v>4853</v>
      </c>
      <c r="K39" s="323" t="s">
        <v>4905</v>
      </c>
      <c r="L39" s="387"/>
      <c r="M39" s="387"/>
      <c r="N39" s="401"/>
      <c r="O39" s="321">
        <v>52</v>
      </c>
    </row>
    <row r="40" spans="2:15" ht="69.900000000000006" customHeight="1" x14ac:dyDescent="0.25">
      <c r="B40" s="321">
        <v>30</v>
      </c>
      <c r="C40" s="321">
        <v>3</v>
      </c>
      <c r="D40" s="321" t="s">
        <v>4910</v>
      </c>
      <c r="E40" s="355" t="s">
        <v>4902</v>
      </c>
      <c r="F40" s="352">
        <v>8896000</v>
      </c>
      <c r="G40" s="366" t="s">
        <v>4641</v>
      </c>
      <c r="H40" s="321" t="s">
        <v>4911</v>
      </c>
      <c r="I40" s="321" t="s">
        <v>4904</v>
      </c>
      <c r="J40" s="321" t="s">
        <v>4853</v>
      </c>
      <c r="K40" s="323" t="s">
        <v>4905</v>
      </c>
      <c r="L40" s="387"/>
      <c r="M40" s="387"/>
      <c r="N40" s="401"/>
      <c r="O40" s="321">
        <v>52</v>
      </c>
    </row>
    <row r="41" spans="2:15" ht="69.900000000000006" customHeight="1" x14ac:dyDescent="0.25">
      <c r="B41" s="321">
        <v>31</v>
      </c>
      <c r="C41" s="321">
        <v>3</v>
      </c>
      <c r="D41" s="321" t="s">
        <v>4912</v>
      </c>
      <c r="E41" s="355" t="s">
        <v>4902</v>
      </c>
      <c r="F41" s="352">
        <v>12075000</v>
      </c>
      <c r="G41" s="366" t="s">
        <v>4641</v>
      </c>
      <c r="H41" s="321" t="s">
        <v>4913</v>
      </c>
      <c r="I41" s="321" t="s">
        <v>4904</v>
      </c>
      <c r="J41" s="321" t="s">
        <v>4853</v>
      </c>
      <c r="K41" s="323" t="s">
        <v>4905</v>
      </c>
      <c r="L41" s="387"/>
      <c r="M41" s="387"/>
      <c r="N41" s="401"/>
      <c r="O41" s="321">
        <v>52</v>
      </c>
    </row>
    <row r="42" spans="2:15" ht="69.900000000000006" customHeight="1" x14ac:dyDescent="0.25">
      <c r="B42" s="321">
        <v>32</v>
      </c>
      <c r="C42" s="321">
        <v>3</v>
      </c>
      <c r="D42" s="321" t="s">
        <v>4914</v>
      </c>
      <c r="E42" s="355" t="s">
        <v>4902</v>
      </c>
      <c r="F42" s="352">
        <v>1890000</v>
      </c>
      <c r="G42" s="366" t="s">
        <v>4641</v>
      </c>
      <c r="H42" s="321" t="s">
        <v>4915</v>
      </c>
      <c r="I42" s="321" t="s">
        <v>4904</v>
      </c>
      <c r="J42" s="321" t="s">
        <v>4853</v>
      </c>
      <c r="K42" s="323" t="s">
        <v>4905</v>
      </c>
      <c r="L42" s="387"/>
      <c r="M42" s="387"/>
      <c r="N42" s="401"/>
      <c r="O42" s="321">
        <v>52</v>
      </c>
    </row>
    <row r="43" spans="2:15" ht="69.900000000000006" customHeight="1" x14ac:dyDescent="0.25">
      <c r="B43" s="321">
        <v>33</v>
      </c>
      <c r="C43" s="321">
        <v>3</v>
      </c>
      <c r="D43" s="321" t="s">
        <v>4916</v>
      </c>
      <c r="E43" s="355" t="s">
        <v>4902</v>
      </c>
      <c r="F43" s="352">
        <v>18269500</v>
      </c>
      <c r="G43" s="366" t="s">
        <v>4641</v>
      </c>
      <c r="H43" s="321" t="s">
        <v>4917</v>
      </c>
      <c r="I43" s="321" t="s">
        <v>4904</v>
      </c>
      <c r="J43" s="321" t="s">
        <v>4853</v>
      </c>
      <c r="K43" s="323" t="s">
        <v>4905</v>
      </c>
      <c r="L43" s="387"/>
      <c r="M43" s="387"/>
      <c r="N43" s="401"/>
      <c r="O43" s="321">
        <v>52</v>
      </c>
    </row>
    <row r="44" spans="2:15" ht="69.900000000000006" customHeight="1" x14ac:dyDescent="0.25">
      <c r="B44" s="321">
        <v>34</v>
      </c>
      <c r="C44" s="321">
        <v>3</v>
      </c>
      <c r="D44" s="321" t="s">
        <v>4918</v>
      </c>
      <c r="E44" s="355" t="s">
        <v>4902</v>
      </c>
      <c r="F44" s="352">
        <v>21022422</v>
      </c>
      <c r="G44" s="366" t="s">
        <v>4641</v>
      </c>
      <c r="H44" s="321" t="s">
        <v>4919</v>
      </c>
      <c r="I44" s="321" t="s">
        <v>4904</v>
      </c>
      <c r="J44" s="321" t="s">
        <v>4853</v>
      </c>
      <c r="K44" s="323" t="s">
        <v>4905</v>
      </c>
      <c r="L44" s="387"/>
      <c r="M44" s="387"/>
      <c r="N44" s="401"/>
      <c r="O44" s="321">
        <v>52</v>
      </c>
    </row>
    <row r="45" spans="2:15" ht="69.900000000000006" customHeight="1" x14ac:dyDescent="0.25">
      <c r="B45" s="321">
        <v>44</v>
      </c>
      <c r="C45" s="321">
        <v>4</v>
      </c>
      <c r="D45" s="321" t="s">
        <v>4923</v>
      </c>
      <c r="E45" s="355" t="s">
        <v>4924</v>
      </c>
      <c r="F45" s="352">
        <v>830060208</v>
      </c>
      <c r="G45" s="368" t="s">
        <v>4853</v>
      </c>
      <c r="H45" s="322" t="s">
        <v>4925</v>
      </c>
      <c r="I45" s="321" t="s">
        <v>4926</v>
      </c>
      <c r="J45" s="321" t="s">
        <v>4853</v>
      </c>
      <c r="K45" s="323" t="s">
        <v>4927</v>
      </c>
      <c r="L45" s="387" t="s">
        <v>542</v>
      </c>
      <c r="M45" s="387" t="s">
        <v>5159</v>
      </c>
      <c r="N45" s="401" t="s">
        <v>5348</v>
      </c>
      <c r="O45" s="321">
        <v>52</v>
      </c>
    </row>
    <row r="46" spans="2:15" ht="69.900000000000006" customHeight="1" x14ac:dyDescent="0.25">
      <c r="B46" s="321">
        <v>45</v>
      </c>
      <c r="C46" s="321">
        <v>4</v>
      </c>
      <c r="D46" s="321" t="s">
        <v>4928</v>
      </c>
      <c r="E46" s="355" t="s">
        <v>4929</v>
      </c>
      <c r="F46" s="352">
        <v>5925000</v>
      </c>
      <c r="G46" s="368" t="s">
        <v>4853</v>
      </c>
      <c r="H46" s="322" t="s">
        <v>4930</v>
      </c>
      <c r="I46" s="321" t="s">
        <v>4924</v>
      </c>
      <c r="J46" s="321" t="s">
        <v>4853</v>
      </c>
      <c r="K46" s="323" t="s">
        <v>4931</v>
      </c>
      <c r="L46" s="387" t="s">
        <v>542</v>
      </c>
      <c r="M46" s="387" t="s">
        <v>5159</v>
      </c>
      <c r="N46" s="401" t="s">
        <v>5348</v>
      </c>
      <c r="O46" s="321">
        <v>52</v>
      </c>
    </row>
    <row r="47" spans="2:15" ht="69.900000000000006" customHeight="1" x14ac:dyDescent="0.25">
      <c r="B47" s="321">
        <v>46</v>
      </c>
      <c r="C47" s="321">
        <v>4</v>
      </c>
      <c r="D47" s="321" t="s">
        <v>4932</v>
      </c>
      <c r="E47" s="355" t="s">
        <v>4929</v>
      </c>
      <c r="F47" s="352">
        <v>5925000</v>
      </c>
      <c r="G47" s="368" t="s">
        <v>4853</v>
      </c>
      <c r="H47" s="322" t="s">
        <v>4933</v>
      </c>
      <c r="I47" s="321" t="s">
        <v>4924</v>
      </c>
      <c r="J47" s="321" t="s">
        <v>4853</v>
      </c>
      <c r="K47" s="323" t="s">
        <v>4934</v>
      </c>
      <c r="L47" s="387" t="s">
        <v>542</v>
      </c>
      <c r="M47" s="387" t="s">
        <v>5159</v>
      </c>
      <c r="N47" s="401" t="s">
        <v>5348</v>
      </c>
      <c r="O47" s="321">
        <v>52</v>
      </c>
    </row>
    <row r="48" spans="2:15" ht="69.900000000000006" customHeight="1" x14ac:dyDescent="0.25">
      <c r="B48" s="321">
        <v>47</v>
      </c>
      <c r="C48" s="321">
        <v>4</v>
      </c>
      <c r="D48" s="317" t="s">
        <v>4953</v>
      </c>
      <c r="E48" s="356" t="s">
        <v>4952</v>
      </c>
      <c r="F48" s="318">
        <v>577980144</v>
      </c>
      <c r="G48" s="368" t="s">
        <v>4853</v>
      </c>
      <c r="H48" s="317" t="s">
        <v>4962</v>
      </c>
      <c r="I48" s="317" t="s">
        <v>4951</v>
      </c>
      <c r="J48" s="317" t="s">
        <v>4853</v>
      </c>
      <c r="K48" s="320" t="s">
        <v>4963</v>
      </c>
      <c r="L48" s="387" t="s">
        <v>542</v>
      </c>
      <c r="M48" s="387" t="s">
        <v>5159</v>
      </c>
      <c r="N48" s="401" t="s">
        <v>5348</v>
      </c>
      <c r="O48" s="321">
        <v>52</v>
      </c>
    </row>
    <row r="49" spans="2:15" ht="69.900000000000006" customHeight="1" x14ac:dyDescent="0.25">
      <c r="B49" s="321">
        <v>48</v>
      </c>
      <c r="C49" s="321">
        <v>4</v>
      </c>
      <c r="D49" s="351" t="s">
        <v>4983</v>
      </c>
      <c r="E49" s="357" t="s">
        <v>4984</v>
      </c>
      <c r="F49" s="352">
        <v>11850000</v>
      </c>
      <c r="G49" s="368" t="s">
        <v>4853</v>
      </c>
      <c r="H49" s="351" t="s">
        <v>4985</v>
      </c>
      <c r="I49" s="351" t="s">
        <v>4986</v>
      </c>
      <c r="J49" s="351" t="s">
        <v>4853</v>
      </c>
      <c r="K49" s="353" t="s">
        <v>4987</v>
      </c>
      <c r="L49" s="387" t="s">
        <v>542</v>
      </c>
      <c r="M49" s="387" t="s">
        <v>5159</v>
      </c>
      <c r="N49" s="401" t="s">
        <v>5348</v>
      </c>
      <c r="O49" s="321">
        <v>52</v>
      </c>
    </row>
    <row r="50" spans="2:15" ht="69.900000000000006" customHeight="1" x14ac:dyDescent="0.25">
      <c r="B50" s="321">
        <v>49</v>
      </c>
      <c r="C50" s="321">
        <v>4</v>
      </c>
      <c r="D50" s="351" t="s">
        <v>4994</v>
      </c>
      <c r="E50" s="357" t="s">
        <v>4984</v>
      </c>
      <c r="F50" s="352">
        <v>11850000</v>
      </c>
      <c r="G50" s="368" t="s">
        <v>4853</v>
      </c>
      <c r="H50" s="351" t="s">
        <v>4995</v>
      </c>
      <c r="I50" s="351" t="s">
        <v>4986</v>
      </c>
      <c r="J50" s="351" t="s">
        <v>4853</v>
      </c>
      <c r="K50" s="353" t="s">
        <v>4996</v>
      </c>
      <c r="L50" s="387" t="s">
        <v>542</v>
      </c>
      <c r="M50" s="387" t="s">
        <v>5159</v>
      </c>
      <c r="N50" s="401" t="s">
        <v>5348</v>
      </c>
      <c r="O50" s="321">
        <v>52</v>
      </c>
    </row>
    <row r="51" spans="2:15" ht="69.900000000000006" customHeight="1" x14ac:dyDescent="0.25">
      <c r="B51" s="321">
        <v>50</v>
      </c>
      <c r="C51" s="321">
        <v>4</v>
      </c>
      <c r="D51" s="317" t="s">
        <v>5109</v>
      </c>
      <c r="E51" s="356" t="s">
        <v>5096</v>
      </c>
      <c r="F51" s="318">
        <v>5925000</v>
      </c>
      <c r="G51" s="368" t="s">
        <v>4853</v>
      </c>
      <c r="H51" s="317" t="s">
        <v>5110</v>
      </c>
      <c r="I51" s="317" t="s">
        <v>5098</v>
      </c>
      <c r="J51" s="317" t="s">
        <v>4853</v>
      </c>
      <c r="K51" s="320" t="s">
        <v>5111</v>
      </c>
      <c r="L51" s="387" t="s">
        <v>542</v>
      </c>
      <c r="M51" s="387" t="s">
        <v>5159</v>
      </c>
      <c r="N51" s="401" t="s">
        <v>5348</v>
      </c>
      <c r="O51" s="321">
        <v>52</v>
      </c>
    </row>
    <row r="52" spans="2:15" ht="69.900000000000006" customHeight="1" x14ac:dyDescent="0.25">
      <c r="B52" s="321">
        <v>51</v>
      </c>
      <c r="C52" s="321">
        <v>4</v>
      </c>
      <c r="D52" s="351" t="s">
        <v>4991</v>
      </c>
      <c r="E52" s="357" t="s">
        <v>4984</v>
      </c>
      <c r="F52" s="352">
        <v>17775000</v>
      </c>
      <c r="G52" s="368" t="s">
        <v>4853</v>
      </c>
      <c r="H52" s="351" t="s">
        <v>4992</v>
      </c>
      <c r="I52" s="351" t="s">
        <v>4986</v>
      </c>
      <c r="J52" s="351" t="s">
        <v>4853</v>
      </c>
      <c r="K52" s="353" t="s">
        <v>4993</v>
      </c>
      <c r="L52" s="387" t="s">
        <v>542</v>
      </c>
      <c r="M52" s="387" t="s">
        <v>5159</v>
      </c>
      <c r="N52" s="401" t="s">
        <v>5348</v>
      </c>
      <c r="O52" s="321">
        <v>52</v>
      </c>
    </row>
    <row r="53" spans="2:15" ht="69.900000000000006" customHeight="1" x14ac:dyDescent="0.25">
      <c r="B53" s="321">
        <v>52</v>
      </c>
      <c r="C53" s="321">
        <v>4</v>
      </c>
      <c r="D53" s="351" t="s">
        <v>4988</v>
      </c>
      <c r="E53" s="357" t="s">
        <v>4984</v>
      </c>
      <c r="F53" s="352">
        <v>11850000</v>
      </c>
      <c r="G53" s="368" t="s">
        <v>4853</v>
      </c>
      <c r="H53" s="351" t="s">
        <v>4989</v>
      </c>
      <c r="I53" s="351" t="s">
        <v>4986</v>
      </c>
      <c r="J53" s="351" t="s">
        <v>4853</v>
      </c>
      <c r="K53" s="353" t="s">
        <v>4990</v>
      </c>
      <c r="L53" s="387" t="s">
        <v>542</v>
      </c>
      <c r="M53" s="387" t="s">
        <v>5159</v>
      </c>
      <c r="N53" s="401" t="s">
        <v>5348</v>
      </c>
      <c r="O53" s="321">
        <v>52</v>
      </c>
    </row>
    <row r="54" spans="2:15" ht="69.900000000000006" customHeight="1" x14ac:dyDescent="0.25">
      <c r="B54" s="321">
        <v>53</v>
      </c>
      <c r="C54" s="321">
        <v>4</v>
      </c>
      <c r="D54" s="351" t="s">
        <v>4997</v>
      </c>
      <c r="E54" s="357" t="s">
        <v>4984</v>
      </c>
      <c r="F54" s="352">
        <v>58805004</v>
      </c>
      <c r="G54" s="368" t="s">
        <v>4853</v>
      </c>
      <c r="H54" s="351" t="s">
        <v>4998</v>
      </c>
      <c r="I54" s="351" t="s">
        <v>4986</v>
      </c>
      <c r="J54" s="351" t="s">
        <v>4853</v>
      </c>
      <c r="K54" s="353" t="s">
        <v>4999</v>
      </c>
      <c r="L54" s="387" t="s">
        <v>542</v>
      </c>
      <c r="M54" s="387" t="s">
        <v>5159</v>
      </c>
      <c r="N54" s="401" t="s">
        <v>5348</v>
      </c>
      <c r="O54" s="321">
        <v>52</v>
      </c>
    </row>
    <row r="55" spans="2:15" ht="69.900000000000006" customHeight="1" x14ac:dyDescent="0.25">
      <c r="B55" s="321">
        <v>54</v>
      </c>
      <c r="C55" s="321">
        <v>4</v>
      </c>
      <c r="D55" s="317" t="s">
        <v>5112</v>
      </c>
      <c r="E55" s="356" t="s">
        <v>5096</v>
      </c>
      <c r="F55" s="318">
        <v>11850000</v>
      </c>
      <c r="G55" s="368" t="s">
        <v>4853</v>
      </c>
      <c r="H55" s="317" t="s">
        <v>5113</v>
      </c>
      <c r="I55" s="317" t="s">
        <v>5098</v>
      </c>
      <c r="J55" s="317" t="s">
        <v>4853</v>
      </c>
      <c r="K55" s="320" t="s">
        <v>5114</v>
      </c>
      <c r="L55" s="387" t="s">
        <v>542</v>
      </c>
      <c r="M55" s="387" t="s">
        <v>5159</v>
      </c>
      <c r="N55" s="401" t="s">
        <v>5348</v>
      </c>
      <c r="O55" s="321">
        <v>52</v>
      </c>
    </row>
    <row r="56" spans="2:15" ht="69.900000000000006" customHeight="1" x14ac:dyDescent="0.25">
      <c r="B56" s="321">
        <v>35</v>
      </c>
      <c r="C56" s="321">
        <v>4</v>
      </c>
      <c r="D56" s="317" t="s">
        <v>5056</v>
      </c>
      <c r="E56" s="356" t="s">
        <v>5057</v>
      </c>
      <c r="F56" s="318">
        <v>206653906</v>
      </c>
      <c r="G56" s="369" t="s">
        <v>5008</v>
      </c>
      <c r="H56" s="351" t="s">
        <v>5058</v>
      </c>
      <c r="I56" s="317" t="s">
        <v>4879</v>
      </c>
      <c r="J56" s="317" t="s">
        <v>4867</v>
      </c>
      <c r="K56" s="320" t="s">
        <v>5059</v>
      </c>
      <c r="L56" s="387" t="s">
        <v>576</v>
      </c>
      <c r="M56" s="387" t="s">
        <v>5160</v>
      </c>
      <c r="N56" s="401" t="s">
        <v>5349</v>
      </c>
      <c r="O56" s="321">
        <v>51</v>
      </c>
    </row>
    <row r="57" spans="2:15" ht="69.900000000000006" customHeight="1" x14ac:dyDescent="0.25">
      <c r="B57" s="321">
        <v>36</v>
      </c>
      <c r="C57" s="321">
        <v>4</v>
      </c>
      <c r="D57" s="317" t="s">
        <v>5034</v>
      </c>
      <c r="E57" s="356" t="s">
        <v>5035</v>
      </c>
      <c r="F57" s="318">
        <v>633328</v>
      </c>
      <c r="G57" s="369" t="s">
        <v>5036</v>
      </c>
      <c r="H57" s="351" t="s">
        <v>5037</v>
      </c>
      <c r="I57" s="317" t="s">
        <v>5035</v>
      </c>
      <c r="J57" s="317" t="s">
        <v>4853</v>
      </c>
      <c r="K57" s="320" t="s">
        <v>5038</v>
      </c>
      <c r="L57" s="387" t="s">
        <v>576</v>
      </c>
      <c r="M57" s="387" t="s">
        <v>5160</v>
      </c>
      <c r="N57" s="401" t="s">
        <v>5349</v>
      </c>
      <c r="O57" s="321">
        <v>51</v>
      </c>
    </row>
    <row r="58" spans="2:15" ht="69.900000000000006" customHeight="1" x14ac:dyDescent="0.25">
      <c r="B58" s="321">
        <v>37</v>
      </c>
      <c r="C58" s="321">
        <v>4</v>
      </c>
      <c r="D58" s="317" t="s">
        <v>5039</v>
      </c>
      <c r="E58" s="356" t="s">
        <v>5035</v>
      </c>
      <c r="F58" s="318">
        <v>3233276</v>
      </c>
      <c r="G58" s="369" t="s">
        <v>5040</v>
      </c>
      <c r="H58" s="351" t="s">
        <v>5041</v>
      </c>
      <c r="I58" s="317" t="s">
        <v>5035</v>
      </c>
      <c r="J58" s="317" t="s">
        <v>4853</v>
      </c>
      <c r="K58" s="320" t="s">
        <v>5042</v>
      </c>
      <c r="L58" s="387" t="s">
        <v>576</v>
      </c>
      <c r="M58" s="387" t="s">
        <v>5160</v>
      </c>
      <c r="N58" s="401" t="s">
        <v>5349</v>
      </c>
      <c r="O58" s="321">
        <v>51</v>
      </c>
    </row>
    <row r="59" spans="2:15" ht="69.900000000000006" customHeight="1" x14ac:dyDescent="0.25">
      <c r="B59" s="321">
        <v>38</v>
      </c>
      <c r="C59" s="321">
        <v>4</v>
      </c>
      <c r="D59" s="317" t="s">
        <v>5028</v>
      </c>
      <c r="E59" s="356" t="s">
        <v>5023</v>
      </c>
      <c r="F59" s="318">
        <v>595000</v>
      </c>
      <c r="G59" s="369" t="s">
        <v>5024</v>
      </c>
      <c r="H59" s="351" t="s">
        <v>5029</v>
      </c>
      <c r="I59" s="317" t="s">
        <v>5026</v>
      </c>
      <c r="J59" s="317" t="s">
        <v>4853</v>
      </c>
      <c r="K59" s="320" t="s">
        <v>5030</v>
      </c>
      <c r="L59" s="387" t="s">
        <v>576</v>
      </c>
      <c r="M59" s="387" t="s">
        <v>5160</v>
      </c>
      <c r="N59" s="401" t="s">
        <v>5349</v>
      </c>
      <c r="O59" s="321">
        <v>51</v>
      </c>
    </row>
    <row r="60" spans="2:15" ht="69.900000000000006" customHeight="1" x14ac:dyDescent="0.25">
      <c r="B60" s="321">
        <v>39</v>
      </c>
      <c r="C60" s="321">
        <v>4</v>
      </c>
      <c r="D60" s="317" t="s">
        <v>5031</v>
      </c>
      <c r="E60" s="356" t="s">
        <v>5023</v>
      </c>
      <c r="F60" s="318">
        <v>239665141</v>
      </c>
      <c r="G60" s="369" t="s">
        <v>4853</v>
      </c>
      <c r="H60" s="351" t="s">
        <v>5032</v>
      </c>
      <c r="I60" s="317" t="s">
        <v>5026</v>
      </c>
      <c r="J60" s="317" t="s">
        <v>4853</v>
      </c>
      <c r="K60" s="320" t="s">
        <v>5033</v>
      </c>
      <c r="L60" s="387" t="s">
        <v>576</v>
      </c>
      <c r="M60" s="387" t="s">
        <v>5160</v>
      </c>
      <c r="N60" s="401" t="s">
        <v>5349</v>
      </c>
      <c r="O60" s="321">
        <v>51</v>
      </c>
    </row>
    <row r="61" spans="2:15" ht="69.900000000000006" customHeight="1" x14ac:dyDescent="0.25">
      <c r="B61" s="321">
        <v>40</v>
      </c>
      <c r="C61" s="321">
        <v>4</v>
      </c>
      <c r="D61" s="317" t="s">
        <v>5022</v>
      </c>
      <c r="E61" s="356" t="s">
        <v>5023</v>
      </c>
      <c r="F61" s="318">
        <v>26735000</v>
      </c>
      <c r="G61" s="369" t="s">
        <v>5024</v>
      </c>
      <c r="H61" s="351" t="s">
        <v>5025</v>
      </c>
      <c r="I61" s="317" t="s">
        <v>5026</v>
      </c>
      <c r="J61" s="317" t="s">
        <v>4853</v>
      </c>
      <c r="K61" s="320" t="s">
        <v>5027</v>
      </c>
      <c r="L61" s="387" t="s">
        <v>576</v>
      </c>
      <c r="M61" s="387" t="s">
        <v>5160</v>
      </c>
      <c r="N61" s="401" t="s">
        <v>5349</v>
      </c>
      <c r="O61" s="321">
        <v>51</v>
      </c>
    </row>
    <row r="62" spans="2:15" ht="69.900000000000006" customHeight="1" x14ac:dyDescent="0.25">
      <c r="B62" s="321">
        <v>41</v>
      </c>
      <c r="C62" s="321">
        <v>4</v>
      </c>
      <c r="D62" s="317" t="s">
        <v>5019</v>
      </c>
      <c r="E62" s="356" t="s">
        <v>4952</v>
      </c>
      <c r="F62" s="318">
        <v>208979992</v>
      </c>
      <c r="G62" s="369" t="s">
        <v>5016</v>
      </c>
      <c r="H62" s="351" t="s">
        <v>5020</v>
      </c>
      <c r="I62" s="317" t="s">
        <v>4951</v>
      </c>
      <c r="J62" s="317" t="s">
        <v>4867</v>
      </c>
      <c r="K62" s="320" t="s">
        <v>5021</v>
      </c>
      <c r="L62" s="387" t="s">
        <v>576</v>
      </c>
      <c r="M62" s="387" t="s">
        <v>5160</v>
      </c>
      <c r="N62" s="401" t="s">
        <v>5349</v>
      </c>
      <c r="O62" s="321">
        <v>51</v>
      </c>
    </row>
    <row r="63" spans="2:15" ht="69.900000000000006" customHeight="1" x14ac:dyDescent="0.25">
      <c r="B63" s="321">
        <v>42</v>
      </c>
      <c r="C63" s="321">
        <v>4</v>
      </c>
      <c r="D63" s="317" t="s">
        <v>5015</v>
      </c>
      <c r="E63" s="356" t="s">
        <v>4952</v>
      </c>
      <c r="F63" s="318">
        <v>3233300</v>
      </c>
      <c r="G63" s="369" t="s">
        <v>5016</v>
      </c>
      <c r="H63" s="351" t="s">
        <v>5017</v>
      </c>
      <c r="I63" s="317" t="s">
        <v>4951</v>
      </c>
      <c r="J63" s="317" t="s">
        <v>4867</v>
      </c>
      <c r="K63" s="320" t="s">
        <v>5018</v>
      </c>
      <c r="L63" s="387" t="s">
        <v>576</v>
      </c>
      <c r="M63" s="387" t="s">
        <v>5160</v>
      </c>
      <c r="N63" s="401" t="s">
        <v>5349</v>
      </c>
      <c r="O63" s="321">
        <v>51</v>
      </c>
    </row>
    <row r="64" spans="2:15" ht="69.900000000000006" customHeight="1" x14ac:dyDescent="0.25">
      <c r="B64" s="321">
        <v>43</v>
      </c>
      <c r="C64" s="321">
        <v>4</v>
      </c>
      <c r="D64" s="317" t="s">
        <v>5011</v>
      </c>
      <c r="E64" s="356" t="s">
        <v>4986</v>
      </c>
      <c r="F64" s="318">
        <v>121465086</v>
      </c>
      <c r="G64" s="369" t="s">
        <v>5012</v>
      </c>
      <c r="H64" s="351" t="s">
        <v>5013</v>
      </c>
      <c r="I64" s="317" t="s">
        <v>4952</v>
      </c>
      <c r="J64" s="317" t="s">
        <v>4853</v>
      </c>
      <c r="K64" s="320" t="s">
        <v>5014</v>
      </c>
      <c r="L64" s="387" t="s">
        <v>576</v>
      </c>
      <c r="M64" s="387" t="s">
        <v>5160</v>
      </c>
      <c r="N64" s="401" t="s">
        <v>5349</v>
      </c>
      <c r="O64" s="321">
        <v>51</v>
      </c>
    </row>
    <row r="65" spans="2:15" ht="69.900000000000006" customHeight="1" x14ac:dyDescent="0.25">
      <c r="B65" s="321">
        <v>55</v>
      </c>
      <c r="C65" s="321">
        <v>4</v>
      </c>
      <c r="D65" s="321" t="s">
        <v>4897</v>
      </c>
      <c r="E65" s="355" t="s">
        <v>4898</v>
      </c>
      <c r="F65" s="352">
        <f>6840000+360000</f>
        <v>7200000</v>
      </c>
      <c r="G65" s="365" t="s">
        <v>4853</v>
      </c>
      <c r="H65" s="321" t="s">
        <v>4899</v>
      </c>
      <c r="I65" s="321" t="s">
        <v>4898</v>
      </c>
      <c r="J65" s="321" t="s">
        <v>4853</v>
      </c>
      <c r="K65" s="323" t="s">
        <v>4900</v>
      </c>
      <c r="L65" s="387" t="s">
        <v>535</v>
      </c>
      <c r="M65" s="387" t="s">
        <v>5192</v>
      </c>
      <c r="N65" s="401"/>
      <c r="O65" s="321">
        <v>52</v>
      </c>
    </row>
    <row r="66" spans="2:15" ht="69.900000000000006" customHeight="1" x14ac:dyDescent="0.25">
      <c r="B66" s="321">
        <v>56</v>
      </c>
      <c r="C66" s="321">
        <v>4</v>
      </c>
      <c r="D66" s="321" t="s">
        <v>4920</v>
      </c>
      <c r="E66" s="355" t="s">
        <v>4898</v>
      </c>
      <c r="F66" s="352">
        <v>63640000</v>
      </c>
      <c r="G66" s="364" t="s">
        <v>4850</v>
      </c>
      <c r="H66" s="322" t="s">
        <v>4921</v>
      </c>
      <c r="I66" s="321" t="s">
        <v>4898</v>
      </c>
      <c r="J66" s="321" t="s">
        <v>4853</v>
      </c>
      <c r="K66" s="323" t="s">
        <v>4922</v>
      </c>
      <c r="L66" s="387" t="s">
        <v>576</v>
      </c>
      <c r="M66" s="387" t="s">
        <v>5158</v>
      </c>
      <c r="N66" s="401" t="s">
        <v>5350</v>
      </c>
      <c r="O66" s="321">
        <v>52</v>
      </c>
    </row>
    <row r="67" spans="2:15" ht="69.900000000000006" customHeight="1" x14ac:dyDescent="0.25">
      <c r="B67" s="321">
        <v>57</v>
      </c>
      <c r="C67" s="321">
        <v>4</v>
      </c>
      <c r="D67" s="321" t="s">
        <v>4935</v>
      </c>
      <c r="E67" s="355" t="s">
        <v>4929</v>
      </c>
      <c r="F67" s="352">
        <v>6060000</v>
      </c>
      <c r="G67" s="365" t="s">
        <v>4853</v>
      </c>
      <c r="H67" s="322" t="s">
        <v>4936</v>
      </c>
      <c r="I67" s="321" t="s">
        <v>4924</v>
      </c>
      <c r="J67" s="321" t="s">
        <v>4853</v>
      </c>
      <c r="K67" s="323" t="s">
        <v>4937</v>
      </c>
      <c r="L67" s="387" t="s">
        <v>531</v>
      </c>
      <c r="M67" s="387" t="s">
        <v>5193</v>
      </c>
      <c r="N67" s="401"/>
      <c r="O67" s="321">
        <v>52</v>
      </c>
    </row>
    <row r="68" spans="2:15" ht="69.900000000000006" customHeight="1" x14ac:dyDescent="0.25">
      <c r="B68" s="321">
        <v>58</v>
      </c>
      <c r="C68" s="321">
        <v>4</v>
      </c>
      <c r="D68" s="321" t="s">
        <v>4938</v>
      </c>
      <c r="E68" s="355" t="s">
        <v>4929</v>
      </c>
      <c r="F68" s="352">
        <v>1800000</v>
      </c>
      <c r="G68" s="365" t="s">
        <v>4853</v>
      </c>
      <c r="H68" s="322" t="s">
        <v>4939</v>
      </c>
      <c r="I68" s="321" t="s">
        <v>4924</v>
      </c>
      <c r="J68" s="321" t="s">
        <v>4853</v>
      </c>
      <c r="K68" s="323" t="s">
        <v>4940</v>
      </c>
      <c r="L68" s="387" t="s">
        <v>531</v>
      </c>
      <c r="M68" s="387" t="s">
        <v>5194</v>
      </c>
      <c r="N68" s="401"/>
      <c r="O68" s="321">
        <v>52</v>
      </c>
    </row>
    <row r="69" spans="2:15" ht="69.900000000000006" customHeight="1" x14ac:dyDescent="0.25">
      <c r="B69" s="321">
        <v>59</v>
      </c>
      <c r="C69" s="321">
        <v>4</v>
      </c>
      <c r="D69" s="321" t="s">
        <v>4941</v>
      </c>
      <c r="E69" s="355" t="s">
        <v>4929</v>
      </c>
      <c r="F69" s="352">
        <v>6320000</v>
      </c>
      <c r="G69" s="365" t="s">
        <v>4853</v>
      </c>
      <c r="H69" s="322" t="s">
        <v>4942</v>
      </c>
      <c r="I69" s="321" t="s">
        <v>4924</v>
      </c>
      <c r="J69" s="321" t="s">
        <v>4853</v>
      </c>
      <c r="K69" s="323" t="s">
        <v>4943</v>
      </c>
      <c r="L69" s="387" t="s">
        <v>535</v>
      </c>
      <c r="M69" s="387" t="s">
        <v>5195</v>
      </c>
      <c r="N69" s="401"/>
      <c r="O69" s="321">
        <v>52</v>
      </c>
    </row>
    <row r="70" spans="2:15" ht="69.900000000000006" customHeight="1" x14ac:dyDescent="0.25">
      <c r="B70" s="321">
        <v>60</v>
      </c>
      <c r="C70" s="321">
        <v>4</v>
      </c>
      <c r="D70" s="321" t="s">
        <v>4944</v>
      </c>
      <c r="E70" s="355" t="s">
        <v>4929</v>
      </c>
      <c r="F70" s="352">
        <v>3570000</v>
      </c>
      <c r="G70" s="365" t="s">
        <v>4853</v>
      </c>
      <c r="H70" s="322" t="s">
        <v>4945</v>
      </c>
      <c r="I70" s="321" t="s">
        <v>4924</v>
      </c>
      <c r="J70" s="321" t="s">
        <v>4853</v>
      </c>
      <c r="K70" s="323" t="s">
        <v>4946</v>
      </c>
      <c r="L70" s="387" t="s">
        <v>542</v>
      </c>
      <c r="M70" s="387" t="s">
        <v>5159</v>
      </c>
      <c r="N70" s="401"/>
      <c r="O70" s="321">
        <v>52</v>
      </c>
    </row>
    <row r="71" spans="2:15" ht="69.900000000000006" customHeight="1" x14ac:dyDescent="0.25">
      <c r="B71" s="321">
        <v>61</v>
      </c>
      <c r="C71" s="321">
        <v>4</v>
      </c>
      <c r="D71" s="321" t="s">
        <v>4947</v>
      </c>
      <c r="E71" s="355" t="s">
        <v>4929</v>
      </c>
      <c r="F71" s="352">
        <v>1040000</v>
      </c>
      <c r="G71" s="365" t="s">
        <v>4853</v>
      </c>
      <c r="H71" s="322" t="s">
        <v>4948</v>
      </c>
      <c r="I71" s="321" t="s">
        <v>4924</v>
      </c>
      <c r="J71" s="321" t="s">
        <v>4853</v>
      </c>
      <c r="K71" s="323" t="s">
        <v>4949</v>
      </c>
      <c r="L71" s="387" t="s">
        <v>531</v>
      </c>
      <c r="M71" s="387" t="s">
        <v>5194</v>
      </c>
      <c r="N71" s="401"/>
      <c r="O71" s="321">
        <v>52</v>
      </c>
    </row>
    <row r="72" spans="2:15" ht="69.900000000000006" customHeight="1" x14ac:dyDescent="0.25">
      <c r="B72" s="321">
        <v>62</v>
      </c>
      <c r="C72" s="321">
        <v>4</v>
      </c>
      <c r="D72" s="317" t="s">
        <v>4950</v>
      </c>
      <c r="E72" s="356" t="s">
        <v>4952</v>
      </c>
      <c r="F72" s="318">
        <v>8760000</v>
      </c>
      <c r="G72" s="365" t="s">
        <v>4853</v>
      </c>
      <c r="H72" s="317" t="s">
        <v>4960</v>
      </c>
      <c r="I72" s="317" t="s">
        <v>4951</v>
      </c>
      <c r="J72" s="317" t="s">
        <v>4853</v>
      </c>
      <c r="K72" s="320" t="s">
        <v>4961</v>
      </c>
      <c r="L72" s="387" t="s">
        <v>542</v>
      </c>
      <c r="M72" s="387" t="s">
        <v>5196</v>
      </c>
      <c r="N72" s="401"/>
      <c r="O72" s="321">
        <v>52</v>
      </c>
    </row>
    <row r="73" spans="2:15" ht="69.900000000000006" customHeight="1" x14ac:dyDescent="0.25">
      <c r="B73" s="321">
        <v>63</v>
      </c>
      <c r="C73" s="321">
        <v>4</v>
      </c>
      <c r="D73" s="317" t="s">
        <v>4957</v>
      </c>
      <c r="E73" s="356" t="s">
        <v>4952</v>
      </c>
      <c r="F73" s="318">
        <v>4980000</v>
      </c>
      <c r="G73" s="365" t="s">
        <v>4853</v>
      </c>
      <c r="H73" s="317" t="s">
        <v>4970</v>
      </c>
      <c r="I73" s="317" t="s">
        <v>4951</v>
      </c>
      <c r="J73" s="317" t="s">
        <v>4853</v>
      </c>
      <c r="K73" s="320" t="s">
        <v>4971</v>
      </c>
      <c r="L73" s="387" t="s">
        <v>542</v>
      </c>
      <c r="M73" s="387" t="s">
        <v>5196</v>
      </c>
      <c r="N73" s="401"/>
      <c r="O73" s="321">
        <v>52</v>
      </c>
    </row>
    <row r="74" spans="2:15" ht="69.900000000000006" customHeight="1" x14ac:dyDescent="0.25">
      <c r="B74" s="321">
        <v>64</v>
      </c>
      <c r="C74" s="321">
        <v>4</v>
      </c>
      <c r="D74" s="317" t="s">
        <v>4954</v>
      </c>
      <c r="E74" s="356" t="s">
        <v>4952</v>
      </c>
      <c r="F74" s="318">
        <v>34977460</v>
      </c>
      <c r="G74" s="365" t="s">
        <v>4853</v>
      </c>
      <c r="H74" s="317" t="s">
        <v>4964</v>
      </c>
      <c r="I74" s="317" t="s">
        <v>4951</v>
      </c>
      <c r="J74" s="317" t="s">
        <v>4853</v>
      </c>
      <c r="K74" s="320" t="s">
        <v>4965</v>
      </c>
      <c r="L74" s="387" t="s">
        <v>576</v>
      </c>
      <c r="M74" s="387" t="s">
        <v>5158</v>
      </c>
      <c r="N74" s="401"/>
      <c r="O74" s="321">
        <v>52</v>
      </c>
    </row>
    <row r="75" spans="2:15" ht="69.900000000000006" customHeight="1" x14ac:dyDescent="0.25">
      <c r="B75" s="321">
        <v>65</v>
      </c>
      <c r="C75" s="321">
        <v>4</v>
      </c>
      <c r="D75" s="317" t="s">
        <v>4955</v>
      </c>
      <c r="E75" s="356" t="s">
        <v>4952</v>
      </c>
      <c r="F75" s="318">
        <v>5656000</v>
      </c>
      <c r="G75" s="365" t="s">
        <v>4853</v>
      </c>
      <c r="H75" s="317" t="s">
        <v>4966</v>
      </c>
      <c r="I75" s="317" t="s">
        <v>4951</v>
      </c>
      <c r="J75" s="317" t="s">
        <v>4853</v>
      </c>
      <c r="K75" s="320" t="s">
        <v>4967</v>
      </c>
      <c r="L75" s="387" t="s">
        <v>531</v>
      </c>
      <c r="M75" s="387" t="s">
        <v>5193</v>
      </c>
      <c r="N75" s="401"/>
      <c r="O75" s="321">
        <v>52</v>
      </c>
    </row>
    <row r="76" spans="2:15" ht="69.900000000000006" customHeight="1" x14ac:dyDescent="0.25">
      <c r="B76" s="321">
        <v>66</v>
      </c>
      <c r="C76" s="321">
        <v>4</v>
      </c>
      <c r="D76" s="317" t="s">
        <v>4976</v>
      </c>
      <c r="E76" s="356" t="s">
        <v>4952</v>
      </c>
      <c r="F76" s="318">
        <v>6180000</v>
      </c>
      <c r="G76" s="365" t="s">
        <v>4853</v>
      </c>
      <c r="H76" s="317" t="s">
        <v>4978</v>
      </c>
      <c r="I76" s="317" t="s">
        <v>4951</v>
      </c>
      <c r="J76" s="317" t="s">
        <v>4853</v>
      </c>
      <c r="K76" s="320" t="s">
        <v>4979</v>
      </c>
      <c r="L76" s="387" t="s">
        <v>535</v>
      </c>
      <c r="M76" s="387" t="s">
        <v>5192</v>
      </c>
      <c r="N76" s="401"/>
      <c r="O76" s="321">
        <v>52</v>
      </c>
    </row>
    <row r="77" spans="2:15" ht="69.900000000000006" customHeight="1" x14ac:dyDescent="0.25">
      <c r="B77" s="321">
        <v>67</v>
      </c>
      <c r="C77" s="321">
        <v>4</v>
      </c>
      <c r="D77" s="317" t="s">
        <v>4956</v>
      </c>
      <c r="E77" s="356" t="s">
        <v>4952</v>
      </c>
      <c r="F77" s="318">
        <v>5900000</v>
      </c>
      <c r="G77" s="365" t="s">
        <v>4853</v>
      </c>
      <c r="H77" s="317" t="s">
        <v>4968</v>
      </c>
      <c r="I77" s="317" t="s">
        <v>4951</v>
      </c>
      <c r="J77" s="317" t="s">
        <v>4853</v>
      </c>
      <c r="K77" s="320" t="s">
        <v>4969</v>
      </c>
      <c r="L77" s="387" t="s">
        <v>542</v>
      </c>
      <c r="M77" s="387" t="s">
        <v>5159</v>
      </c>
      <c r="N77" s="401"/>
      <c r="O77" s="321">
        <v>52</v>
      </c>
    </row>
    <row r="78" spans="2:15" ht="69.900000000000006" customHeight="1" x14ac:dyDescent="0.25">
      <c r="B78" s="321">
        <v>68</v>
      </c>
      <c r="C78" s="321">
        <v>4</v>
      </c>
      <c r="D78" s="317" t="s">
        <v>4958</v>
      </c>
      <c r="E78" s="356" t="s">
        <v>4952</v>
      </c>
      <c r="F78" s="318">
        <v>6330000</v>
      </c>
      <c r="G78" s="365" t="s">
        <v>4853</v>
      </c>
      <c r="H78" s="317" t="s">
        <v>4972</v>
      </c>
      <c r="I78" s="317" t="s">
        <v>4951</v>
      </c>
      <c r="J78" s="317" t="s">
        <v>4853</v>
      </c>
      <c r="K78" s="320" t="s">
        <v>4973</v>
      </c>
      <c r="L78" s="387" t="s">
        <v>542</v>
      </c>
      <c r="M78" s="387" t="s">
        <v>5159</v>
      </c>
      <c r="N78" s="401"/>
      <c r="O78" s="321">
        <v>52</v>
      </c>
    </row>
    <row r="79" spans="2:15" ht="69.900000000000006" customHeight="1" x14ac:dyDescent="0.25">
      <c r="B79" s="321">
        <v>69</v>
      </c>
      <c r="C79" s="321">
        <v>4</v>
      </c>
      <c r="D79" s="317" t="s">
        <v>4959</v>
      </c>
      <c r="E79" s="356" t="s">
        <v>4952</v>
      </c>
      <c r="F79" s="318">
        <v>75325796</v>
      </c>
      <c r="G79" s="366" t="s">
        <v>4641</v>
      </c>
      <c r="H79" s="317" t="s">
        <v>4974</v>
      </c>
      <c r="I79" s="317" t="s">
        <v>4951</v>
      </c>
      <c r="J79" s="317" t="s">
        <v>4853</v>
      </c>
      <c r="K79" s="320" t="s">
        <v>4975</v>
      </c>
      <c r="L79" s="387"/>
      <c r="M79" s="387"/>
      <c r="N79" s="401"/>
      <c r="O79" s="321">
        <v>52</v>
      </c>
    </row>
    <row r="80" spans="2:15" ht="69.900000000000006" customHeight="1" x14ac:dyDescent="0.25">
      <c r="B80" s="321">
        <v>70</v>
      </c>
      <c r="C80" s="321">
        <v>4</v>
      </c>
      <c r="D80" s="317" t="s">
        <v>4977</v>
      </c>
      <c r="E80" s="356" t="s">
        <v>4952</v>
      </c>
      <c r="F80" s="318">
        <v>19929200</v>
      </c>
      <c r="G80" s="366" t="s">
        <v>4641</v>
      </c>
      <c r="H80" s="317" t="s">
        <v>4980</v>
      </c>
      <c r="I80" s="317" t="s">
        <v>4951</v>
      </c>
      <c r="J80" s="317" t="s">
        <v>4853</v>
      </c>
      <c r="K80" s="320" t="s">
        <v>4981</v>
      </c>
      <c r="L80" s="387"/>
      <c r="M80" s="387"/>
      <c r="N80" s="401"/>
      <c r="O80" s="321">
        <v>52</v>
      </c>
    </row>
    <row r="81" spans="2:15" ht="69.900000000000006" customHeight="1" x14ac:dyDescent="0.25">
      <c r="B81" s="321">
        <v>71</v>
      </c>
      <c r="C81" s="321">
        <v>4</v>
      </c>
      <c r="D81" s="317" t="s">
        <v>5147</v>
      </c>
      <c r="E81" s="356" t="s">
        <v>5117</v>
      </c>
      <c r="F81" s="352">
        <v>63640000</v>
      </c>
      <c r="G81" s="364" t="s">
        <v>5148</v>
      </c>
      <c r="H81" s="317" t="s">
        <v>5149</v>
      </c>
      <c r="I81" s="317" t="s">
        <v>4986</v>
      </c>
      <c r="J81" s="317" t="s">
        <v>4867</v>
      </c>
      <c r="K81" s="320" t="s">
        <v>5150</v>
      </c>
      <c r="L81" s="387" t="s">
        <v>576</v>
      </c>
      <c r="M81" s="387" t="s">
        <v>5158</v>
      </c>
      <c r="N81" s="401" t="s">
        <v>5350</v>
      </c>
      <c r="O81" s="321">
        <v>52</v>
      </c>
    </row>
    <row r="82" spans="2:15" ht="69.900000000000006" customHeight="1" x14ac:dyDescent="0.25">
      <c r="B82" s="321">
        <v>72</v>
      </c>
      <c r="C82" s="321">
        <v>4</v>
      </c>
      <c r="D82" s="317" t="s">
        <v>5115</v>
      </c>
      <c r="E82" s="356" t="s">
        <v>5096</v>
      </c>
      <c r="F82" s="318">
        <v>14352838</v>
      </c>
      <c r="G82" s="365" t="s">
        <v>4853</v>
      </c>
      <c r="H82" s="317" t="s">
        <v>5116</v>
      </c>
      <c r="I82" s="317" t="s">
        <v>5117</v>
      </c>
      <c r="J82" s="317" t="s">
        <v>4853</v>
      </c>
      <c r="K82" s="320" t="s">
        <v>5118</v>
      </c>
      <c r="L82" s="387" t="s">
        <v>576</v>
      </c>
      <c r="M82" s="387" t="s">
        <v>5158</v>
      </c>
      <c r="N82" s="401"/>
      <c r="O82" s="321">
        <v>52</v>
      </c>
    </row>
    <row r="83" spans="2:15" ht="69.900000000000006" customHeight="1" x14ac:dyDescent="0.25">
      <c r="B83" s="321">
        <v>73</v>
      </c>
      <c r="C83" s="321">
        <v>4</v>
      </c>
      <c r="D83" s="317" t="s">
        <v>5119</v>
      </c>
      <c r="E83" s="356" t="s">
        <v>5096</v>
      </c>
      <c r="F83" s="318">
        <v>3712700</v>
      </c>
      <c r="G83" s="365" t="s">
        <v>4853</v>
      </c>
      <c r="H83" s="317" t="s">
        <v>5120</v>
      </c>
      <c r="I83" s="317" t="s">
        <v>5098</v>
      </c>
      <c r="J83" s="317" t="s">
        <v>4853</v>
      </c>
      <c r="K83" s="320" t="s">
        <v>5121</v>
      </c>
      <c r="L83" s="387" t="s">
        <v>576</v>
      </c>
      <c r="M83" s="387" t="s">
        <v>5158</v>
      </c>
      <c r="N83" s="401"/>
      <c r="O83" s="321">
        <v>52</v>
      </c>
    </row>
    <row r="84" spans="2:15" ht="69.900000000000006" customHeight="1" x14ac:dyDescent="0.25">
      <c r="B84" s="321">
        <v>74</v>
      </c>
      <c r="C84" s="321">
        <v>4</v>
      </c>
      <c r="D84" s="317" t="s">
        <v>5103</v>
      </c>
      <c r="E84" s="356" t="s">
        <v>5096</v>
      </c>
      <c r="F84" s="318">
        <v>205000</v>
      </c>
      <c r="G84" s="365" t="s">
        <v>4853</v>
      </c>
      <c r="H84" s="317" t="s">
        <v>5104</v>
      </c>
      <c r="I84" s="317" t="s">
        <v>5098</v>
      </c>
      <c r="J84" s="317" t="s">
        <v>4853</v>
      </c>
      <c r="K84" s="320" t="s">
        <v>5105</v>
      </c>
      <c r="L84" s="387" t="s">
        <v>542</v>
      </c>
      <c r="M84" s="387" t="s">
        <v>5159</v>
      </c>
      <c r="N84" s="401"/>
      <c r="O84" s="321">
        <v>52</v>
      </c>
    </row>
    <row r="85" spans="2:15" ht="69.900000000000006" customHeight="1" x14ac:dyDescent="0.25">
      <c r="B85" s="321">
        <v>75</v>
      </c>
      <c r="C85" s="321">
        <v>4</v>
      </c>
      <c r="D85" s="317" t="s">
        <v>5100</v>
      </c>
      <c r="E85" s="356" t="s">
        <v>5096</v>
      </c>
      <c r="F85" s="318">
        <v>524500</v>
      </c>
      <c r="G85" s="365" t="s">
        <v>4853</v>
      </c>
      <c r="H85" s="317" t="s">
        <v>5101</v>
      </c>
      <c r="I85" s="317" t="s">
        <v>5098</v>
      </c>
      <c r="J85" s="317" t="s">
        <v>4853</v>
      </c>
      <c r="K85" s="320" t="s">
        <v>5102</v>
      </c>
      <c r="L85" s="387" t="s">
        <v>542</v>
      </c>
      <c r="M85" s="387" t="s">
        <v>5196</v>
      </c>
      <c r="N85" s="401"/>
      <c r="O85" s="321">
        <v>52</v>
      </c>
    </row>
    <row r="86" spans="2:15" ht="69.900000000000006" customHeight="1" x14ac:dyDescent="0.25">
      <c r="B86" s="321">
        <v>76</v>
      </c>
      <c r="C86" s="321">
        <v>4</v>
      </c>
      <c r="D86" s="317" t="s">
        <v>5095</v>
      </c>
      <c r="E86" s="356" t="s">
        <v>5096</v>
      </c>
      <c r="F86" s="318">
        <v>1790000</v>
      </c>
      <c r="G86" s="365" t="s">
        <v>4853</v>
      </c>
      <c r="H86" s="317" t="s">
        <v>5097</v>
      </c>
      <c r="I86" s="317" t="s">
        <v>5098</v>
      </c>
      <c r="J86" s="317" t="s">
        <v>4853</v>
      </c>
      <c r="K86" s="320" t="s">
        <v>5099</v>
      </c>
      <c r="L86" s="387" t="s">
        <v>542</v>
      </c>
      <c r="M86" s="387" t="s">
        <v>5196</v>
      </c>
      <c r="N86" s="401"/>
      <c r="O86" s="321">
        <v>52</v>
      </c>
    </row>
    <row r="87" spans="2:15" ht="69.900000000000006" customHeight="1" x14ac:dyDescent="0.25">
      <c r="B87" s="321">
        <v>77</v>
      </c>
      <c r="C87" s="321">
        <v>4</v>
      </c>
      <c r="D87" s="317" t="s">
        <v>5106</v>
      </c>
      <c r="E87" s="356" t="s">
        <v>5096</v>
      </c>
      <c r="F87" s="318">
        <v>1000000</v>
      </c>
      <c r="G87" s="365" t="s">
        <v>4853</v>
      </c>
      <c r="H87" s="317" t="s">
        <v>5107</v>
      </c>
      <c r="I87" s="317" t="s">
        <v>5098</v>
      </c>
      <c r="J87" s="317" t="s">
        <v>4853</v>
      </c>
      <c r="K87" s="320" t="s">
        <v>5108</v>
      </c>
      <c r="L87" s="387" t="s">
        <v>531</v>
      </c>
      <c r="M87" s="387" t="s">
        <v>5193</v>
      </c>
      <c r="N87" s="401"/>
      <c r="O87" s="321">
        <v>52</v>
      </c>
    </row>
    <row r="88" spans="2:15" ht="69.900000000000006" customHeight="1" x14ac:dyDescent="0.25">
      <c r="B88" s="321">
        <v>78</v>
      </c>
      <c r="C88" s="321">
        <v>5</v>
      </c>
      <c r="D88" s="317" t="s">
        <v>5006</v>
      </c>
      <c r="E88" s="356" t="s">
        <v>5007</v>
      </c>
      <c r="F88" s="318">
        <v>210863345</v>
      </c>
      <c r="G88" s="369" t="s">
        <v>5008</v>
      </c>
      <c r="H88" s="351" t="s">
        <v>5009</v>
      </c>
      <c r="I88" s="317" t="s">
        <v>4924</v>
      </c>
      <c r="J88" s="317" t="s">
        <v>4867</v>
      </c>
      <c r="K88" s="320" t="s">
        <v>5010</v>
      </c>
      <c r="L88" s="387" t="s">
        <v>576</v>
      </c>
      <c r="M88" s="387" t="s">
        <v>5160</v>
      </c>
      <c r="N88" s="401" t="s">
        <v>5349</v>
      </c>
      <c r="O88" s="321">
        <v>51</v>
      </c>
    </row>
    <row r="89" spans="2:15" ht="69.900000000000006" customHeight="1" x14ac:dyDescent="0.25">
      <c r="B89" s="321">
        <v>79</v>
      </c>
      <c r="C89" s="321">
        <v>5</v>
      </c>
      <c r="D89" s="317" t="s">
        <v>5155</v>
      </c>
      <c r="E89" s="356" t="s">
        <v>5154</v>
      </c>
      <c r="F89" s="318">
        <v>236089382</v>
      </c>
      <c r="G89" s="369" t="s">
        <v>4853</v>
      </c>
      <c r="H89" s="381" t="s">
        <v>5156</v>
      </c>
      <c r="I89" s="317" t="s">
        <v>5123</v>
      </c>
      <c r="J89" s="317" t="s">
        <v>4853</v>
      </c>
      <c r="K89" s="320" t="s">
        <v>5157</v>
      </c>
      <c r="L89" s="387" t="s">
        <v>576</v>
      </c>
      <c r="M89" s="387" t="s">
        <v>5160</v>
      </c>
      <c r="N89" s="401" t="s">
        <v>5349</v>
      </c>
      <c r="O89" s="321">
        <v>51</v>
      </c>
    </row>
    <row r="90" spans="2:15" ht="69.900000000000006" customHeight="1" x14ac:dyDescent="0.25">
      <c r="B90" s="321">
        <v>80</v>
      </c>
      <c r="C90" s="321">
        <v>5</v>
      </c>
      <c r="D90" s="317" t="s">
        <v>5178</v>
      </c>
      <c r="E90" s="356" t="s">
        <v>5179</v>
      </c>
      <c r="F90" s="318">
        <v>26312000</v>
      </c>
      <c r="G90" s="369" t="s">
        <v>5024</v>
      </c>
      <c r="H90" s="351" t="s">
        <v>5180</v>
      </c>
      <c r="I90" s="317" t="s">
        <v>5179</v>
      </c>
      <c r="J90" s="317" t="s">
        <v>4853</v>
      </c>
      <c r="K90" s="320" t="s">
        <v>5181</v>
      </c>
      <c r="L90" s="387" t="s">
        <v>576</v>
      </c>
      <c r="M90" s="387" t="s">
        <v>5160</v>
      </c>
      <c r="N90" s="401" t="s">
        <v>5349</v>
      </c>
      <c r="O90" s="321">
        <v>51</v>
      </c>
    </row>
    <row r="91" spans="2:15" ht="69.900000000000006" customHeight="1" x14ac:dyDescent="0.25">
      <c r="B91" s="321">
        <v>81</v>
      </c>
      <c r="C91" s="321">
        <v>5</v>
      </c>
      <c r="D91" s="317" t="s">
        <v>5182</v>
      </c>
      <c r="E91" s="356" t="s">
        <v>5183</v>
      </c>
      <c r="F91" s="318">
        <v>4745975</v>
      </c>
      <c r="G91" s="369" t="s">
        <v>4853</v>
      </c>
      <c r="H91" s="317" t="s">
        <v>5184</v>
      </c>
      <c r="I91" s="317" t="s">
        <v>5185</v>
      </c>
      <c r="J91" s="317" t="s">
        <v>4853</v>
      </c>
      <c r="K91" s="320" t="s">
        <v>5186</v>
      </c>
      <c r="L91" s="387" t="s">
        <v>576</v>
      </c>
      <c r="M91" s="387" t="s">
        <v>5160</v>
      </c>
      <c r="N91" s="401" t="s">
        <v>5349</v>
      </c>
      <c r="O91" s="321">
        <v>51</v>
      </c>
    </row>
    <row r="92" spans="2:15" ht="69.900000000000006" customHeight="1" x14ac:dyDescent="0.25">
      <c r="B92" s="321">
        <v>82</v>
      </c>
      <c r="C92" s="321">
        <v>5</v>
      </c>
      <c r="D92" s="317" t="s">
        <v>5187</v>
      </c>
      <c r="E92" s="356" t="s">
        <v>5183</v>
      </c>
      <c r="F92" s="318">
        <v>221543</v>
      </c>
      <c r="G92" s="369" t="s">
        <v>5036</v>
      </c>
      <c r="H92" s="317" t="s">
        <v>5188</v>
      </c>
      <c r="I92" s="317" t="s">
        <v>5185</v>
      </c>
      <c r="J92" s="317" t="s">
        <v>4853</v>
      </c>
      <c r="K92" s="320" t="s">
        <v>5189</v>
      </c>
      <c r="L92" s="387" t="s">
        <v>576</v>
      </c>
      <c r="M92" s="387" t="s">
        <v>5160</v>
      </c>
      <c r="N92" s="401" t="s">
        <v>5349</v>
      </c>
      <c r="O92" s="321">
        <v>51</v>
      </c>
    </row>
    <row r="93" spans="2:15" ht="69.900000000000006" customHeight="1" x14ac:dyDescent="0.25">
      <c r="B93" s="321">
        <v>83</v>
      </c>
      <c r="C93" s="321">
        <v>5</v>
      </c>
      <c r="D93" s="317" t="s">
        <v>5221</v>
      </c>
      <c r="E93" s="356" t="s">
        <v>5200</v>
      </c>
      <c r="F93" s="318">
        <v>2372988</v>
      </c>
      <c r="G93" s="369" t="s">
        <v>5012</v>
      </c>
      <c r="H93" s="317" t="s">
        <v>5222</v>
      </c>
      <c r="I93" s="317" t="s">
        <v>5202</v>
      </c>
      <c r="J93" s="317" t="s">
        <v>4853</v>
      </c>
      <c r="K93" s="320" t="s">
        <v>5018</v>
      </c>
      <c r="L93" s="377" t="s">
        <v>576</v>
      </c>
      <c r="M93" s="377" t="s">
        <v>5160</v>
      </c>
      <c r="N93" s="401" t="s">
        <v>5349</v>
      </c>
      <c r="O93" s="321">
        <v>51</v>
      </c>
    </row>
    <row r="94" spans="2:15" ht="69.900000000000006" customHeight="1" x14ac:dyDescent="0.25">
      <c r="B94" s="321">
        <v>84</v>
      </c>
      <c r="C94" s="321">
        <v>5</v>
      </c>
      <c r="D94" s="317" t="s">
        <v>5144</v>
      </c>
      <c r="E94" s="356" t="s">
        <v>5007</v>
      </c>
      <c r="F94" s="352">
        <v>63640000</v>
      </c>
      <c r="G94" s="364" t="s">
        <v>4864</v>
      </c>
      <c r="H94" s="317" t="s">
        <v>5145</v>
      </c>
      <c r="I94" s="317" t="s">
        <v>4986</v>
      </c>
      <c r="J94" s="317" t="s">
        <v>4867</v>
      </c>
      <c r="K94" s="320" t="s">
        <v>5146</v>
      </c>
      <c r="L94" s="387" t="s">
        <v>576</v>
      </c>
      <c r="M94" s="387" t="s">
        <v>5158</v>
      </c>
      <c r="N94" s="401" t="s">
        <v>5350</v>
      </c>
      <c r="O94" s="321">
        <v>52</v>
      </c>
    </row>
    <row r="95" spans="2:15" ht="69.900000000000006" customHeight="1" x14ac:dyDescent="0.25">
      <c r="B95" s="321">
        <v>85</v>
      </c>
      <c r="C95" s="321">
        <v>5</v>
      </c>
      <c r="D95" s="317" t="s">
        <v>5122</v>
      </c>
      <c r="E95" s="356" t="s">
        <v>5123</v>
      </c>
      <c r="F95" s="318">
        <v>540000000</v>
      </c>
      <c r="G95" s="397" t="s">
        <v>5124</v>
      </c>
      <c r="H95" s="317" t="s">
        <v>5125</v>
      </c>
      <c r="I95" s="317" t="s">
        <v>5126</v>
      </c>
      <c r="J95" s="317" t="s">
        <v>4853</v>
      </c>
      <c r="K95" s="320" t="s">
        <v>5127</v>
      </c>
      <c r="L95" s="387" t="s">
        <v>576</v>
      </c>
      <c r="M95" s="387" t="s">
        <v>5158</v>
      </c>
      <c r="N95" s="401" t="s">
        <v>5351</v>
      </c>
      <c r="O95" s="321">
        <v>53</v>
      </c>
    </row>
    <row r="96" spans="2:15" ht="69.900000000000006" customHeight="1" x14ac:dyDescent="0.25">
      <c r="B96" s="321">
        <v>86</v>
      </c>
      <c r="C96" s="321">
        <v>5</v>
      </c>
      <c r="D96" s="317" t="s">
        <v>5128</v>
      </c>
      <c r="E96" s="356" t="s">
        <v>5126</v>
      </c>
      <c r="F96" s="318">
        <v>900500</v>
      </c>
      <c r="G96" s="365" t="s">
        <v>4853</v>
      </c>
      <c r="H96" s="317" t="s">
        <v>5129</v>
      </c>
      <c r="I96" s="317" t="s">
        <v>5130</v>
      </c>
      <c r="J96" s="317" t="s">
        <v>4853</v>
      </c>
      <c r="K96" s="320" t="s">
        <v>5131</v>
      </c>
      <c r="L96" s="387" t="s">
        <v>542</v>
      </c>
      <c r="M96" s="387" t="s">
        <v>5159</v>
      </c>
      <c r="N96" s="401"/>
      <c r="O96" s="321">
        <v>52</v>
      </c>
    </row>
    <row r="97" spans="2:15" ht="69.900000000000006" customHeight="1" x14ac:dyDescent="0.25">
      <c r="B97" s="321">
        <v>87</v>
      </c>
      <c r="C97" s="321">
        <v>5</v>
      </c>
      <c r="D97" s="317" t="s">
        <v>5135</v>
      </c>
      <c r="E97" s="356" t="s">
        <v>5126</v>
      </c>
      <c r="F97" s="318">
        <v>3600000</v>
      </c>
      <c r="G97" s="365" t="s">
        <v>4853</v>
      </c>
      <c r="H97" s="317" t="s">
        <v>5136</v>
      </c>
      <c r="I97" s="317" t="s">
        <v>5130</v>
      </c>
      <c r="J97" s="317" t="s">
        <v>4853</v>
      </c>
      <c r="K97" s="320" t="s">
        <v>5137</v>
      </c>
      <c r="L97" s="387" t="s">
        <v>542</v>
      </c>
      <c r="M97" s="387" t="s">
        <v>5159</v>
      </c>
      <c r="N97" s="401"/>
      <c r="O97" s="321">
        <v>52</v>
      </c>
    </row>
    <row r="98" spans="2:15" ht="69.900000000000006" customHeight="1" x14ac:dyDescent="0.25">
      <c r="B98" s="321">
        <v>88</v>
      </c>
      <c r="C98" s="321">
        <v>5</v>
      </c>
      <c r="D98" s="317" t="s">
        <v>5138</v>
      </c>
      <c r="E98" s="356" t="s">
        <v>5126</v>
      </c>
      <c r="F98" s="318">
        <v>10960600</v>
      </c>
      <c r="G98" s="365" t="s">
        <v>4853</v>
      </c>
      <c r="H98" s="317" t="s">
        <v>5139</v>
      </c>
      <c r="I98" s="317" t="s">
        <v>5130</v>
      </c>
      <c r="J98" s="317" t="s">
        <v>4853</v>
      </c>
      <c r="K98" s="320" t="s">
        <v>5140</v>
      </c>
      <c r="L98" s="387" t="s">
        <v>542</v>
      </c>
      <c r="M98" s="387" t="s">
        <v>5159</v>
      </c>
      <c r="N98" s="401"/>
      <c r="O98" s="321">
        <v>52</v>
      </c>
    </row>
    <row r="99" spans="2:15" ht="69.900000000000006" customHeight="1" x14ac:dyDescent="0.25">
      <c r="B99" s="321">
        <v>89</v>
      </c>
      <c r="C99" s="321">
        <v>5</v>
      </c>
      <c r="D99" s="317" t="s">
        <v>5141</v>
      </c>
      <c r="E99" s="356" t="s">
        <v>5126</v>
      </c>
      <c r="F99" s="318">
        <v>930000</v>
      </c>
      <c r="G99" s="365" t="s">
        <v>4853</v>
      </c>
      <c r="H99" s="317" t="s">
        <v>5142</v>
      </c>
      <c r="I99" s="317" t="s">
        <v>5130</v>
      </c>
      <c r="J99" s="317" t="s">
        <v>4853</v>
      </c>
      <c r="K99" s="320" t="s">
        <v>5143</v>
      </c>
      <c r="L99" s="387" t="s">
        <v>535</v>
      </c>
      <c r="M99" s="387" t="s">
        <v>5192</v>
      </c>
      <c r="N99" s="401"/>
      <c r="O99" s="321">
        <v>52</v>
      </c>
    </row>
    <row r="100" spans="2:15" ht="69.900000000000006" customHeight="1" x14ac:dyDescent="0.25">
      <c r="B100" s="321">
        <v>90</v>
      </c>
      <c r="C100" s="321">
        <v>5</v>
      </c>
      <c r="D100" s="317" t="s">
        <v>5132</v>
      </c>
      <c r="E100" s="356" t="s">
        <v>5126</v>
      </c>
      <c r="F100" s="318">
        <v>872000</v>
      </c>
      <c r="G100" s="365" t="s">
        <v>4853</v>
      </c>
      <c r="H100" s="317" t="s">
        <v>5133</v>
      </c>
      <c r="I100" s="317" t="s">
        <v>5130</v>
      </c>
      <c r="J100" s="317" t="s">
        <v>4853</v>
      </c>
      <c r="K100" s="320" t="s">
        <v>5134</v>
      </c>
      <c r="L100" s="387" t="s">
        <v>531</v>
      </c>
      <c r="M100" s="387" t="s">
        <v>5193</v>
      </c>
      <c r="N100" s="401"/>
      <c r="O100" s="321">
        <v>52</v>
      </c>
    </row>
    <row r="101" spans="2:15" ht="69.900000000000006" customHeight="1" x14ac:dyDescent="0.25">
      <c r="B101" s="321">
        <v>91</v>
      </c>
      <c r="C101" s="321">
        <v>5</v>
      </c>
      <c r="D101" s="319" t="s">
        <v>5175</v>
      </c>
      <c r="E101" s="399" t="s">
        <v>5169</v>
      </c>
      <c r="F101" s="363">
        <v>114200000</v>
      </c>
      <c r="G101" s="397" t="s">
        <v>5124</v>
      </c>
      <c r="H101" s="319" t="s">
        <v>5176</v>
      </c>
      <c r="I101" s="319" t="s">
        <v>5154</v>
      </c>
      <c r="J101" s="319" t="s">
        <v>4853</v>
      </c>
      <c r="K101" s="320" t="s">
        <v>5177</v>
      </c>
      <c r="L101" s="387" t="s">
        <v>576</v>
      </c>
      <c r="M101" s="387" t="s">
        <v>5158</v>
      </c>
      <c r="N101" s="401" t="s">
        <v>5351</v>
      </c>
      <c r="O101" s="321">
        <v>53</v>
      </c>
    </row>
    <row r="102" spans="2:15" ht="69.900000000000006" customHeight="1" x14ac:dyDescent="0.25">
      <c r="B102" s="321">
        <v>92</v>
      </c>
      <c r="C102" s="321">
        <v>5</v>
      </c>
      <c r="D102" s="319" t="s">
        <v>5168</v>
      </c>
      <c r="E102" s="399" t="s">
        <v>5169</v>
      </c>
      <c r="F102" s="363">
        <v>93939616</v>
      </c>
      <c r="G102" s="366" t="s">
        <v>4641</v>
      </c>
      <c r="H102" s="319" t="s">
        <v>5170</v>
      </c>
      <c r="I102" s="319" t="s">
        <v>5171</v>
      </c>
      <c r="J102" s="319" t="s">
        <v>4853</v>
      </c>
      <c r="K102" s="320" t="s">
        <v>5172</v>
      </c>
      <c r="L102" s="387"/>
      <c r="M102" s="387"/>
      <c r="N102" s="401"/>
      <c r="O102" s="321">
        <v>52</v>
      </c>
    </row>
    <row r="103" spans="2:15" ht="69.900000000000006" customHeight="1" x14ac:dyDescent="0.25">
      <c r="B103" s="321">
        <v>93</v>
      </c>
      <c r="C103" s="321">
        <v>5</v>
      </c>
      <c r="D103" s="319" t="s">
        <v>5173</v>
      </c>
      <c r="E103" s="399" t="s">
        <v>5169</v>
      </c>
      <c r="F103" s="363">
        <v>1500000</v>
      </c>
      <c r="G103" s="366" t="s">
        <v>4641</v>
      </c>
      <c r="H103" s="319" t="s">
        <v>5174</v>
      </c>
      <c r="I103" s="319" t="s">
        <v>5171</v>
      </c>
      <c r="J103" s="319" t="s">
        <v>4853</v>
      </c>
      <c r="K103" s="320" t="s">
        <v>5172</v>
      </c>
      <c r="L103" s="387"/>
      <c r="M103" s="387"/>
      <c r="N103" s="401"/>
      <c r="O103" s="321">
        <v>52</v>
      </c>
    </row>
    <row r="104" spans="2:15" ht="69.900000000000006" customHeight="1" x14ac:dyDescent="0.25">
      <c r="B104" s="321">
        <v>94</v>
      </c>
      <c r="C104" s="321">
        <v>5</v>
      </c>
      <c r="D104" s="317" t="s">
        <v>5215</v>
      </c>
      <c r="E104" s="356" t="s">
        <v>5200</v>
      </c>
      <c r="F104" s="318">
        <v>448000</v>
      </c>
      <c r="G104" s="365" t="s">
        <v>4853</v>
      </c>
      <c r="H104" s="317" t="s">
        <v>5216</v>
      </c>
      <c r="I104" s="317" t="s">
        <v>5202</v>
      </c>
      <c r="J104" s="317" t="s">
        <v>4853</v>
      </c>
      <c r="K104" s="320" t="s">
        <v>5217</v>
      </c>
      <c r="L104" s="377" t="s">
        <v>542</v>
      </c>
      <c r="M104" s="377" t="s">
        <v>5159</v>
      </c>
      <c r="N104" s="401"/>
      <c r="O104" s="321">
        <v>52</v>
      </c>
    </row>
    <row r="105" spans="2:15" ht="69.900000000000006" customHeight="1" x14ac:dyDescent="0.25">
      <c r="B105" s="321">
        <v>95</v>
      </c>
      <c r="C105" s="321">
        <v>5</v>
      </c>
      <c r="D105" s="317" t="s">
        <v>5228</v>
      </c>
      <c r="E105" s="356" t="s">
        <v>5200</v>
      </c>
      <c r="F105" s="318">
        <v>1040000</v>
      </c>
      <c r="G105" s="365" t="s">
        <v>4853</v>
      </c>
      <c r="H105" s="317" t="s">
        <v>5229</v>
      </c>
      <c r="I105" s="317" t="s">
        <v>5202</v>
      </c>
      <c r="J105" s="317" t="s">
        <v>4853</v>
      </c>
      <c r="K105" s="320" t="s">
        <v>5230</v>
      </c>
      <c r="L105" s="377" t="s">
        <v>531</v>
      </c>
      <c r="M105" s="377" t="s">
        <v>5194</v>
      </c>
      <c r="N105" s="401"/>
      <c r="O105" s="321">
        <v>52</v>
      </c>
    </row>
    <row r="106" spans="2:15" ht="69.900000000000006" customHeight="1" x14ac:dyDescent="0.25">
      <c r="B106" s="321">
        <v>96</v>
      </c>
      <c r="C106" s="321">
        <v>5</v>
      </c>
      <c r="D106" s="317" t="s">
        <v>5212</v>
      </c>
      <c r="E106" s="356" t="s">
        <v>5200</v>
      </c>
      <c r="F106" s="318">
        <v>14922000</v>
      </c>
      <c r="G106" s="365" t="s">
        <v>4853</v>
      </c>
      <c r="H106" s="317" t="s">
        <v>5213</v>
      </c>
      <c r="I106" s="317" t="s">
        <v>5202</v>
      </c>
      <c r="J106" s="317" t="s">
        <v>4853</v>
      </c>
      <c r="K106" s="320" t="s">
        <v>5214</v>
      </c>
      <c r="L106" s="377" t="s">
        <v>531</v>
      </c>
      <c r="M106" s="377" t="s">
        <v>5193</v>
      </c>
      <c r="N106" s="401"/>
      <c r="O106" s="321">
        <v>52</v>
      </c>
    </row>
    <row r="107" spans="2:15" ht="69.900000000000006" customHeight="1" x14ac:dyDescent="0.25">
      <c r="B107" s="321">
        <v>97</v>
      </c>
      <c r="C107" s="321">
        <v>5</v>
      </c>
      <c r="D107" s="317" t="s">
        <v>5218</v>
      </c>
      <c r="E107" s="356" t="s">
        <v>5200</v>
      </c>
      <c r="F107" s="318">
        <v>3184000</v>
      </c>
      <c r="G107" s="365" t="s">
        <v>4853</v>
      </c>
      <c r="H107" s="317" t="s">
        <v>5219</v>
      </c>
      <c r="I107" s="317" t="s">
        <v>5202</v>
      </c>
      <c r="J107" s="317" t="s">
        <v>4853</v>
      </c>
      <c r="K107" s="320" t="s">
        <v>5220</v>
      </c>
      <c r="L107" s="377" t="s">
        <v>542</v>
      </c>
      <c r="M107" s="377" t="s">
        <v>5159</v>
      </c>
      <c r="N107" s="401"/>
      <c r="O107" s="321">
        <v>52</v>
      </c>
    </row>
    <row r="108" spans="2:15" ht="69.900000000000006" customHeight="1" x14ac:dyDescent="0.25">
      <c r="B108" s="321">
        <v>98</v>
      </c>
      <c r="C108" s="321">
        <v>5</v>
      </c>
      <c r="D108" s="317" t="s">
        <v>5223</v>
      </c>
      <c r="E108" s="356" t="s">
        <v>5200</v>
      </c>
      <c r="F108" s="318">
        <v>3620000</v>
      </c>
      <c r="G108" s="365" t="s">
        <v>4853</v>
      </c>
      <c r="H108" s="317" t="s">
        <v>5224</v>
      </c>
      <c r="I108" s="317" t="s">
        <v>5202</v>
      </c>
      <c r="J108" s="317" t="s">
        <v>4853</v>
      </c>
      <c r="K108" s="320" t="s">
        <v>5225</v>
      </c>
      <c r="L108" s="377" t="s">
        <v>531</v>
      </c>
      <c r="M108" s="377" t="s">
        <v>5193</v>
      </c>
      <c r="N108" s="401"/>
      <c r="O108" s="321">
        <v>52</v>
      </c>
    </row>
    <row r="109" spans="2:15" ht="69.900000000000006" customHeight="1" x14ac:dyDescent="0.25">
      <c r="B109" s="321">
        <v>99</v>
      </c>
      <c r="C109" s="321">
        <v>5</v>
      </c>
      <c r="D109" s="317" t="s">
        <v>5209</v>
      </c>
      <c r="E109" s="356" t="s">
        <v>5200</v>
      </c>
      <c r="F109" s="318">
        <v>1250000</v>
      </c>
      <c r="G109" s="365" t="s">
        <v>4853</v>
      </c>
      <c r="H109" s="317" t="s">
        <v>5210</v>
      </c>
      <c r="I109" s="317" t="s">
        <v>5202</v>
      </c>
      <c r="J109" s="317" t="s">
        <v>4853</v>
      </c>
      <c r="K109" s="320" t="s">
        <v>5211</v>
      </c>
      <c r="L109" s="377" t="s">
        <v>531</v>
      </c>
      <c r="M109" s="377" t="s">
        <v>5194</v>
      </c>
      <c r="N109" s="401"/>
      <c r="O109" s="321">
        <v>52</v>
      </c>
    </row>
    <row r="110" spans="2:15" ht="69.900000000000006" customHeight="1" x14ac:dyDescent="0.25">
      <c r="B110" s="321">
        <v>100</v>
      </c>
      <c r="C110" s="321">
        <v>5</v>
      </c>
      <c r="D110" s="317" t="s">
        <v>5226</v>
      </c>
      <c r="E110" s="356" t="s">
        <v>5200</v>
      </c>
      <c r="F110" s="318">
        <v>74895594</v>
      </c>
      <c r="G110" s="366" t="s">
        <v>4641</v>
      </c>
      <c r="H110" s="317" t="s">
        <v>5227</v>
      </c>
      <c r="I110" s="317" t="s">
        <v>5202</v>
      </c>
      <c r="J110" s="317" t="s">
        <v>4853</v>
      </c>
      <c r="K110" s="320" t="s">
        <v>5206</v>
      </c>
      <c r="L110" s="377"/>
      <c r="M110" s="377"/>
      <c r="N110" s="401"/>
      <c r="O110" s="321">
        <v>52</v>
      </c>
    </row>
    <row r="111" spans="2:15" ht="69.900000000000006" customHeight="1" x14ac:dyDescent="0.25">
      <c r="B111" s="321">
        <v>101</v>
      </c>
      <c r="C111" s="321">
        <v>5</v>
      </c>
      <c r="D111" s="317" t="s">
        <v>5204</v>
      </c>
      <c r="E111" s="356" t="s">
        <v>5200</v>
      </c>
      <c r="F111" s="318">
        <v>10182883</v>
      </c>
      <c r="G111" s="366" t="s">
        <v>4641</v>
      </c>
      <c r="H111" s="317" t="s">
        <v>5205</v>
      </c>
      <c r="I111" s="317" t="s">
        <v>5202</v>
      </c>
      <c r="J111" s="317" t="s">
        <v>4853</v>
      </c>
      <c r="K111" s="320" t="s">
        <v>5206</v>
      </c>
      <c r="L111" s="377"/>
      <c r="M111" s="377"/>
      <c r="N111" s="401"/>
      <c r="O111" s="321">
        <v>52</v>
      </c>
    </row>
    <row r="112" spans="2:15" ht="69.900000000000006" customHeight="1" x14ac:dyDescent="0.25">
      <c r="B112" s="321">
        <v>102</v>
      </c>
      <c r="C112" s="321">
        <v>5</v>
      </c>
      <c r="D112" s="317" t="s">
        <v>5207</v>
      </c>
      <c r="E112" s="356" t="s">
        <v>5200</v>
      </c>
      <c r="F112" s="318">
        <v>8760100</v>
      </c>
      <c r="G112" s="366" t="s">
        <v>4641</v>
      </c>
      <c r="H112" s="317" t="s">
        <v>5208</v>
      </c>
      <c r="I112" s="317" t="s">
        <v>5202</v>
      </c>
      <c r="J112" s="317" t="s">
        <v>4853</v>
      </c>
      <c r="K112" s="320" t="s">
        <v>5206</v>
      </c>
      <c r="L112" s="377"/>
      <c r="M112" s="377"/>
      <c r="N112" s="401"/>
      <c r="O112" s="321">
        <v>52</v>
      </c>
    </row>
    <row r="113" spans="2:15" ht="69.900000000000006" customHeight="1" x14ac:dyDescent="0.25">
      <c r="B113" s="321">
        <v>103</v>
      </c>
      <c r="C113" s="321">
        <v>5</v>
      </c>
      <c r="D113" s="317" t="s">
        <v>5199</v>
      </c>
      <c r="E113" s="356" t="s">
        <v>5200</v>
      </c>
      <c r="F113" s="318">
        <v>312088731</v>
      </c>
      <c r="G113" s="367" t="s">
        <v>4877</v>
      </c>
      <c r="H113" s="317" t="s">
        <v>5201</v>
      </c>
      <c r="I113" s="317" t="s">
        <v>5202</v>
      </c>
      <c r="J113" s="317" t="s">
        <v>4880</v>
      </c>
      <c r="K113" s="320" t="s">
        <v>5203</v>
      </c>
      <c r="L113" s="377"/>
      <c r="M113" s="377"/>
      <c r="N113" s="401"/>
      <c r="O113" s="321">
        <v>52</v>
      </c>
    </row>
    <row r="114" spans="2:15" ht="69.900000000000006" customHeight="1" x14ac:dyDescent="0.25">
      <c r="B114" s="321">
        <v>107</v>
      </c>
      <c r="C114" s="321">
        <v>6</v>
      </c>
      <c r="D114" s="317" t="s">
        <v>5245</v>
      </c>
      <c r="E114" s="356" t="s">
        <v>5247</v>
      </c>
      <c r="F114" s="318">
        <v>11850000</v>
      </c>
      <c r="G114" s="384" t="s">
        <v>4853</v>
      </c>
      <c r="H114" s="319" t="s">
        <v>5248</v>
      </c>
      <c r="I114" s="317" t="s">
        <v>5246</v>
      </c>
      <c r="J114" s="317" t="s">
        <v>4853</v>
      </c>
      <c r="K114" s="320" t="s">
        <v>5249</v>
      </c>
      <c r="L114" s="377" t="s">
        <v>542</v>
      </c>
      <c r="M114" s="377" t="s">
        <v>5159</v>
      </c>
      <c r="N114" s="401" t="s">
        <v>5348</v>
      </c>
      <c r="O114" s="321">
        <v>52</v>
      </c>
    </row>
    <row r="115" spans="2:15" ht="69.900000000000006" customHeight="1" x14ac:dyDescent="0.25">
      <c r="B115" s="321">
        <v>108</v>
      </c>
      <c r="C115" s="321">
        <v>6</v>
      </c>
      <c r="D115" s="317" t="s">
        <v>5265</v>
      </c>
      <c r="E115" s="356" t="s">
        <v>5247</v>
      </c>
      <c r="F115" s="318">
        <v>8750000</v>
      </c>
      <c r="G115" s="384" t="s">
        <v>5124</v>
      </c>
      <c r="H115" s="319" t="s">
        <v>5266</v>
      </c>
      <c r="I115" s="317" t="s">
        <v>5246</v>
      </c>
      <c r="J115" s="317" t="s">
        <v>4853</v>
      </c>
      <c r="K115" s="320" t="s">
        <v>5267</v>
      </c>
      <c r="L115" s="377" t="s">
        <v>542</v>
      </c>
      <c r="M115" s="377" t="s">
        <v>5159</v>
      </c>
      <c r="N115" s="401" t="s">
        <v>5348</v>
      </c>
      <c r="O115" s="321">
        <v>52</v>
      </c>
    </row>
    <row r="116" spans="2:15" ht="69.900000000000006" customHeight="1" x14ac:dyDescent="0.25">
      <c r="B116" s="321">
        <v>109</v>
      </c>
      <c r="C116" s="321">
        <v>6</v>
      </c>
      <c r="D116" s="317" t="s">
        <v>5262</v>
      </c>
      <c r="E116" s="356" t="s">
        <v>5247</v>
      </c>
      <c r="F116" s="318">
        <v>136000000</v>
      </c>
      <c r="G116" s="384" t="s">
        <v>5124</v>
      </c>
      <c r="H116" s="319" t="s">
        <v>5263</v>
      </c>
      <c r="I116" s="317" t="s">
        <v>5246</v>
      </c>
      <c r="J116" s="317" t="s">
        <v>4853</v>
      </c>
      <c r="K116" s="320" t="s">
        <v>5264</v>
      </c>
      <c r="L116" s="377" t="s">
        <v>542</v>
      </c>
      <c r="M116" s="377" t="s">
        <v>5159</v>
      </c>
      <c r="N116" s="401" t="s">
        <v>5348</v>
      </c>
      <c r="O116" s="321">
        <v>52</v>
      </c>
    </row>
    <row r="117" spans="2:15" ht="69.900000000000006" customHeight="1" x14ac:dyDescent="0.25">
      <c r="B117" s="321">
        <v>110</v>
      </c>
      <c r="C117" s="321">
        <v>6</v>
      </c>
      <c r="D117" s="317" t="s">
        <v>5277</v>
      </c>
      <c r="E117" s="356" t="s">
        <v>5247</v>
      </c>
      <c r="F117" s="318">
        <v>202275000</v>
      </c>
      <c r="G117" s="384" t="s">
        <v>5124</v>
      </c>
      <c r="H117" s="319" t="s">
        <v>5278</v>
      </c>
      <c r="I117" s="317" t="s">
        <v>5246</v>
      </c>
      <c r="J117" s="317" t="s">
        <v>4853</v>
      </c>
      <c r="K117" s="320" t="s">
        <v>5279</v>
      </c>
      <c r="L117" s="377" t="s">
        <v>542</v>
      </c>
      <c r="M117" s="377" t="s">
        <v>5159</v>
      </c>
      <c r="N117" s="401" t="s">
        <v>5348</v>
      </c>
      <c r="O117" s="321">
        <v>52</v>
      </c>
    </row>
    <row r="118" spans="2:15" ht="69.900000000000006" customHeight="1" x14ac:dyDescent="0.25">
      <c r="B118" s="321">
        <v>111</v>
      </c>
      <c r="C118" s="321">
        <v>6</v>
      </c>
      <c r="D118" s="317" t="s">
        <v>5250</v>
      </c>
      <c r="E118" s="356" t="s">
        <v>5247</v>
      </c>
      <c r="F118" s="318">
        <v>32800000</v>
      </c>
      <c r="G118" s="384" t="s">
        <v>5124</v>
      </c>
      <c r="H118" s="319" t="s">
        <v>5251</v>
      </c>
      <c r="I118" s="317" t="s">
        <v>5246</v>
      </c>
      <c r="J118" s="317" t="s">
        <v>4853</v>
      </c>
      <c r="K118" s="320" t="s">
        <v>5252</v>
      </c>
      <c r="L118" s="377" t="s">
        <v>542</v>
      </c>
      <c r="M118" s="377" t="s">
        <v>5159</v>
      </c>
      <c r="N118" s="401" t="s">
        <v>5348</v>
      </c>
      <c r="O118" s="321">
        <v>52</v>
      </c>
    </row>
    <row r="119" spans="2:15" ht="69.900000000000006" customHeight="1" x14ac:dyDescent="0.25">
      <c r="B119" s="321">
        <v>112</v>
      </c>
      <c r="C119" s="321">
        <v>6</v>
      </c>
      <c r="D119" s="317" t="s">
        <v>5268</v>
      </c>
      <c r="E119" s="356" t="s">
        <v>5247</v>
      </c>
      <c r="F119" s="318">
        <v>39150000</v>
      </c>
      <c r="G119" s="384" t="s">
        <v>5124</v>
      </c>
      <c r="H119" s="319" t="s">
        <v>5269</v>
      </c>
      <c r="I119" s="317" t="s">
        <v>5246</v>
      </c>
      <c r="J119" s="317" t="s">
        <v>4853</v>
      </c>
      <c r="K119" s="320" t="s">
        <v>5270</v>
      </c>
      <c r="L119" s="377" t="s">
        <v>542</v>
      </c>
      <c r="M119" s="377" t="s">
        <v>5159</v>
      </c>
      <c r="N119" s="401" t="s">
        <v>5348</v>
      </c>
      <c r="O119" s="321">
        <v>52</v>
      </c>
    </row>
    <row r="120" spans="2:15" ht="69.900000000000006" customHeight="1" x14ac:dyDescent="0.25">
      <c r="B120" s="321">
        <v>113</v>
      </c>
      <c r="C120" s="321">
        <v>6</v>
      </c>
      <c r="D120" s="351" t="s">
        <v>5283</v>
      </c>
      <c r="E120" s="357" t="s">
        <v>5284</v>
      </c>
      <c r="F120" s="352">
        <v>180000000</v>
      </c>
      <c r="G120" s="389" t="s">
        <v>4853</v>
      </c>
      <c r="H120" s="351" t="s">
        <v>5285</v>
      </c>
      <c r="I120" s="351" t="s">
        <v>5247</v>
      </c>
      <c r="J120" s="351" t="s">
        <v>4853</v>
      </c>
      <c r="K120" s="353" t="s">
        <v>5286</v>
      </c>
      <c r="L120" s="377" t="s">
        <v>542</v>
      </c>
      <c r="M120" s="377" t="s">
        <v>5159</v>
      </c>
      <c r="N120" s="401" t="s">
        <v>5348</v>
      </c>
      <c r="O120" s="321">
        <v>52</v>
      </c>
    </row>
    <row r="121" spans="2:15" ht="69.900000000000006" customHeight="1" x14ac:dyDescent="0.25">
      <c r="B121" s="321">
        <v>114</v>
      </c>
      <c r="C121" s="321">
        <v>6</v>
      </c>
      <c r="D121" s="351" t="s">
        <v>5305</v>
      </c>
      <c r="E121" s="357" t="s">
        <v>5284</v>
      </c>
      <c r="F121" s="352">
        <v>30000000</v>
      </c>
      <c r="G121" s="384" t="s">
        <v>4853</v>
      </c>
      <c r="H121" s="351" t="s">
        <v>5306</v>
      </c>
      <c r="I121" s="351" t="s">
        <v>5247</v>
      </c>
      <c r="J121" s="351" t="s">
        <v>4853</v>
      </c>
      <c r="K121" s="353" t="s">
        <v>5307</v>
      </c>
      <c r="L121" s="377" t="s">
        <v>542</v>
      </c>
      <c r="M121" s="377" t="s">
        <v>5159</v>
      </c>
      <c r="N121" s="401" t="s">
        <v>5348</v>
      </c>
      <c r="O121" s="321">
        <v>52</v>
      </c>
    </row>
    <row r="122" spans="2:15" ht="69.900000000000006" customHeight="1" x14ac:dyDescent="0.25">
      <c r="B122" s="321">
        <v>115</v>
      </c>
      <c r="C122" s="321">
        <v>6</v>
      </c>
      <c r="D122" s="317" t="s">
        <v>5314</v>
      </c>
      <c r="E122" s="356" t="s">
        <v>5315</v>
      </c>
      <c r="F122" s="318">
        <v>6750000</v>
      </c>
      <c r="G122" s="384" t="s">
        <v>5124</v>
      </c>
      <c r="H122" s="317" t="s">
        <v>5316</v>
      </c>
      <c r="I122" s="317" t="s">
        <v>5247</v>
      </c>
      <c r="J122" s="317" t="s">
        <v>4853</v>
      </c>
      <c r="K122" s="353" t="s">
        <v>5317</v>
      </c>
      <c r="L122" s="377" t="s">
        <v>542</v>
      </c>
      <c r="M122" s="377" t="s">
        <v>5159</v>
      </c>
      <c r="N122" s="401" t="s">
        <v>5348</v>
      </c>
      <c r="O122" s="321">
        <v>52</v>
      </c>
    </row>
    <row r="123" spans="2:15" ht="69.900000000000006" customHeight="1" x14ac:dyDescent="0.25">
      <c r="B123" s="321">
        <v>116</v>
      </c>
      <c r="C123" s="321">
        <v>6</v>
      </c>
      <c r="D123" s="317" t="s">
        <v>5318</v>
      </c>
      <c r="E123" s="356" t="s">
        <v>5315</v>
      </c>
      <c r="F123" s="318">
        <v>14000000</v>
      </c>
      <c r="G123" s="384" t="s">
        <v>5124</v>
      </c>
      <c r="H123" s="317" t="s">
        <v>5319</v>
      </c>
      <c r="I123" s="317" t="s">
        <v>5247</v>
      </c>
      <c r="J123" s="317" t="s">
        <v>4853</v>
      </c>
      <c r="K123" s="353" t="s">
        <v>5320</v>
      </c>
      <c r="L123" s="377" t="s">
        <v>542</v>
      </c>
      <c r="M123" s="377" t="s">
        <v>5159</v>
      </c>
      <c r="N123" s="401" t="s">
        <v>5348</v>
      </c>
      <c r="O123" s="321">
        <v>52</v>
      </c>
    </row>
    <row r="124" spans="2:15" ht="69.900000000000006" customHeight="1" x14ac:dyDescent="0.25">
      <c r="B124" s="321">
        <v>117</v>
      </c>
      <c r="C124" s="321">
        <v>6</v>
      </c>
      <c r="D124" s="317" t="s">
        <v>5330</v>
      </c>
      <c r="E124" s="356" t="s">
        <v>5315</v>
      </c>
      <c r="F124" s="318">
        <v>185225000</v>
      </c>
      <c r="G124" s="384" t="s">
        <v>5124</v>
      </c>
      <c r="H124" s="317" t="s">
        <v>5331</v>
      </c>
      <c r="I124" s="317" t="s">
        <v>5247</v>
      </c>
      <c r="J124" s="317" t="s">
        <v>4853</v>
      </c>
      <c r="K124" s="353" t="s">
        <v>5332</v>
      </c>
      <c r="L124" s="377" t="s">
        <v>542</v>
      </c>
      <c r="M124" s="377" t="s">
        <v>5159</v>
      </c>
      <c r="N124" s="401" t="s">
        <v>5348</v>
      </c>
      <c r="O124" s="321">
        <v>52</v>
      </c>
    </row>
    <row r="125" spans="2:15" ht="69.900000000000006" customHeight="1" x14ac:dyDescent="0.25">
      <c r="B125" s="321">
        <v>118</v>
      </c>
      <c r="C125" s="321">
        <v>6</v>
      </c>
      <c r="D125" s="317" t="s">
        <v>5324</v>
      </c>
      <c r="E125" s="356" t="s">
        <v>5315</v>
      </c>
      <c r="F125" s="318">
        <v>436225000</v>
      </c>
      <c r="G125" s="384" t="s">
        <v>5124</v>
      </c>
      <c r="H125" s="317" t="s">
        <v>5325</v>
      </c>
      <c r="I125" s="317" t="s">
        <v>5247</v>
      </c>
      <c r="J125" s="317" t="s">
        <v>4853</v>
      </c>
      <c r="K125" s="353" t="s">
        <v>5326</v>
      </c>
      <c r="L125" s="377" t="s">
        <v>542</v>
      </c>
      <c r="M125" s="377" t="s">
        <v>5159</v>
      </c>
      <c r="N125" s="401" t="s">
        <v>5348</v>
      </c>
      <c r="O125" s="321">
        <v>52</v>
      </c>
    </row>
    <row r="126" spans="2:15" ht="69.900000000000006" customHeight="1" x14ac:dyDescent="0.25">
      <c r="B126" s="321">
        <v>119</v>
      </c>
      <c r="C126" s="321">
        <v>6</v>
      </c>
      <c r="D126" s="317" t="s">
        <v>5345</v>
      </c>
      <c r="E126" s="356" t="s">
        <v>5315</v>
      </c>
      <c r="F126" s="318">
        <v>9000000</v>
      </c>
      <c r="G126" s="384" t="s">
        <v>5124</v>
      </c>
      <c r="H126" s="317" t="s">
        <v>5346</v>
      </c>
      <c r="I126" s="317" t="s">
        <v>5284</v>
      </c>
      <c r="J126" s="317" t="s">
        <v>4853</v>
      </c>
      <c r="K126" s="353" t="s">
        <v>5347</v>
      </c>
      <c r="L126" s="377" t="s">
        <v>542</v>
      </c>
      <c r="M126" s="377" t="s">
        <v>5159</v>
      </c>
      <c r="N126" s="401" t="s">
        <v>5348</v>
      </c>
      <c r="O126" s="321">
        <v>52</v>
      </c>
    </row>
    <row r="127" spans="2:15" ht="69.900000000000006" customHeight="1" x14ac:dyDescent="0.25">
      <c r="B127" s="321">
        <v>120</v>
      </c>
      <c r="C127" s="321">
        <v>6</v>
      </c>
      <c r="D127" s="317" t="s">
        <v>5336</v>
      </c>
      <c r="E127" s="356" t="s">
        <v>5315</v>
      </c>
      <c r="F127" s="318">
        <v>36000000</v>
      </c>
      <c r="G127" s="384" t="s">
        <v>5124</v>
      </c>
      <c r="H127" s="317" t="s">
        <v>5337</v>
      </c>
      <c r="I127" s="317" t="s">
        <v>5284</v>
      </c>
      <c r="J127" s="317" t="s">
        <v>4853</v>
      </c>
      <c r="K127" s="353" t="s">
        <v>5338</v>
      </c>
      <c r="L127" s="377" t="s">
        <v>542</v>
      </c>
      <c r="M127" s="377" t="s">
        <v>5159</v>
      </c>
      <c r="N127" s="401" t="s">
        <v>5348</v>
      </c>
      <c r="O127" s="321">
        <v>52</v>
      </c>
    </row>
    <row r="128" spans="2:15" ht="69.900000000000006" customHeight="1" x14ac:dyDescent="0.25">
      <c r="B128" s="321">
        <v>121</v>
      </c>
      <c r="C128" s="321">
        <v>6</v>
      </c>
      <c r="D128" s="317" t="s">
        <v>5333</v>
      </c>
      <c r="E128" s="356" t="s">
        <v>5315</v>
      </c>
      <c r="F128" s="318">
        <v>46500000</v>
      </c>
      <c r="G128" s="384" t="s">
        <v>5124</v>
      </c>
      <c r="H128" s="317" t="s">
        <v>5334</v>
      </c>
      <c r="I128" s="317" t="s">
        <v>5284</v>
      </c>
      <c r="J128" s="317" t="s">
        <v>4853</v>
      </c>
      <c r="K128" s="353" t="s">
        <v>5335</v>
      </c>
      <c r="L128" s="377" t="s">
        <v>542</v>
      </c>
      <c r="M128" s="377" t="s">
        <v>5159</v>
      </c>
      <c r="N128" s="401" t="s">
        <v>5348</v>
      </c>
      <c r="O128" s="321">
        <v>52</v>
      </c>
    </row>
    <row r="129" spans="2:15" ht="69.900000000000006" customHeight="1" x14ac:dyDescent="0.25">
      <c r="B129" s="321">
        <v>122</v>
      </c>
      <c r="C129" s="321">
        <v>6</v>
      </c>
      <c r="D129" s="317" t="s">
        <v>5327</v>
      </c>
      <c r="E129" s="356" t="s">
        <v>5315</v>
      </c>
      <c r="F129" s="318">
        <v>10000000</v>
      </c>
      <c r="G129" s="384" t="s">
        <v>5124</v>
      </c>
      <c r="H129" s="317" t="s">
        <v>5328</v>
      </c>
      <c r="I129" s="317" t="s">
        <v>5284</v>
      </c>
      <c r="J129" s="317" t="s">
        <v>4853</v>
      </c>
      <c r="K129" s="353" t="s">
        <v>5329</v>
      </c>
      <c r="L129" s="377" t="s">
        <v>542</v>
      </c>
      <c r="M129" s="377" t="s">
        <v>5159</v>
      </c>
      <c r="N129" s="401" t="s">
        <v>5348</v>
      </c>
      <c r="O129" s="321">
        <v>52</v>
      </c>
    </row>
    <row r="130" spans="2:15" ht="69.900000000000006" customHeight="1" x14ac:dyDescent="0.25">
      <c r="B130" s="321">
        <v>123</v>
      </c>
      <c r="C130" s="321">
        <v>6</v>
      </c>
      <c r="D130" s="317" t="s">
        <v>5342</v>
      </c>
      <c r="E130" s="356" t="s">
        <v>5315</v>
      </c>
      <c r="F130" s="318">
        <v>15500000</v>
      </c>
      <c r="G130" s="384" t="s">
        <v>5124</v>
      </c>
      <c r="H130" s="317" t="s">
        <v>5343</v>
      </c>
      <c r="I130" s="317" t="s">
        <v>5284</v>
      </c>
      <c r="J130" s="317" t="s">
        <v>4853</v>
      </c>
      <c r="K130" s="353" t="s">
        <v>5344</v>
      </c>
      <c r="L130" s="377" t="s">
        <v>542</v>
      </c>
      <c r="M130" s="377" t="s">
        <v>5159</v>
      </c>
      <c r="N130" s="401" t="s">
        <v>5348</v>
      </c>
      <c r="O130" s="321">
        <v>52</v>
      </c>
    </row>
    <row r="131" spans="2:15" ht="69.900000000000006" customHeight="1" x14ac:dyDescent="0.25">
      <c r="B131" s="321">
        <v>124</v>
      </c>
      <c r="C131" s="321">
        <v>6</v>
      </c>
      <c r="D131" s="317" t="s">
        <v>5321</v>
      </c>
      <c r="E131" s="356" t="s">
        <v>5315</v>
      </c>
      <c r="F131" s="318">
        <v>25000000</v>
      </c>
      <c r="G131" s="384" t="s">
        <v>5124</v>
      </c>
      <c r="H131" s="317" t="s">
        <v>5322</v>
      </c>
      <c r="I131" s="317" t="s">
        <v>5284</v>
      </c>
      <c r="J131" s="317" t="s">
        <v>4853</v>
      </c>
      <c r="K131" s="353" t="s">
        <v>5323</v>
      </c>
      <c r="L131" s="377" t="s">
        <v>542</v>
      </c>
      <c r="M131" s="377" t="s">
        <v>5159</v>
      </c>
      <c r="N131" s="401" t="s">
        <v>5348</v>
      </c>
      <c r="O131" s="321">
        <v>52</v>
      </c>
    </row>
    <row r="132" spans="2:15" ht="69.900000000000006" customHeight="1" x14ac:dyDescent="0.25">
      <c r="B132" s="321">
        <v>125</v>
      </c>
      <c r="C132" s="321">
        <v>6</v>
      </c>
      <c r="D132" s="317" t="s">
        <v>5358</v>
      </c>
      <c r="E132" s="356" t="s">
        <v>5355</v>
      </c>
      <c r="F132" s="318">
        <v>30000000</v>
      </c>
      <c r="G132" s="384" t="s">
        <v>4853</v>
      </c>
      <c r="H132" s="317" t="s">
        <v>5359</v>
      </c>
      <c r="I132" s="317" t="s">
        <v>5247</v>
      </c>
      <c r="J132" s="317" t="s">
        <v>4853</v>
      </c>
      <c r="K132" s="320" t="s">
        <v>5360</v>
      </c>
      <c r="L132" s="377" t="s">
        <v>542</v>
      </c>
      <c r="M132" s="377" t="s">
        <v>5159</v>
      </c>
      <c r="N132" s="401" t="s">
        <v>5348</v>
      </c>
      <c r="O132" s="321">
        <v>52</v>
      </c>
    </row>
    <row r="133" spans="2:15" ht="69.900000000000006" customHeight="1" x14ac:dyDescent="0.25">
      <c r="B133" s="321">
        <v>126</v>
      </c>
      <c r="C133" s="321">
        <v>6</v>
      </c>
      <c r="D133" s="317" t="s">
        <v>5363</v>
      </c>
      <c r="E133" s="356" t="s">
        <v>5355</v>
      </c>
      <c r="F133" s="318">
        <v>55500000</v>
      </c>
      <c r="G133" s="384" t="s">
        <v>5124</v>
      </c>
      <c r="H133" s="317" t="s">
        <v>5364</v>
      </c>
      <c r="I133" s="317" t="s">
        <v>5247</v>
      </c>
      <c r="J133" s="317" t="s">
        <v>4853</v>
      </c>
      <c r="K133" s="320" t="s">
        <v>5365</v>
      </c>
      <c r="L133" s="377" t="s">
        <v>542</v>
      </c>
      <c r="M133" s="377" t="s">
        <v>5159</v>
      </c>
      <c r="N133" s="401" t="s">
        <v>5348</v>
      </c>
      <c r="O133" s="321">
        <v>52</v>
      </c>
    </row>
    <row r="134" spans="2:15" ht="69.900000000000006" customHeight="1" x14ac:dyDescent="0.25">
      <c r="B134" s="321">
        <v>127</v>
      </c>
      <c r="C134" s="321">
        <v>6</v>
      </c>
      <c r="D134" s="317" t="s">
        <v>5366</v>
      </c>
      <c r="E134" s="356" t="s">
        <v>5355</v>
      </c>
      <c r="F134" s="318">
        <v>152000000</v>
      </c>
      <c r="G134" s="384" t="s">
        <v>5124</v>
      </c>
      <c r="H134" s="317" t="s">
        <v>5367</v>
      </c>
      <c r="I134" s="317" t="s">
        <v>5247</v>
      </c>
      <c r="J134" s="317" t="s">
        <v>4853</v>
      </c>
      <c r="K134" s="320" t="s">
        <v>5368</v>
      </c>
      <c r="L134" s="377" t="s">
        <v>542</v>
      </c>
      <c r="M134" s="377" t="s">
        <v>5159</v>
      </c>
      <c r="N134" s="401" t="s">
        <v>5348</v>
      </c>
      <c r="O134" s="321">
        <v>52</v>
      </c>
    </row>
    <row r="135" spans="2:15" ht="69.900000000000006" customHeight="1" x14ac:dyDescent="0.25">
      <c r="B135" s="321">
        <v>128</v>
      </c>
      <c r="C135" s="321">
        <v>6</v>
      </c>
      <c r="D135" s="317" t="s">
        <v>5369</v>
      </c>
      <c r="E135" s="356" t="s">
        <v>5355</v>
      </c>
      <c r="F135" s="318">
        <v>16250000</v>
      </c>
      <c r="G135" s="384" t="s">
        <v>5124</v>
      </c>
      <c r="H135" s="317" t="s">
        <v>5370</v>
      </c>
      <c r="I135" s="317" t="s">
        <v>5247</v>
      </c>
      <c r="J135" s="317" t="s">
        <v>4853</v>
      </c>
      <c r="K135" s="320" t="s">
        <v>5371</v>
      </c>
      <c r="L135" s="377" t="s">
        <v>542</v>
      </c>
      <c r="M135" s="377" t="s">
        <v>5159</v>
      </c>
      <c r="N135" s="401" t="s">
        <v>5348</v>
      </c>
      <c r="O135" s="321">
        <v>52</v>
      </c>
    </row>
    <row r="136" spans="2:15" ht="69.900000000000006" customHeight="1" x14ac:dyDescent="0.25">
      <c r="B136" s="321">
        <v>104</v>
      </c>
      <c r="C136" s="321">
        <v>6</v>
      </c>
      <c r="D136" s="317" t="s">
        <v>5235</v>
      </c>
      <c r="E136" s="356" t="s">
        <v>5236</v>
      </c>
      <c r="F136" s="352">
        <v>210863345</v>
      </c>
      <c r="G136" s="369" t="s">
        <v>5008</v>
      </c>
      <c r="H136" s="398" t="s">
        <v>5237</v>
      </c>
      <c r="I136" s="317" t="s">
        <v>5171</v>
      </c>
      <c r="J136" s="317" t="s">
        <v>4867</v>
      </c>
      <c r="K136" s="320" t="s">
        <v>5238</v>
      </c>
      <c r="L136" s="377" t="s">
        <v>576</v>
      </c>
      <c r="M136" s="377" t="s">
        <v>5160</v>
      </c>
      <c r="N136" s="401" t="s">
        <v>5349</v>
      </c>
      <c r="O136" s="321">
        <v>51</v>
      </c>
    </row>
    <row r="137" spans="2:15" ht="69.900000000000006" customHeight="1" x14ac:dyDescent="0.25">
      <c r="B137" s="321">
        <v>105</v>
      </c>
      <c r="C137" s="321">
        <v>6</v>
      </c>
      <c r="D137" s="317" t="s">
        <v>5239</v>
      </c>
      <c r="E137" s="356" t="s">
        <v>5236</v>
      </c>
      <c r="F137" s="352">
        <v>4697567</v>
      </c>
      <c r="G137" s="369" t="s">
        <v>5008</v>
      </c>
      <c r="H137" s="398" t="s">
        <v>5240</v>
      </c>
      <c r="I137" s="317" t="s">
        <v>5171</v>
      </c>
      <c r="J137" s="317" t="s">
        <v>4867</v>
      </c>
      <c r="K137" s="320" t="s">
        <v>5241</v>
      </c>
      <c r="L137" s="377" t="s">
        <v>576</v>
      </c>
      <c r="M137" s="377" t="s">
        <v>5160</v>
      </c>
      <c r="N137" s="401" t="s">
        <v>5349</v>
      </c>
      <c r="O137" s="321">
        <v>51</v>
      </c>
    </row>
    <row r="138" spans="2:15" ht="69.900000000000006" customHeight="1" x14ac:dyDescent="0.25">
      <c r="B138" s="321">
        <v>106</v>
      </c>
      <c r="C138" s="321">
        <v>6</v>
      </c>
      <c r="D138" s="317" t="s">
        <v>5354</v>
      </c>
      <c r="E138" s="356" t="s">
        <v>5355</v>
      </c>
      <c r="F138" s="318">
        <v>241668914</v>
      </c>
      <c r="G138" s="369" t="s">
        <v>4853</v>
      </c>
      <c r="H138" s="317" t="s">
        <v>5356</v>
      </c>
      <c r="I138" s="317" t="s">
        <v>5315</v>
      </c>
      <c r="J138" s="317" t="s">
        <v>4853</v>
      </c>
      <c r="K138" s="320" t="s">
        <v>5357</v>
      </c>
      <c r="L138" s="377" t="s">
        <v>576</v>
      </c>
      <c r="M138" s="377" t="s">
        <v>5160</v>
      </c>
      <c r="N138" s="400" t="s">
        <v>5349</v>
      </c>
      <c r="O138" s="321">
        <v>51</v>
      </c>
    </row>
    <row r="139" spans="2:15" ht="69.900000000000006" customHeight="1" x14ac:dyDescent="0.25">
      <c r="B139" s="321">
        <v>129</v>
      </c>
      <c r="C139" s="321">
        <v>6</v>
      </c>
      <c r="D139" s="317" t="s">
        <v>5242</v>
      </c>
      <c r="E139" s="356" t="s">
        <v>5236</v>
      </c>
      <c r="F139" s="352">
        <v>63640000</v>
      </c>
      <c r="G139" s="364" t="s">
        <v>4864</v>
      </c>
      <c r="H139" s="398" t="s">
        <v>5243</v>
      </c>
      <c r="I139" s="317" t="s">
        <v>5185</v>
      </c>
      <c r="J139" s="317" t="s">
        <v>4867</v>
      </c>
      <c r="K139" s="320" t="s">
        <v>5244</v>
      </c>
      <c r="L139" s="377" t="s">
        <v>576</v>
      </c>
      <c r="M139" s="377" t="s">
        <v>5158</v>
      </c>
      <c r="N139" s="401" t="s">
        <v>5350</v>
      </c>
      <c r="O139" s="321">
        <v>52</v>
      </c>
    </row>
    <row r="140" spans="2:15" ht="69.900000000000006" customHeight="1" x14ac:dyDescent="0.25">
      <c r="B140" s="321">
        <v>130</v>
      </c>
      <c r="C140" s="321">
        <v>6</v>
      </c>
      <c r="D140" s="317" t="s">
        <v>5280</v>
      </c>
      <c r="E140" s="356" t="s">
        <v>5247</v>
      </c>
      <c r="F140" s="318">
        <v>3000000</v>
      </c>
      <c r="G140" s="385" t="s">
        <v>4853</v>
      </c>
      <c r="H140" s="319" t="s">
        <v>5281</v>
      </c>
      <c r="I140" s="317" t="s">
        <v>5202</v>
      </c>
      <c r="J140" s="317" t="s">
        <v>4853</v>
      </c>
      <c r="K140" s="320" t="s">
        <v>5282</v>
      </c>
      <c r="L140" s="388" t="s">
        <v>531</v>
      </c>
      <c r="M140" s="388" t="s">
        <v>5193</v>
      </c>
      <c r="N140" s="401"/>
      <c r="O140" s="321">
        <v>52</v>
      </c>
    </row>
    <row r="141" spans="2:15" ht="69.900000000000006" customHeight="1" x14ac:dyDescent="0.25">
      <c r="B141" s="321">
        <v>131</v>
      </c>
      <c r="C141" s="321">
        <v>6</v>
      </c>
      <c r="D141" s="351" t="s">
        <v>5299</v>
      </c>
      <c r="E141" s="357" t="s">
        <v>5284</v>
      </c>
      <c r="F141" s="352">
        <v>6450000</v>
      </c>
      <c r="G141" s="385" t="s">
        <v>4853</v>
      </c>
      <c r="H141" s="351" t="s">
        <v>5300</v>
      </c>
      <c r="I141" s="351" t="s">
        <v>5247</v>
      </c>
      <c r="J141" s="351" t="s">
        <v>4853</v>
      </c>
      <c r="K141" s="353" t="s">
        <v>5301</v>
      </c>
      <c r="L141" s="377" t="s">
        <v>542</v>
      </c>
      <c r="M141" s="377" t="s">
        <v>5159</v>
      </c>
      <c r="N141" s="401"/>
      <c r="O141" s="321">
        <v>52</v>
      </c>
    </row>
    <row r="142" spans="2:15" ht="69.900000000000006" customHeight="1" x14ac:dyDescent="0.25">
      <c r="B142" s="321">
        <v>132</v>
      </c>
      <c r="C142" s="321">
        <v>6</v>
      </c>
      <c r="D142" s="317" t="s">
        <v>5271</v>
      </c>
      <c r="E142" s="356" t="s">
        <v>5247</v>
      </c>
      <c r="F142" s="318">
        <v>11343740</v>
      </c>
      <c r="G142" s="385" t="s">
        <v>4853</v>
      </c>
      <c r="H142" s="319" t="s">
        <v>5272</v>
      </c>
      <c r="I142" s="317" t="s">
        <v>5246</v>
      </c>
      <c r="J142" s="317" t="s">
        <v>4853</v>
      </c>
      <c r="K142" s="320" t="s">
        <v>5273</v>
      </c>
      <c r="L142" s="377" t="s">
        <v>535</v>
      </c>
      <c r="M142" s="377" t="s">
        <v>5195</v>
      </c>
      <c r="N142" s="401"/>
      <c r="O142" s="321">
        <v>52</v>
      </c>
    </row>
    <row r="143" spans="2:15" ht="69.900000000000006" customHeight="1" x14ac:dyDescent="0.25">
      <c r="B143" s="321">
        <v>133</v>
      </c>
      <c r="C143" s="321">
        <v>6</v>
      </c>
      <c r="D143" s="317" t="s">
        <v>5256</v>
      </c>
      <c r="E143" s="356" t="s">
        <v>5247</v>
      </c>
      <c r="F143" s="318">
        <v>2118000</v>
      </c>
      <c r="G143" s="385" t="s">
        <v>4853</v>
      </c>
      <c r="H143" s="319" t="s">
        <v>5257</v>
      </c>
      <c r="I143" s="317" t="s">
        <v>5246</v>
      </c>
      <c r="J143" s="317" t="s">
        <v>4853</v>
      </c>
      <c r="K143" s="320" t="s">
        <v>5258</v>
      </c>
      <c r="L143" s="377" t="s">
        <v>542</v>
      </c>
      <c r="M143" s="377" t="s">
        <v>5196</v>
      </c>
      <c r="N143" s="401"/>
      <c r="O143" s="321">
        <v>52</v>
      </c>
    </row>
    <row r="144" spans="2:15" ht="69.900000000000006" customHeight="1" x14ac:dyDescent="0.25">
      <c r="B144" s="321">
        <v>134</v>
      </c>
      <c r="C144" s="321">
        <v>6</v>
      </c>
      <c r="D144" s="317" t="s">
        <v>5274</v>
      </c>
      <c r="E144" s="356" t="s">
        <v>5247</v>
      </c>
      <c r="F144" s="318">
        <v>11404870</v>
      </c>
      <c r="G144" s="385" t="s">
        <v>4853</v>
      </c>
      <c r="H144" s="319" t="s">
        <v>5275</v>
      </c>
      <c r="I144" s="317" t="s">
        <v>5246</v>
      </c>
      <c r="J144" s="317" t="s">
        <v>4853</v>
      </c>
      <c r="K144" s="320" t="s">
        <v>5276</v>
      </c>
      <c r="L144" s="377" t="s">
        <v>535</v>
      </c>
      <c r="M144" s="377" t="s">
        <v>5195</v>
      </c>
      <c r="N144" s="401"/>
      <c r="O144" s="321">
        <v>52</v>
      </c>
    </row>
    <row r="145" spans="2:15" ht="69.900000000000006" customHeight="1" x14ac:dyDescent="0.25">
      <c r="B145" s="321">
        <v>135</v>
      </c>
      <c r="C145" s="321">
        <v>6</v>
      </c>
      <c r="D145" s="317" t="s">
        <v>5259</v>
      </c>
      <c r="E145" s="356" t="s">
        <v>5247</v>
      </c>
      <c r="F145" s="318">
        <v>7200000</v>
      </c>
      <c r="G145" s="385" t="s">
        <v>4853</v>
      </c>
      <c r="H145" s="319" t="s">
        <v>5260</v>
      </c>
      <c r="I145" s="317" t="s">
        <v>5246</v>
      </c>
      <c r="J145" s="317" t="s">
        <v>4853</v>
      </c>
      <c r="K145" s="320" t="s">
        <v>5261</v>
      </c>
      <c r="L145" s="377" t="s">
        <v>535</v>
      </c>
      <c r="M145" s="377" t="s">
        <v>5192</v>
      </c>
      <c r="N145" s="401"/>
      <c r="O145" s="321">
        <v>52</v>
      </c>
    </row>
    <row r="146" spans="2:15" ht="69.900000000000006" customHeight="1" x14ac:dyDescent="0.25">
      <c r="B146" s="321">
        <v>136</v>
      </c>
      <c r="C146" s="321">
        <v>6</v>
      </c>
      <c r="D146" s="317" t="s">
        <v>5253</v>
      </c>
      <c r="E146" s="356" t="s">
        <v>5247</v>
      </c>
      <c r="F146" s="318">
        <v>10500000</v>
      </c>
      <c r="G146" s="385" t="s">
        <v>4853</v>
      </c>
      <c r="H146" s="319" t="s">
        <v>5254</v>
      </c>
      <c r="I146" s="317" t="s">
        <v>5246</v>
      </c>
      <c r="J146" s="317" t="s">
        <v>4853</v>
      </c>
      <c r="K146" s="320" t="s">
        <v>5255</v>
      </c>
      <c r="L146" s="377" t="s">
        <v>542</v>
      </c>
      <c r="M146" s="377" t="s">
        <v>5159</v>
      </c>
      <c r="N146" s="401"/>
      <c r="O146" s="321">
        <v>52</v>
      </c>
    </row>
    <row r="147" spans="2:15" ht="69.900000000000006" customHeight="1" x14ac:dyDescent="0.25">
      <c r="B147" s="321">
        <v>137</v>
      </c>
      <c r="C147" s="321">
        <v>6</v>
      </c>
      <c r="D147" s="351" t="s">
        <v>5308</v>
      </c>
      <c r="E147" s="357" t="s">
        <v>5284</v>
      </c>
      <c r="F147" s="352">
        <v>1650000</v>
      </c>
      <c r="G147" s="385" t="s">
        <v>4853</v>
      </c>
      <c r="H147" s="351" t="s">
        <v>5309</v>
      </c>
      <c r="I147" s="351" t="s">
        <v>5247</v>
      </c>
      <c r="J147" s="351" t="s">
        <v>4853</v>
      </c>
      <c r="K147" s="353" t="s">
        <v>5310</v>
      </c>
      <c r="L147" s="377" t="s">
        <v>535</v>
      </c>
      <c r="M147" s="377" t="s">
        <v>5195</v>
      </c>
      <c r="N147" s="321"/>
      <c r="O147" s="321">
        <v>52</v>
      </c>
    </row>
    <row r="148" spans="2:15" ht="69.900000000000006" customHeight="1" x14ac:dyDescent="0.25">
      <c r="B148" s="321">
        <v>138</v>
      </c>
      <c r="C148" s="321">
        <v>6</v>
      </c>
      <c r="D148" s="351" t="s">
        <v>5311</v>
      </c>
      <c r="E148" s="357" t="s">
        <v>5284</v>
      </c>
      <c r="F148" s="352">
        <v>4074431</v>
      </c>
      <c r="G148" s="385" t="s">
        <v>4853</v>
      </c>
      <c r="H148" s="351" t="s">
        <v>5312</v>
      </c>
      <c r="I148" s="351" t="s">
        <v>5247</v>
      </c>
      <c r="J148" s="351" t="s">
        <v>4853</v>
      </c>
      <c r="K148" s="353" t="s">
        <v>5313</v>
      </c>
      <c r="L148" s="377" t="s">
        <v>542</v>
      </c>
      <c r="M148" s="377" t="s">
        <v>5196</v>
      </c>
      <c r="N148" s="321"/>
      <c r="O148" s="321">
        <v>52</v>
      </c>
    </row>
    <row r="149" spans="2:15" ht="69.900000000000006" customHeight="1" x14ac:dyDescent="0.25">
      <c r="B149" s="321">
        <v>139</v>
      </c>
      <c r="C149" s="321">
        <v>6</v>
      </c>
      <c r="D149" s="351" t="s">
        <v>5290</v>
      </c>
      <c r="E149" s="357" t="s">
        <v>5284</v>
      </c>
      <c r="F149" s="352">
        <v>15880573</v>
      </c>
      <c r="G149" s="390" t="s">
        <v>4853</v>
      </c>
      <c r="H149" s="351" t="s">
        <v>5291</v>
      </c>
      <c r="I149" s="351" t="s">
        <v>5247</v>
      </c>
      <c r="J149" s="351" t="s">
        <v>4853</v>
      </c>
      <c r="K149" s="353" t="s">
        <v>5292</v>
      </c>
      <c r="L149" s="377" t="s">
        <v>542</v>
      </c>
      <c r="M149" s="377" t="s">
        <v>5159</v>
      </c>
      <c r="N149" s="321"/>
      <c r="O149" s="321">
        <v>52</v>
      </c>
    </row>
    <row r="150" spans="2:15" ht="69.900000000000006" customHeight="1" x14ac:dyDescent="0.25">
      <c r="B150" s="321">
        <v>140</v>
      </c>
      <c r="C150" s="321">
        <v>6</v>
      </c>
      <c r="D150" s="317" t="s">
        <v>5339</v>
      </c>
      <c r="E150" s="356" t="s">
        <v>5315</v>
      </c>
      <c r="F150" s="318">
        <v>3700700</v>
      </c>
      <c r="G150" s="385" t="s">
        <v>4853</v>
      </c>
      <c r="H150" s="317" t="s">
        <v>5340</v>
      </c>
      <c r="I150" s="317" t="s">
        <v>5247</v>
      </c>
      <c r="J150" s="317" t="s">
        <v>4853</v>
      </c>
      <c r="K150" s="353" t="s">
        <v>5341</v>
      </c>
      <c r="L150" s="377" t="s">
        <v>535</v>
      </c>
      <c r="M150" s="377" t="s">
        <v>5195</v>
      </c>
      <c r="N150" s="321"/>
      <c r="O150" s="321">
        <v>52</v>
      </c>
    </row>
    <row r="151" spans="2:15" ht="69.900000000000006" customHeight="1" x14ac:dyDescent="0.25">
      <c r="B151" s="321">
        <v>141</v>
      </c>
      <c r="C151" s="321">
        <v>6</v>
      </c>
      <c r="D151" s="351" t="s">
        <v>5287</v>
      </c>
      <c r="E151" s="357" t="s">
        <v>5284</v>
      </c>
      <c r="F151" s="352">
        <v>3840000</v>
      </c>
      <c r="G151" s="390" t="s">
        <v>4853</v>
      </c>
      <c r="H151" s="351" t="s">
        <v>5288</v>
      </c>
      <c r="I151" s="351" t="s">
        <v>5247</v>
      </c>
      <c r="J151" s="351" t="s">
        <v>4853</v>
      </c>
      <c r="K151" s="353" t="s">
        <v>5289</v>
      </c>
      <c r="L151" s="377" t="s">
        <v>542</v>
      </c>
      <c r="M151" s="377" t="s">
        <v>5159</v>
      </c>
      <c r="N151" s="321"/>
      <c r="O151" s="321">
        <v>52</v>
      </c>
    </row>
    <row r="152" spans="2:15" ht="69.900000000000006" customHeight="1" x14ac:dyDescent="0.25">
      <c r="B152" s="321">
        <v>142</v>
      </c>
      <c r="C152" s="321">
        <v>6</v>
      </c>
      <c r="D152" s="351" t="s">
        <v>5296</v>
      </c>
      <c r="E152" s="357" t="s">
        <v>5284</v>
      </c>
      <c r="F152" s="352">
        <v>25425327</v>
      </c>
      <c r="G152" s="390" t="s">
        <v>4853</v>
      </c>
      <c r="H152" s="351" t="s">
        <v>5297</v>
      </c>
      <c r="I152" s="351" t="s">
        <v>5247</v>
      </c>
      <c r="J152" s="351" t="s">
        <v>4853</v>
      </c>
      <c r="K152" s="353" t="s">
        <v>5298</v>
      </c>
      <c r="L152" s="377" t="s">
        <v>531</v>
      </c>
      <c r="M152" s="377" t="s">
        <v>5193</v>
      </c>
      <c r="N152" s="321"/>
      <c r="O152" s="321">
        <v>52</v>
      </c>
    </row>
    <row r="153" spans="2:15" ht="69.900000000000006" customHeight="1" x14ac:dyDescent="0.25">
      <c r="B153" s="321">
        <v>143</v>
      </c>
      <c r="C153" s="321">
        <v>6</v>
      </c>
      <c r="D153" s="351" t="s">
        <v>5293</v>
      </c>
      <c r="E153" s="357" t="s">
        <v>5284</v>
      </c>
      <c r="F153" s="352">
        <v>15508650</v>
      </c>
      <c r="G153" s="390" t="s">
        <v>4853</v>
      </c>
      <c r="H153" s="351" t="s">
        <v>5294</v>
      </c>
      <c r="I153" s="351" t="s">
        <v>5247</v>
      </c>
      <c r="J153" s="351" t="s">
        <v>4853</v>
      </c>
      <c r="K153" s="353" t="s">
        <v>5295</v>
      </c>
      <c r="L153" s="377" t="s">
        <v>535</v>
      </c>
      <c r="M153" s="377" t="s">
        <v>5192</v>
      </c>
      <c r="N153" s="321"/>
      <c r="O153" s="321">
        <v>52</v>
      </c>
    </row>
    <row r="154" spans="2:15" ht="69.900000000000006" customHeight="1" x14ac:dyDescent="0.25">
      <c r="B154" s="321">
        <v>144</v>
      </c>
      <c r="C154" s="321">
        <v>6</v>
      </c>
      <c r="D154" s="351" t="s">
        <v>5302</v>
      </c>
      <c r="E154" s="357" t="s">
        <v>5284</v>
      </c>
      <c r="F154" s="352">
        <v>27294800</v>
      </c>
      <c r="G154" s="385" t="s">
        <v>4853</v>
      </c>
      <c r="H154" s="351" t="s">
        <v>5303</v>
      </c>
      <c r="I154" s="351" t="s">
        <v>5247</v>
      </c>
      <c r="J154" s="351" t="s">
        <v>4853</v>
      </c>
      <c r="K154" s="353" t="s">
        <v>5304</v>
      </c>
      <c r="L154" s="377" t="s">
        <v>535</v>
      </c>
      <c r="M154" s="377" t="s">
        <v>5192</v>
      </c>
      <c r="N154" s="321"/>
      <c r="O154" s="321">
        <v>52</v>
      </c>
    </row>
    <row r="155" spans="2:15" ht="69.900000000000006" customHeight="1" x14ac:dyDescent="0.25">
      <c r="B155" s="321">
        <v>145</v>
      </c>
      <c r="C155" s="321">
        <v>6</v>
      </c>
      <c r="D155" s="317" t="s">
        <v>5361</v>
      </c>
      <c r="E155" s="356" t="s">
        <v>5355</v>
      </c>
      <c r="F155" s="318">
        <v>7559500</v>
      </c>
      <c r="G155" s="367" t="s">
        <v>4877</v>
      </c>
      <c r="H155" s="317" t="s">
        <v>5362</v>
      </c>
      <c r="I155" s="317" t="s">
        <v>5315</v>
      </c>
      <c r="J155" s="317" t="s">
        <v>4880</v>
      </c>
      <c r="K155" s="320" t="s">
        <v>5203</v>
      </c>
      <c r="L155" s="377"/>
      <c r="M155" s="377"/>
      <c r="N155" s="400"/>
      <c r="O155" s="321">
        <v>52</v>
      </c>
    </row>
    <row r="156" spans="2:15" ht="69.900000000000006" customHeight="1" x14ac:dyDescent="0.25">
      <c r="B156" s="321">
        <v>146</v>
      </c>
      <c r="C156" s="321">
        <v>6</v>
      </c>
      <c r="D156" s="405" t="s">
        <v>5377</v>
      </c>
      <c r="E156" s="406" t="s">
        <v>5378</v>
      </c>
      <c r="F156" s="407">
        <v>136770850</v>
      </c>
      <c r="G156" s="384" t="s">
        <v>4853</v>
      </c>
      <c r="H156" s="405" t="s">
        <v>5379</v>
      </c>
      <c r="I156" s="405" t="s">
        <v>5380</v>
      </c>
      <c r="J156" s="405" t="s">
        <v>4853</v>
      </c>
      <c r="K156" s="409" t="s">
        <v>5381</v>
      </c>
      <c r="L156" s="377" t="s">
        <v>542</v>
      </c>
      <c r="M156" s="377" t="s">
        <v>5159</v>
      </c>
      <c r="N156" s="401" t="s">
        <v>5348</v>
      </c>
      <c r="O156" s="321">
        <v>52</v>
      </c>
    </row>
    <row r="157" spans="2:15" ht="69.900000000000006" customHeight="1" x14ac:dyDescent="0.25">
      <c r="B157" s="321">
        <v>147</v>
      </c>
      <c r="C157" s="321">
        <v>6</v>
      </c>
      <c r="D157" s="317" t="s">
        <v>5382</v>
      </c>
      <c r="E157" s="356" t="s">
        <v>5378</v>
      </c>
      <c r="F157" s="318">
        <v>48815040</v>
      </c>
      <c r="G157" s="385" t="s">
        <v>4853</v>
      </c>
      <c r="H157" s="317" t="s">
        <v>5383</v>
      </c>
      <c r="I157" s="317" t="s">
        <v>5380</v>
      </c>
      <c r="J157" s="317" t="s">
        <v>4853</v>
      </c>
      <c r="K157" s="353" t="s">
        <v>5384</v>
      </c>
      <c r="L157" s="377" t="s">
        <v>535</v>
      </c>
      <c r="M157" s="377" t="s">
        <v>5192</v>
      </c>
      <c r="N157" s="400"/>
      <c r="O157" s="321">
        <v>52</v>
      </c>
    </row>
    <row r="158" spans="2:15" ht="69.900000000000006" customHeight="1" x14ac:dyDescent="0.25">
      <c r="B158" s="321">
        <v>148</v>
      </c>
      <c r="C158" s="321">
        <v>6</v>
      </c>
      <c r="D158" s="317" t="s">
        <v>5385</v>
      </c>
      <c r="E158" s="356" t="s">
        <v>5378</v>
      </c>
      <c r="F158" s="318">
        <v>360000</v>
      </c>
      <c r="G158" s="385" t="s">
        <v>4853</v>
      </c>
      <c r="H158" s="317" t="s">
        <v>5386</v>
      </c>
      <c r="I158" s="317" t="s">
        <v>5380</v>
      </c>
      <c r="J158" s="317" t="s">
        <v>4853</v>
      </c>
      <c r="K158" s="353" t="s">
        <v>5387</v>
      </c>
      <c r="L158" s="377" t="s">
        <v>531</v>
      </c>
      <c r="M158" s="377" t="s">
        <v>5194</v>
      </c>
      <c r="N158" s="400"/>
      <c r="O158" s="321">
        <v>52</v>
      </c>
    </row>
    <row r="159" spans="2:15" ht="69.900000000000006" customHeight="1" x14ac:dyDescent="0.25">
      <c r="B159" s="321">
        <v>149</v>
      </c>
      <c r="C159" s="321">
        <v>6</v>
      </c>
      <c r="D159" s="405" t="s">
        <v>5388</v>
      </c>
      <c r="E159" s="406" t="s">
        <v>5378</v>
      </c>
      <c r="F159" s="407">
        <v>2110000</v>
      </c>
      <c r="G159" s="385" t="s">
        <v>4853</v>
      </c>
      <c r="H159" s="405" t="s">
        <v>5389</v>
      </c>
      <c r="I159" s="405" t="s">
        <v>5380</v>
      </c>
      <c r="J159" s="405" t="s">
        <v>4853</v>
      </c>
      <c r="K159" s="409" t="s">
        <v>5390</v>
      </c>
      <c r="L159" s="408" t="s">
        <v>531</v>
      </c>
      <c r="M159" s="408" t="s">
        <v>5193</v>
      </c>
      <c r="N159" s="404"/>
      <c r="O159" s="321">
        <v>52</v>
      </c>
    </row>
    <row r="160" spans="2:15" ht="69.900000000000006" customHeight="1" x14ac:dyDescent="0.25">
      <c r="B160" s="321">
        <v>150</v>
      </c>
      <c r="C160" s="321">
        <v>6</v>
      </c>
      <c r="D160" s="317" t="s">
        <v>5391</v>
      </c>
      <c r="E160" s="356" t="s">
        <v>5378</v>
      </c>
      <c r="F160" s="318">
        <v>9185000</v>
      </c>
      <c r="G160" s="385" t="s">
        <v>4853</v>
      </c>
      <c r="H160" s="317" t="s">
        <v>5392</v>
      </c>
      <c r="I160" s="317" t="s">
        <v>5380</v>
      </c>
      <c r="J160" s="317" t="s">
        <v>4853</v>
      </c>
      <c r="K160" s="353" t="s">
        <v>5393</v>
      </c>
      <c r="L160" s="377" t="s">
        <v>542</v>
      </c>
      <c r="M160" s="377" t="s">
        <v>5196</v>
      </c>
      <c r="N160" s="400"/>
      <c r="O160" s="321">
        <v>52</v>
      </c>
    </row>
    <row r="161" spans="2:15" ht="69.900000000000006" customHeight="1" x14ac:dyDescent="0.25">
      <c r="B161" s="321">
        <v>151</v>
      </c>
      <c r="C161" s="321">
        <v>6</v>
      </c>
      <c r="D161" s="317" t="s">
        <v>5394</v>
      </c>
      <c r="E161" s="356" t="s">
        <v>5378</v>
      </c>
      <c r="F161" s="318">
        <v>14635000</v>
      </c>
      <c r="G161" s="385" t="s">
        <v>4853</v>
      </c>
      <c r="H161" s="317" t="s">
        <v>5395</v>
      </c>
      <c r="I161" s="317" t="s">
        <v>5380</v>
      </c>
      <c r="J161" s="317" t="s">
        <v>4853</v>
      </c>
      <c r="K161" s="353" t="s">
        <v>5396</v>
      </c>
      <c r="L161" s="377" t="s">
        <v>542</v>
      </c>
      <c r="M161" s="377" t="s">
        <v>5159</v>
      </c>
      <c r="N161" s="400"/>
      <c r="O161" s="321">
        <v>52</v>
      </c>
    </row>
    <row r="162" spans="2:15" ht="69.900000000000006" customHeight="1" x14ac:dyDescent="0.25">
      <c r="B162" s="321">
        <v>152</v>
      </c>
      <c r="C162" s="321">
        <v>6</v>
      </c>
      <c r="D162" s="405" t="s">
        <v>5397</v>
      </c>
      <c r="E162" s="406" t="s">
        <v>5378</v>
      </c>
      <c r="F162" s="407">
        <v>25208100</v>
      </c>
      <c r="G162" s="385" t="s">
        <v>4853</v>
      </c>
      <c r="H162" s="405" t="s">
        <v>5398</v>
      </c>
      <c r="I162" s="405" t="s">
        <v>5380</v>
      </c>
      <c r="J162" s="405" t="s">
        <v>4853</v>
      </c>
      <c r="K162" s="409" t="s">
        <v>5399</v>
      </c>
      <c r="L162" s="408" t="s">
        <v>542</v>
      </c>
      <c r="M162" s="408" t="s">
        <v>5196</v>
      </c>
      <c r="N162" s="404"/>
      <c r="O162" s="321">
        <v>52</v>
      </c>
    </row>
    <row r="163" spans="2:15" ht="69.900000000000006" customHeight="1" x14ac:dyDescent="0.25">
      <c r="B163" s="321">
        <v>153</v>
      </c>
      <c r="C163" s="321">
        <v>6</v>
      </c>
      <c r="D163" s="317" t="s">
        <v>5400</v>
      </c>
      <c r="E163" s="356" t="s">
        <v>5378</v>
      </c>
      <c r="F163" s="318">
        <v>9875000</v>
      </c>
      <c r="G163" s="384" t="s">
        <v>4853</v>
      </c>
      <c r="H163" s="317" t="s">
        <v>5401</v>
      </c>
      <c r="I163" s="317" t="s">
        <v>5380</v>
      </c>
      <c r="J163" s="317" t="s">
        <v>4853</v>
      </c>
      <c r="K163" s="353" t="s">
        <v>5402</v>
      </c>
      <c r="L163" s="377" t="s">
        <v>542</v>
      </c>
      <c r="M163" s="377" t="s">
        <v>5159</v>
      </c>
      <c r="N163" s="401" t="s">
        <v>5348</v>
      </c>
      <c r="O163" s="321">
        <v>52</v>
      </c>
    </row>
    <row r="164" spans="2:15" ht="69.900000000000006" customHeight="1" x14ac:dyDescent="0.25">
      <c r="B164" s="321">
        <v>154</v>
      </c>
      <c r="C164" s="321">
        <v>6</v>
      </c>
      <c r="D164" s="317" t="s">
        <v>5403</v>
      </c>
      <c r="E164" s="356" t="s">
        <v>5378</v>
      </c>
      <c r="F164" s="318">
        <v>3950000</v>
      </c>
      <c r="G164" s="384" t="s">
        <v>4853</v>
      </c>
      <c r="H164" s="317" t="s">
        <v>5404</v>
      </c>
      <c r="I164" s="317" t="s">
        <v>5380</v>
      </c>
      <c r="J164" s="317" t="s">
        <v>4853</v>
      </c>
      <c r="K164" s="353" t="s">
        <v>5405</v>
      </c>
      <c r="L164" s="377" t="s">
        <v>542</v>
      </c>
      <c r="M164" s="377" t="s">
        <v>5159</v>
      </c>
      <c r="N164" s="401" t="s">
        <v>5348</v>
      </c>
      <c r="O164" s="321">
        <v>52</v>
      </c>
    </row>
    <row r="165" spans="2:15" ht="69.900000000000006" customHeight="1" x14ac:dyDescent="0.25">
      <c r="B165" s="321">
        <v>155</v>
      </c>
      <c r="C165" s="321">
        <v>6</v>
      </c>
      <c r="D165" s="405" t="s">
        <v>5406</v>
      </c>
      <c r="E165" s="406" t="s">
        <v>5378</v>
      </c>
      <c r="F165" s="407">
        <v>3950000</v>
      </c>
      <c r="G165" s="384" t="s">
        <v>4853</v>
      </c>
      <c r="H165" s="405" t="s">
        <v>5407</v>
      </c>
      <c r="I165" s="405" t="s">
        <v>5380</v>
      </c>
      <c r="J165" s="405" t="s">
        <v>4853</v>
      </c>
      <c r="K165" s="409" t="s">
        <v>5405</v>
      </c>
      <c r="L165" s="377" t="s">
        <v>542</v>
      </c>
      <c r="M165" s="377" t="s">
        <v>5159</v>
      </c>
      <c r="N165" s="401" t="s">
        <v>5348</v>
      </c>
      <c r="O165" s="321">
        <v>52</v>
      </c>
    </row>
    <row r="166" spans="2:15" ht="69.900000000000006" customHeight="1" x14ac:dyDescent="0.25">
      <c r="B166" s="321">
        <v>156</v>
      </c>
      <c r="C166" s="400">
        <v>6</v>
      </c>
      <c r="D166" s="317" t="s">
        <v>5408</v>
      </c>
      <c r="E166" s="356" t="s">
        <v>5409</v>
      </c>
      <c r="F166" s="318">
        <v>424528</v>
      </c>
      <c r="G166" s="369" t="s">
        <v>4853</v>
      </c>
      <c r="H166" s="317" t="s">
        <v>5410</v>
      </c>
      <c r="I166" s="317" t="s">
        <v>5380</v>
      </c>
      <c r="J166" s="317" t="s">
        <v>4853</v>
      </c>
      <c r="K166" s="353" t="s">
        <v>5411</v>
      </c>
      <c r="L166" s="377" t="s">
        <v>576</v>
      </c>
      <c r="M166" s="377" t="s">
        <v>5160</v>
      </c>
      <c r="N166" s="401" t="s">
        <v>5349</v>
      </c>
      <c r="O166" s="400">
        <v>51</v>
      </c>
    </row>
    <row r="167" spans="2:15" ht="69.900000000000006" customHeight="1" x14ac:dyDescent="0.25">
      <c r="B167" s="321">
        <v>157</v>
      </c>
      <c r="C167" s="404">
        <v>6</v>
      </c>
      <c r="D167" s="405" t="s">
        <v>5412</v>
      </c>
      <c r="E167" s="406" t="s">
        <v>5409</v>
      </c>
      <c r="F167" s="407">
        <v>16698000</v>
      </c>
      <c r="G167" s="369" t="s">
        <v>5024</v>
      </c>
      <c r="H167" s="405" t="s">
        <v>5413</v>
      </c>
      <c r="I167" s="405" t="s">
        <v>5380</v>
      </c>
      <c r="J167" s="405" t="s">
        <v>4853</v>
      </c>
      <c r="K167" s="409" t="s">
        <v>5414</v>
      </c>
      <c r="L167" s="377" t="s">
        <v>576</v>
      </c>
      <c r="M167" s="377" t="s">
        <v>5160</v>
      </c>
      <c r="N167" s="401" t="s">
        <v>5349</v>
      </c>
      <c r="O167" s="404">
        <v>51</v>
      </c>
    </row>
    <row r="168" spans="2:15" ht="69.900000000000006" customHeight="1" x14ac:dyDescent="0.25">
      <c r="B168" s="321">
        <v>158</v>
      </c>
      <c r="C168" s="404">
        <v>6</v>
      </c>
      <c r="D168" s="317" t="s">
        <v>5416</v>
      </c>
      <c r="E168" s="356" t="s">
        <v>5417</v>
      </c>
      <c r="F168" s="318">
        <v>1200000</v>
      </c>
      <c r="G168" s="385" t="s">
        <v>4853</v>
      </c>
      <c r="H168" s="317" t="s">
        <v>5418</v>
      </c>
      <c r="I168" s="317" t="s">
        <v>5419</v>
      </c>
      <c r="J168" s="317" t="s">
        <v>4853</v>
      </c>
      <c r="K168" s="320" t="s">
        <v>5420</v>
      </c>
      <c r="L168" s="408" t="s">
        <v>531</v>
      </c>
      <c r="M168" s="408" t="s">
        <v>5193</v>
      </c>
      <c r="N168" s="400"/>
      <c r="O168" s="400">
        <v>52</v>
      </c>
    </row>
    <row r="169" spans="2:15" ht="69.900000000000006" customHeight="1" x14ac:dyDescent="0.25">
      <c r="B169" s="321">
        <v>159</v>
      </c>
      <c r="C169" s="404">
        <v>6</v>
      </c>
      <c r="D169" s="405" t="s">
        <v>5421</v>
      </c>
      <c r="E169" s="406" t="s">
        <v>5417</v>
      </c>
      <c r="F169" s="407">
        <v>9950000</v>
      </c>
      <c r="G169" s="384" t="s">
        <v>5124</v>
      </c>
      <c r="H169" s="405" t="s">
        <v>5422</v>
      </c>
      <c r="I169" s="405" t="s">
        <v>5419</v>
      </c>
      <c r="J169" s="405" t="s">
        <v>4853</v>
      </c>
      <c r="K169" s="410" t="s">
        <v>5423</v>
      </c>
      <c r="L169" s="377" t="s">
        <v>542</v>
      </c>
      <c r="M169" s="377" t="s">
        <v>5159</v>
      </c>
      <c r="N169" s="401" t="s">
        <v>5348</v>
      </c>
      <c r="O169" s="404">
        <v>52</v>
      </c>
    </row>
    <row r="170" spans="2:15" ht="69.900000000000006" customHeight="1" x14ac:dyDescent="0.25">
      <c r="B170" s="321">
        <v>160</v>
      </c>
      <c r="C170" s="404">
        <v>6</v>
      </c>
      <c r="D170" s="405" t="s">
        <v>5424</v>
      </c>
      <c r="E170" s="406" t="s">
        <v>5417</v>
      </c>
      <c r="F170" s="407">
        <v>1810000</v>
      </c>
      <c r="G170" s="385" t="s">
        <v>4853</v>
      </c>
      <c r="H170" s="405" t="s">
        <v>5425</v>
      </c>
      <c r="I170" s="405" t="s">
        <v>5419</v>
      </c>
      <c r="J170" s="405" t="s">
        <v>4853</v>
      </c>
      <c r="K170" s="410" t="s">
        <v>5426</v>
      </c>
      <c r="L170" s="408" t="s">
        <v>531</v>
      </c>
      <c r="M170" s="408" t="s">
        <v>5193</v>
      </c>
      <c r="N170" s="404"/>
      <c r="O170" s="404">
        <v>52</v>
      </c>
    </row>
    <row r="172" spans="2:15" ht="69.900000000000006" customHeight="1" x14ac:dyDescent="0.25">
      <c r="N172" s="396" t="s">
        <v>4644</v>
      </c>
    </row>
  </sheetData>
  <sortState xmlns:xlrd2="http://schemas.microsoft.com/office/spreadsheetml/2017/richdata2" ref="B11:K51">
    <sortCondition ref="H11:H51"/>
  </sortState>
  <conditionalFormatting sqref="D113:D116">
    <cfRule type="duplicateValues" dxfId="594" priority="3"/>
  </conditionalFormatting>
  <conditionalFormatting sqref="D11:D170">
    <cfRule type="duplicateValues" dxfId="593" priority="28"/>
    <cfRule type="duplicateValues" dxfId="592"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topLeftCell="B130" zoomScale="70" zoomScaleNormal="70" zoomScaleSheetLayoutView="70" workbookViewId="0">
      <selection activeCell="K152" sqref="K152"/>
    </sheetView>
  </sheetViews>
  <sheetFormatPr defaultRowHeight="14.4" x14ac:dyDescent="0.3"/>
  <cols>
    <col min="3" max="3" width="99.77734375" style="29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58" t="str">
        <f>PERSUBBID!A1</f>
        <v>REALISASI TANPA GAJI</v>
      </c>
      <c r="D1" s="458"/>
      <c r="E1" s="458"/>
      <c r="F1" s="458"/>
      <c r="G1" s="458"/>
      <c r="H1" s="458"/>
    </row>
    <row r="2" spans="3:18" ht="18.600000000000001" x14ac:dyDescent="0.45">
      <c r="C2" s="458" t="str">
        <f>PERSUBBID!A2</f>
        <v>Berdasarkan DIPA Revisi 1 POK 2 TA. 2022 (Tanggal 22 Maret 2022)</v>
      </c>
      <c r="D2" s="458"/>
      <c r="E2" s="458"/>
      <c r="F2" s="458"/>
      <c r="G2" s="458"/>
      <c r="H2" s="458"/>
    </row>
    <row r="3" spans="3:18" ht="18.600000000000001" x14ac:dyDescent="0.45">
      <c r="C3" s="458" t="str">
        <f>PERSUBBID!A3</f>
        <v>SAMPAI DENGAN 15 JUNI 2022</v>
      </c>
      <c r="D3" s="458"/>
      <c r="E3" s="458"/>
      <c r="F3" s="458"/>
      <c r="G3" s="458"/>
      <c r="H3" s="458"/>
    </row>
    <row r="4" spans="3:18" x14ac:dyDescent="0.3">
      <c r="C4" s="370"/>
      <c r="D4" s="370"/>
      <c r="E4" s="370"/>
      <c r="F4" s="370"/>
      <c r="G4" s="370"/>
      <c r="H4" s="370"/>
    </row>
    <row r="5" spans="3:18" ht="15.6" x14ac:dyDescent="0.3">
      <c r="C5" s="371" t="s">
        <v>4824</v>
      </c>
      <c r="D5" s="372" t="s">
        <v>4819</v>
      </c>
      <c r="E5" s="372" t="s">
        <v>4820</v>
      </c>
      <c r="F5" s="372" t="s">
        <v>4821</v>
      </c>
      <c r="G5" s="372" t="s">
        <v>4822</v>
      </c>
      <c r="H5" s="372" t="s">
        <v>4823</v>
      </c>
    </row>
    <row r="6" spans="3:18" ht="17.100000000000001" customHeight="1" x14ac:dyDescent="0.3">
      <c r="C6" s="308" t="s">
        <v>530</v>
      </c>
      <c r="D6" s="421">
        <v>11375804000</v>
      </c>
      <c r="E6" s="421">
        <v>6067322932</v>
      </c>
      <c r="F6" s="422">
        <v>53.33533288724032</v>
      </c>
      <c r="G6" s="421">
        <v>5308481068</v>
      </c>
      <c r="H6" s="422">
        <v>46.66466711275968</v>
      </c>
      <c r="R6" s="274"/>
    </row>
    <row r="7" spans="3:18" x14ac:dyDescent="0.3">
      <c r="C7" s="373" t="s">
        <v>4696</v>
      </c>
      <c r="D7" s="423">
        <v>1000000000</v>
      </c>
      <c r="E7" s="423">
        <v>368522100</v>
      </c>
      <c r="F7" s="424">
        <v>36.852209999999999</v>
      </c>
      <c r="G7" s="423">
        <v>631477900</v>
      </c>
      <c r="H7" s="424">
        <v>63.147790000000001</v>
      </c>
      <c r="R7" s="274"/>
    </row>
    <row r="8" spans="3:18" x14ac:dyDescent="0.3">
      <c r="C8" s="373" t="s">
        <v>4706</v>
      </c>
      <c r="D8" s="423">
        <v>1000000000</v>
      </c>
      <c r="E8" s="423">
        <v>368522100</v>
      </c>
      <c r="F8" s="424">
        <v>36.852209999999999</v>
      </c>
      <c r="G8" s="423">
        <v>631477900</v>
      </c>
      <c r="H8" s="424">
        <v>63.147790000000001</v>
      </c>
    </row>
    <row r="9" spans="3:18" ht="17.100000000000001" customHeight="1" x14ac:dyDescent="0.3">
      <c r="C9" s="374" t="s">
        <v>535</v>
      </c>
      <c r="D9" s="425">
        <v>821400000</v>
      </c>
      <c r="E9" s="425">
        <v>288789600</v>
      </c>
      <c r="F9" s="426">
        <v>35.158217677136591</v>
      </c>
      <c r="G9" s="425">
        <v>532610400</v>
      </c>
      <c r="H9" s="426">
        <v>64.841782322863409</v>
      </c>
    </row>
    <row r="10" spans="3:18" x14ac:dyDescent="0.3">
      <c r="C10" s="226" t="s">
        <v>536</v>
      </c>
      <c r="D10" s="427">
        <v>686300000</v>
      </c>
      <c r="E10" s="427">
        <v>214180240</v>
      </c>
      <c r="F10" s="428">
        <v>31.207961532857354</v>
      </c>
      <c r="G10" s="427">
        <v>472119760</v>
      </c>
      <c r="H10" s="428">
        <v>68.792038467142646</v>
      </c>
    </row>
    <row r="11" spans="3:18" x14ac:dyDescent="0.3">
      <c r="C11" s="373" t="s">
        <v>4708</v>
      </c>
      <c r="D11" s="423">
        <v>686300000</v>
      </c>
      <c r="E11" s="423">
        <v>214180240</v>
      </c>
      <c r="F11" s="424">
        <v>31.207961532857354</v>
      </c>
      <c r="G11" s="423">
        <v>472119760</v>
      </c>
      <c r="H11" s="424">
        <v>68.792038467142646</v>
      </c>
    </row>
    <row r="12" spans="3:18" x14ac:dyDescent="0.3">
      <c r="C12" s="391" t="s">
        <v>4714</v>
      </c>
      <c r="D12" s="429">
        <v>686300000</v>
      </c>
      <c r="E12" s="429">
        <v>214180240</v>
      </c>
      <c r="F12" s="430">
        <v>31.207961532857354</v>
      </c>
      <c r="G12" s="429">
        <v>472119760</v>
      </c>
      <c r="H12" s="430">
        <v>68.792038467142646</v>
      </c>
    </row>
    <row r="13" spans="3:18" x14ac:dyDescent="0.3">
      <c r="C13" s="375" t="s">
        <v>4715</v>
      </c>
      <c r="D13" s="431">
        <v>386924000</v>
      </c>
      <c r="E13" s="431">
        <v>58923650</v>
      </c>
      <c r="F13" s="432">
        <v>15.228740010958225</v>
      </c>
      <c r="G13" s="431">
        <v>328000350</v>
      </c>
      <c r="H13" s="432">
        <v>84.771259989041781</v>
      </c>
    </row>
    <row r="14" spans="3:18" x14ac:dyDescent="0.3">
      <c r="C14" s="379" t="s">
        <v>4698</v>
      </c>
      <c r="D14" s="423">
        <v>64900000</v>
      </c>
      <c r="E14" s="423">
        <v>6195000</v>
      </c>
      <c r="F14" s="424">
        <v>9.5454545454545467</v>
      </c>
      <c r="G14" s="423">
        <v>58705000</v>
      </c>
      <c r="H14" s="424">
        <v>90.454545454545453</v>
      </c>
    </row>
    <row r="15" spans="3:18" x14ac:dyDescent="0.3">
      <c r="C15" s="379" t="s">
        <v>4711</v>
      </c>
      <c r="D15" s="423">
        <v>6000000</v>
      </c>
      <c r="E15" s="423">
        <v>963000</v>
      </c>
      <c r="F15" s="424">
        <v>16.05</v>
      </c>
      <c r="G15" s="423">
        <v>5037000</v>
      </c>
      <c r="H15" s="424">
        <v>83.95</v>
      </c>
    </row>
    <row r="16" spans="3:18" x14ac:dyDescent="0.3">
      <c r="C16" s="379" t="s">
        <v>4716</v>
      </c>
      <c r="D16" s="423">
        <v>30000000</v>
      </c>
      <c r="E16" s="423">
        <v>9537000</v>
      </c>
      <c r="F16" s="424">
        <v>31.790000000000003</v>
      </c>
      <c r="G16" s="423">
        <v>20463000</v>
      </c>
      <c r="H16" s="424">
        <v>68.210000000000008</v>
      </c>
    </row>
    <row r="17" spans="3:21" x14ac:dyDescent="0.3">
      <c r="C17" s="379" t="s">
        <v>4701</v>
      </c>
      <c r="D17" s="423">
        <v>25200000</v>
      </c>
      <c r="E17" s="423">
        <v>9000000</v>
      </c>
      <c r="F17" s="424">
        <v>35.714285714285715</v>
      </c>
      <c r="G17" s="423">
        <v>16200000</v>
      </c>
      <c r="H17" s="424">
        <v>64.285714285714292</v>
      </c>
    </row>
    <row r="18" spans="3:21" x14ac:dyDescent="0.3">
      <c r="C18" s="379" t="s">
        <v>4703</v>
      </c>
      <c r="D18" s="423">
        <v>6000000</v>
      </c>
      <c r="E18" s="423">
        <v>0</v>
      </c>
      <c r="F18" s="424">
        <v>0</v>
      </c>
      <c r="G18" s="423">
        <v>6000000</v>
      </c>
      <c r="H18" s="424">
        <v>100</v>
      </c>
    </row>
    <row r="19" spans="3:21" x14ac:dyDescent="0.3">
      <c r="C19" s="379" t="s">
        <v>4702</v>
      </c>
      <c r="D19" s="423">
        <v>253324000</v>
      </c>
      <c r="E19" s="423">
        <v>33228650</v>
      </c>
      <c r="F19" s="424">
        <v>13.117055628365257</v>
      </c>
      <c r="G19" s="423">
        <v>220095350</v>
      </c>
      <c r="H19" s="424">
        <v>86.882944371634736</v>
      </c>
    </row>
    <row r="20" spans="3:21" x14ac:dyDescent="0.3">
      <c r="C20" s="379" t="s">
        <v>508</v>
      </c>
      <c r="D20" s="423">
        <v>1500000</v>
      </c>
      <c r="E20" s="423">
        <v>0</v>
      </c>
      <c r="F20" s="424">
        <v>0</v>
      </c>
      <c r="G20" s="423">
        <v>1500000</v>
      </c>
      <c r="H20" s="424">
        <v>100</v>
      </c>
    </row>
    <row r="21" spans="3:21" x14ac:dyDescent="0.3">
      <c r="C21" s="375" t="s">
        <v>4717</v>
      </c>
      <c r="D21" s="431">
        <v>247816000</v>
      </c>
      <c r="E21" s="431">
        <v>155256590</v>
      </c>
      <c r="F21" s="432">
        <v>62.649945927623719</v>
      </c>
      <c r="G21" s="431">
        <v>92559410</v>
      </c>
      <c r="H21" s="432">
        <v>37.350054072376281</v>
      </c>
    </row>
    <row r="22" spans="3:21" x14ac:dyDescent="0.3">
      <c r="C22" s="379" t="s">
        <v>4698</v>
      </c>
      <c r="D22" s="423">
        <v>71456000</v>
      </c>
      <c r="E22" s="423">
        <v>10438550</v>
      </c>
      <c r="F22" s="424">
        <v>14.60836038961039</v>
      </c>
      <c r="G22" s="423">
        <v>61017450</v>
      </c>
      <c r="H22" s="424">
        <v>85.391639610389618</v>
      </c>
      <c r="U22" s="276"/>
    </row>
    <row r="23" spans="3:21" x14ac:dyDescent="0.3">
      <c r="C23" s="379" t="s">
        <v>4711</v>
      </c>
      <c r="D23" s="423">
        <v>5000000</v>
      </c>
      <c r="E23" s="423">
        <v>4262850</v>
      </c>
      <c r="F23" s="424">
        <v>85.257000000000005</v>
      </c>
      <c r="G23" s="423">
        <v>737150</v>
      </c>
      <c r="H23" s="424">
        <v>14.743</v>
      </c>
      <c r="U23" s="276"/>
    </row>
    <row r="24" spans="3:21" x14ac:dyDescent="0.3">
      <c r="C24" s="379" t="s">
        <v>4716</v>
      </c>
      <c r="D24" s="423">
        <v>15000000</v>
      </c>
      <c r="E24" s="423">
        <v>2453500</v>
      </c>
      <c r="F24" s="424">
        <v>16.356666666666666</v>
      </c>
      <c r="G24" s="423">
        <v>12546500</v>
      </c>
      <c r="H24" s="424">
        <v>83.643333333333331</v>
      </c>
    </row>
    <row r="25" spans="3:21" x14ac:dyDescent="0.3">
      <c r="C25" s="379" t="s">
        <v>4701</v>
      </c>
      <c r="D25" s="423">
        <v>16200000</v>
      </c>
      <c r="E25" s="423">
        <v>6300000</v>
      </c>
      <c r="F25" s="424">
        <v>38.888888888888893</v>
      </c>
      <c r="G25" s="423">
        <v>9900000</v>
      </c>
      <c r="H25" s="424">
        <v>61.111111111111114</v>
      </c>
    </row>
    <row r="26" spans="3:21" x14ac:dyDescent="0.3">
      <c r="C26" s="379" t="s">
        <v>4703</v>
      </c>
      <c r="D26" s="423">
        <v>2000000</v>
      </c>
      <c r="E26" s="423">
        <v>365000</v>
      </c>
      <c r="F26" s="424">
        <v>18.25</v>
      </c>
      <c r="G26" s="423">
        <v>1635000</v>
      </c>
      <c r="H26" s="424">
        <v>81.75</v>
      </c>
    </row>
    <row r="27" spans="3:21" x14ac:dyDescent="0.3">
      <c r="C27" s="379" t="s">
        <v>4702</v>
      </c>
      <c r="D27" s="423">
        <v>138160000</v>
      </c>
      <c r="E27" s="423">
        <v>131436690</v>
      </c>
      <c r="F27" s="424">
        <v>95.133678343949043</v>
      </c>
      <c r="G27" s="423">
        <v>6723310</v>
      </c>
      <c r="H27" s="424">
        <v>4.866321656050955</v>
      </c>
    </row>
    <row r="28" spans="3:21" x14ac:dyDescent="0.3">
      <c r="C28" s="375" t="s">
        <v>4731</v>
      </c>
      <c r="D28" s="431">
        <v>51560000</v>
      </c>
      <c r="E28" s="431">
        <v>0</v>
      </c>
      <c r="F28" s="432">
        <v>0</v>
      </c>
      <c r="G28" s="431">
        <v>51560000</v>
      </c>
      <c r="H28" s="432">
        <v>100</v>
      </c>
    </row>
    <row r="29" spans="3:21" x14ac:dyDescent="0.3">
      <c r="C29" s="379" t="s">
        <v>4698</v>
      </c>
      <c r="D29" s="423">
        <v>20830000</v>
      </c>
      <c r="E29" s="423">
        <v>0</v>
      </c>
      <c r="F29" s="424">
        <v>0</v>
      </c>
      <c r="G29" s="423">
        <v>20830000</v>
      </c>
      <c r="H29" s="424">
        <v>100</v>
      </c>
    </row>
    <row r="30" spans="3:21" x14ac:dyDescent="0.3">
      <c r="C30" s="379" t="s">
        <v>4711</v>
      </c>
      <c r="D30" s="423">
        <v>500000</v>
      </c>
      <c r="E30" s="423">
        <v>0</v>
      </c>
      <c r="F30" s="424">
        <v>0</v>
      </c>
      <c r="G30" s="423">
        <v>500000</v>
      </c>
      <c r="H30" s="424">
        <v>100</v>
      </c>
    </row>
    <row r="31" spans="3:21" x14ac:dyDescent="0.3">
      <c r="C31" s="379" t="s">
        <v>4701</v>
      </c>
      <c r="D31" s="423">
        <v>7200000</v>
      </c>
      <c r="E31" s="423">
        <v>0</v>
      </c>
      <c r="F31" s="424">
        <v>0</v>
      </c>
      <c r="G31" s="423">
        <v>7200000</v>
      </c>
      <c r="H31" s="424">
        <v>100</v>
      </c>
    </row>
    <row r="32" spans="3:21" x14ac:dyDescent="0.3">
      <c r="C32" s="379" t="s">
        <v>4702</v>
      </c>
      <c r="D32" s="423">
        <v>23030000</v>
      </c>
      <c r="E32" s="423">
        <v>0</v>
      </c>
      <c r="F32" s="424">
        <v>0</v>
      </c>
      <c r="G32" s="423">
        <v>23030000</v>
      </c>
      <c r="H32" s="424">
        <v>100</v>
      </c>
    </row>
    <row r="33" spans="3:8" x14ac:dyDescent="0.3">
      <c r="C33" s="226" t="s">
        <v>538</v>
      </c>
      <c r="D33" s="427">
        <v>135100000</v>
      </c>
      <c r="E33" s="427">
        <v>74609360</v>
      </c>
      <c r="F33" s="428">
        <v>55.22528497409327</v>
      </c>
      <c r="G33" s="427">
        <v>60490640</v>
      </c>
      <c r="H33" s="428">
        <v>44.774715025906737</v>
      </c>
    </row>
    <row r="34" spans="3:8" x14ac:dyDescent="0.3">
      <c r="C34" s="373" t="s">
        <v>4708</v>
      </c>
      <c r="D34" s="423">
        <v>135100000</v>
      </c>
      <c r="E34" s="423">
        <v>74609360</v>
      </c>
      <c r="F34" s="424">
        <v>55.22528497409327</v>
      </c>
      <c r="G34" s="423">
        <v>60490640</v>
      </c>
      <c r="H34" s="424">
        <v>44.774715025906737</v>
      </c>
    </row>
    <row r="35" spans="3:8" x14ac:dyDescent="0.3">
      <c r="C35" s="391" t="s">
        <v>4718</v>
      </c>
      <c r="D35" s="429">
        <v>135100000</v>
      </c>
      <c r="E35" s="429">
        <v>74609360</v>
      </c>
      <c r="F35" s="430">
        <v>55.22528497409327</v>
      </c>
      <c r="G35" s="429">
        <v>60490640</v>
      </c>
      <c r="H35" s="430">
        <v>44.774715025906737</v>
      </c>
    </row>
    <row r="36" spans="3:8" x14ac:dyDescent="0.3">
      <c r="C36" s="375" t="s">
        <v>4719</v>
      </c>
      <c r="D36" s="431">
        <v>135100000</v>
      </c>
      <c r="E36" s="431">
        <v>74609360</v>
      </c>
      <c r="F36" s="432">
        <v>55.22528497409327</v>
      </c>
      <c r="G36" s="431">
        <v>60490640</v>
      </c>
      <c r="H36" s="432">
        <v>44.774715025906737</v>
      </c>
    </row>
    <row r="37" spans="3:8" x14ac:dyDescent="0.3">
      <c r="C37" s="379" t="s">
        <v>4698</v>
      </c>
      <c r="D37" s="423">
        <v>13900000</v>
      </c>
      <c r="E37" s="423">
        <v>9490750</v>
      </c>
      <c r="F37" s="424">
        <v>68.27877697841727</v>
      </c>
      <c r="G37" s="423">
        <v>4409250</v>
      </c>
      <c r="H37" s="424">
        <v>31.721223021582734</v>
      </c>
    </row>
    <row r="38" spans="3:8" x14ac:dyDescent="0.3">
      <c r="C38" s="379" t="s">
        <v>4711</v>
      </c>
      <c r="D38" s="423">
        <v>8784000</v>
      </c>
      <c r="E38" s="423">
        <v>0</v>
      </c>
      <c r="F38" s="424">
        <v>0</v>
      </c>
      <c r="G38" s="423">
        <v>8784000</v>
      </c>
      <c r="H38" s="424">
        <v>100</v>
      </c>
    </row>
    <row r="39" spans="3:8" x14ac:dyDescent="0.3">
      <c r="C39" s="379" t="s">
        <v>4701</v>
      </c>
      <c r="D39" s="423">
        <v>10000000</v>
      </c>
      <c r="E39" s="423">
        <v>7200000</v>
      </c>
      <c r="F39" s="424">
        <v>72</v>
      </c>
      <c r="G39" s="423">
        <v>2800000</v>
      </c>
      <c r="H39" s="424">
        <v>28.000000000000004</v>
      </c>
    </row>
    <row r="40" spans="3:8" x14ac:dyDescent="0.3">
      <c r="C40" s="379" t="s">
        <v>4703</v>
      </c>
      <c r="D40" s="423">
        <v>5000000</v>
      </c>
      <c r="E40" s="423">
        <v>0</v>
      </c>
      <c r="F40" s="424">
        <v>0</v>
      </c>
      <c r="G40" s="423">
        <v>5000000</v>
      </c>
      <c r="H40" s="424">
        <v>100</v>
      </c>
    </row>
    <row r="41" spans="3:8" x14ac:dyDescent="0.3">
      <c r="C41" s="379" t="s">
        <v>4702</v>
      </c>
      <c r="D41" s="423">
        <v>97416000</v>
      </c>
      <c r="E41" s="423">
        <v>57918610</v>
      </c>
      <c r="F41" s="424">
        <v>59.454925268949651</v>
      </c>
      <c r="G41" s="423">
        <v>39497390</v>
      </c>
      <c r="H41" s="424">
        <v>40.545074731050342</v>
      </c>
    </row>
    <row r="42" spans="3:8" x14ac:dyDescent="0.3">
      <c r="C42" s="374" t="s">
        <v>531</v>
      </c>
      <c r="D42" s="425">
        <v>178600000</v>
      </c>
      <c r="E42" s="425">
        <v>79732500</v>
      </c>
      <c r="F42" s="426">
        <v>44.643057110862259</v>
      </c>
      <c r="G42" s="425">
        <v>98867500</v>
      </c>
      <c r="H42" s="426">
        <v>55.356942889137741</v>
      </c>
    </row>
    <row r="43" spans="3:8" x14ac:dyDescent="0.3">
      <c r="C43" s="226" t="s">
        <v>532</v>
      </c>
      <c r="D43" s="427">
        <v>124100000</v>
      </c>
      <c r="E43" s="427">
        <v>55518000</v>
      </c>
      <c r="F43" s="428">
        <v>44.736502820306207</v>
      </c>
      <c r="G43" s="427">
        <v>68582000</v>
      </c>
      <c r="H43" s="428">
        <v>55.2634971796938</v>
      </c>
    </row>
    <row r="44" spans="3:8" x14ac:dyDescent="0.3">
      <c r="C44" s="373" t="s">
        <v>4708</v>
      </c>
      <c r="D44" s="423">
        <v>124100000</v>
      </c>
      <c r="E44" s="423">
        <v>55518000</v>
      </c>
      <c r="F44" s="424">
        <v>44.736502820306207</v>
      </c>
      <c r="G44" s="423">
        <v>68582000</v>
      </c>
      <c r="H44" s="424">
        <v>55.2634971796938</v>
      </c>
    </row>
    <row r="45" spans="3:8" x14ac:dyDescent="0.3">
      <c r="C45" s="391" t="s">
        <v>4709</v>
      </c>
      <c r="D45" s="429">
        <v>124100000</v>
      </c>
      <c r="E45" s="429">
        <v>55518000</v>
      </c>
      <c r="F45" s="430">
        <v>44.736502820306207</v>
      </c>
      <c r="G45" s="429">
        <v>68582000</v>
      </c>
      <c r="H45" s="430">
        <v>55.2634971796938</v>
      </c>
    </row>
    <row r="46" spans="3:8" x14ac:dyDescent="0.3">
      <c r="C46" s="375" t="s">
        <v>4710</v>
      </c>
      <c r="D46" s="431">
        <v>83135000</v>
      </c>
      <c r="E46" s="431">
        <v>33957000</v>
      </c>
      <c r="F46" s="432">
        <v>40.845612557887776</v>
      </c>
      <c r="G46" s="431">
        <v>49178000</v>
      </c>
      <c r="H46" s="432">
        <v>59.154387442112224</v>
      </c>
    </row>
    <row r="47" spans="3:8" x14ac:dyDescent="0.3">
      <c r="C47" s="379" t="s">
        <v>4698</v>
      </c>
      <c r="D47" s="423">
        <v>19875000</v>
      </c>
      <c r="E47" s="423">
        <v>5581000</v>
      </c>
      <c r="F47" s="424">
        <v>28.080503144654088</v>
      </c>
      <c r="G47" s="423">
        <v>14294000</v>
      </c>
      <c r="H47" s="424">
        <v>71.919496855345912</v>
      </c>
    </row>
    <row r="48" spans="3:8" x14ac:dyDescent="0.3">
      <c r="C48" s="379" t="s">
        <v>4701</v>
      </c>
      <c r="D48" s="423">
        <v>20000000</v>
      </c>
      <c r="E48" s="423">
        <v>2100000</v>
      </c>
      <c r="F48" s="424">
        <v>10.5</v>
      </c>
      <c r="G48" s="423">
        <v>17900000</v>
      </c>
      <c r="H48" s="424">
        <v>89.5</v>
      </c>
    </row>
    <row r="49" spans="3:8" x14ac:dyDescent="0.3">
      <c r="C49" s="379" t="s">
        <v>4702</v>
      </c>
      <c r="D49" s="423">
        <v>43260000</v>
      </c>
      <c r="E49" s="423">
        <v>26276000</v>
      </c>
      <c r="F49" s="424">
        <v>60.739713361072589</v>
      </c>
      <c r="G49" s="423">
        <v>16984000</v>
      </c>
      <c r="H49" s="424">
        <v>39.260286638927418</v>
      </c>
    </row>
    <row r="50" spans="3:8" x14ac:dyDescent="0.3">
      <c r="C50" s="375" t="s">
        <v>4712</v>
      </c>
      <c r="D50" s="431">
        <v>40965000</v>
      </c>
      <c r="E50" s="431">
        <v>21561000</v>
      </c>
      <c r="F50" s="432">
        <v>52.632735261808861</v>
      </c>
      <c r="G50" s="431">
        <v>19404000</v>
      </c>
      <c r="H50" s="432">
        <v>47.367264738191139</v>
      </c>
    </row>
    <row r="51" spans="3:8" x14ac:dyDescent="0.3">
      <c r="C51" s="379" t="s">
        <v>4698</v>
      </c>
      <c r="D51" s="423">
        <v>19500000</v>
      </c>
      <c r="E51" s="423">
        <v>4041000</v>
      </c>
      <c r="F51" s="424">
        <v>20.723076923076921</v>
      </c>
      <c r="G51" s="423">
        <v>15459000</v>
      </c>
      <c r="H51" s="424">
        <v>79.276923076923083</v>
      </c>
    </row>
    <row r="52" spans="3:8" x14ac:dyDescent="0.3">
      <c r="C52" s="379" t="s">
        <v>4701</v>
      </c>
      <c r="D52" s="423">
        <v>4000000</v>
      </c>
      <c r="E52" s="423">
        <v>900000</v>
      </c>
      <c r="F52" s="424">
        <v>22.5</v>
      </c>
      <c r="G52" s="423">
        <v>3100000</v>
      </c>
      <c r="H52" s="424">
        <v>77.5</v>
      </c>
    </row>
    <row r="53" spans="3:8" x14ac:dyDescent="0.3">
      <c r="C53" s="379" t="s">
        <v>4702</v>
      </c>
      <c r="D53" s="423">
        <v>17465000</v>
      </c>
      <c r="E53" s="423">
        <v>16620000</v>
      </c>
      <c r="F53" s="424">
        <v>95.161752075579727</v>
      </c>
      <c r="G53" s="423">
        <v>845000</v>
      </c>
      <c r="H53" s="424">
        <v>4.8382479244202692</v>
      </c>
    </row>
    <row r="54" spans="3:8" x14ac:dyDescent="0.3">
      <c r="C54" s="226" t="s">
        <v>534</v>
      </c>
      <c r="D54" s="427">
        <v>54500000</v>
      </c>
      <c r="E54" s="427">
        <v>24214500</v>
      </c>
      <c r="F54" s="428">
        <v>44.430275229357797</v>
      </c>
      <c r="G54" s="427">
        <v>30285500</v>
      </c>
      <c r="H54" s="428">
        <v>55.569724770642203</v>
      </c>
    </row>
    <row r="55" spans="3:8" x14ac:dyDescent="0.3">
      <c r="C55" s="373" t="s">
        <v>4708</v>
      </c>
      <c r="D55" s="423">
        <v>54500000</v>
      </c>
      <c r="E55" s="423">
        <v>24214500</v>
      </c>
      <c r="F55" s="424">
        <v>44.430275229357797</v>
      </c>
      <c r="G55" s="423">
        <v>30285500</v>
      </c>
      <c r="H55" s="424">
        <v>55.569724770642203</v>
      </c>
    </row>
    <row r="56" spans="3:8" x14ac:dyDescent="0.3">
      <c r="C56" s="391" t="s">
        <v>4713</v>
      </c>
      <c r="D56" s="429">
        <v>54500000</v>
      </c>
      <c r="E56" s="429">
        <v>24214500</v>
      </c>
      <c r="F56" s="430">
        <v>44.430275229357797</v>
      </c>
      <c r="G56" s="429">
        <v>30285500</v>
      </c>
      <c r="H56" s="430">
        <v>55.569724770642203</v>
      </c>
    </row>
    <row r="57" spans="3:8" x14ac:dyDescent="0.3">
      <c r="C57" s="375" t="s">
        <v>4730</v>
      </c>
      <c r="D57" s="431">
        <v>54500000</v>
      </c>
      <c r="E57" s="431">
        <v>24214500</v>
      </c>
      <c r="F57" s="432">
        <v>44.430275229357797</v>
      </c>
      <c r="G57" s="431">
        <v>30285500</v>
      </c>
      <c r="H57" s="432">
        <v>55.569724770642203</v>
      </c>
    </row>
    <row r="58" spans="3:8" x14ac:dyDescent="0.3">
      <c r="C58" s="379" t="s">
        <v>4698</v>
      </c>
      <c r="D58" s="423">
        <v>21250000</v>
      </c>
      <c r="E58" s="423">
        <v>3120000</v>
      </c>
      <c r="F58" s="424">
        <v>14.682352941176472</v>
      </c>
      <c r="G58" s="423">
        <v>18130000</v>
      </c>
      <c r="H58" s="424">
        <v>85.317647058823525</v>
      </c>
    </row>
    <row r="59" spans="3:8" x14ac:dyDescent="0.3">
      <c r="C59" s="379" t="s">
        <v>4702</v>
      </c>
      <c r="D59" s="423">
        <v>33250000</v>
      </c>
      <c r="E59" s="423">
        <v>21094500</v>
      </c>
      <c r="F59" s="424">
        <v>63.442105263157899</v>
      </c>
      <c r="G59" s="423">
        <v>12155500</v>
      </c>
      <c r="H59" s="424">
        <v>36.557894736842108</v>
      </c>
    </row>
    <row r="60" spans="3:8" x14ac:dyDescent="0.3">
      <c r="C60" s="373" t="s">
        <v>4721</v>
      </c>
      <c r="D60" s="423">
        <v>10375804000</v>
      </c>
      <c r="E60" s="423">
        <v>5698800832</v>
      </c>
      <c r="F60" s="424">
        <v>54.923944515528632</v>
      </c>
      <c r="G60" s="423">
        <v>4677003168</v>
      </c>
      <c r="H60" s="424">
        <v>45.076055484471375</v>
      </c>
    </row>
    <row r="61" spans="3:8" x14ac:dyDescent="0.3">
      <c r="C61" s="373" t="s">
        <v>4722</v>
      </c>
      <c r="D61" s="423">
        <v>4293304000</v>
      </c>
      <c r="E61" s="423">
        <v>2222086920</v>
      </c>
      <c r="F61" s="424">
        <v>51.75703653875896</v>
      </c>
      <c r="G61" s="423">
        <v>2071217080</v>
      </c>
      <c r="H61" s="424">
        <v>48.24296346124104</v>
      </c>
    </row>
    <row r="62" spans="3:8" x14ac:dyDescent="0.3">
      <c r="C62" s="374" t="s">
        <v>535</v>
      </c>
      <c r="D62" s="425">
        <v>17357000</v>
      </c>
      <c r="E62" s="425">
        <v>13647358</v>
      </c>
      <c r="F62" s="426">
        <v>78.627401048568302</v>
      </c>
      <c r="G62" s="425">
        <v>3709642</v>
      </c>
      <c r="H62" s="426">
        <v>21.372598951431698</v>
      </c>
    </row>
    <row r="63" spans="3:8" x14ac:dyDescent="0.3">
      <c r="C63" s="226" t="s">
        <v>538</v>
      </c>
      <c r="D63" s="427">
        <v>17357000</v>
      </c>
      <c r="E63" s="427">
        <v>13647358</v>
      </c>
      <c r="F63" s="428">
        <v>78.627401048568302</v>
      </c>
      <c r="G63" s="427">
        <v>3709642</v>
      </c>
      <c r="H63" s="428">
        <v>21.372598951431698</v>
      </c>
    </row>
    <row r="64" spans="3:8" x14ac:dyDescent="0.3">
      <c r="C64" s="373" t="s">
        <v>4743</v>
      </c>
      <c r="D64" s="423">
        <v>17357000</v>
      </c>
      <c r="E64" s="423">
        <v>13647358</v>
      </c>
      <c r="F64" s="424">
        <v>78.627401048568302</v>
      </c>
      <c r="G64" s="423">
        <v>3709642</v>
      </c>
      <c r="H64" s="424">
        <v>21.372598951431698</v>
      </c>
    </row>
    <row r="65" spans="3:8" x14ac:dyDescent="0.3">
      <c r="C65" s="391" t="s">
        <v>4742</v>
      </c>
      <c r="D65" s="429">
        <v>17357000</v>
      </c>
      <c r="E65" s="429">
        <v>13647358</v>
      </c>
      <c r="F65" s="430">
        <v>78.627401048568302</v>
      </c>
      <c r="G65" s="429">
        <v>3709642</v>
      </c>
      <c r="H65" s="430">
        <v>21.372598951431698</v>
      </c>
    </row>
    <row r="66" spans="3:8" x14ac:dyDescent="0.3">
      <c r="C66" s="375" t="s">
        <v>4747</v>
      </c>
      <c r="D66" s="431">
        <v>17357000</v>
      </c>
      <c r="E66" s="431">
        <v>13647358</v>
      </c>
      <c r="F66" s="432">
        <v>78.627401048568302</v>
      </c>
      <c r="G66" s="431">
        <v>3709642</v>
      </c>
      <c r="H66" s="432">
        <v>21.372598951431698</v>
      </c>
    </row>
    <row r="67" spans="3:8" x14ac:dyDescent="0.3">
      <c r="C67" s="379" t="s">
        <v>4698</v>
      </c>
      <c r="D67" s="423">
        <v>4000000</v>
      </c>
      <c r="E67" s="423">
        <v>3999200</v>
      </c>
      <c r="F67" s="424">
        <v>99.98</v>
      </c>
      <c r="G67" s="423">
        <v>800</v>
      </c>
      <c r="H67" s="424">
        <v>0.02</v>
      </c>
    </row>
    <row r="68" spans="3:8" x14ac:dyDescent="0.3">
      <c r="C68" s="379" t="s">
        <v>4711</v>
      </c>
      <c r="D68" s="423">
        <v>4298000</v>
      </c>
      <c r="E68" s="423">
        <v>4297458</v>
      </c>
      <c r="F68" s="424">
        <v>99.987389483480698</v>
      </c>
      <c r="G68" s="423">
        <v>542</v>
      </c>
      <c r="H68" s="424">
        <v>1.2610516519311306E-2</v>
      </c>
    </row>
    <row r="69" spans="3:8" x14ac:dyDescent="0.3">
      <c r="C69" s="379" t="s">
        <v>4702</v>
      </c>
      <c r="D69" s="423">
        <v>9059000</v>
      </c>
      <c r="E69" s="423">
        <v>5350700</v>
      </c>
      <c r="F69" s="424">
        <v>59.065018213930898</v>
      </c>
      <c r="G69" s="423">
        <v>3708300</v>
      </c>
      <c r="H69" s="424">
        <v>40.934981786069102</v>
      </c>
    </row>
    <row r="70" spans="3:8" x14ac:dyDescent="0.3">
      <c r="C70" s="374" t="s">
        <v>531</v>
      </c>
      <c r="D70" s="425">
        <v>193769000</v>
      </c>
      <c r="E70" s="425">
        <v>127448590</v>
      </c>
      <c r="F70" s="426">
        <v>65.773467376102474</v>
      </c>
      <c r="G70" s="425">
        <v>66320410</v>
      </c>
      <c r="H70" s="426">
        <v>34.226532623897526</v>
      </c>
    </row>
    <row r="71" spans="3:8" x14ac:dyDescent="0.3">
      <c r="C71" s="226" t="s">
        <v>532</v>
      </c>
      <c r="D71" s="427">
        <v>83506000</v>
      </c>
      <c r="E71" s="427">
        <v>78297590</v>
      </c>
      <c r="F71" s="428">
        <v>93.762831413311616</v>
      </c>
      <c r="G71" s="427">
        <v>5208410</v>
      </c>
      <c r="H71" s="428">
        <v>6.2371685866883819</v>
      </c>
    </row>
    <row r="72" spans="3:8" x14ac:dyDescent="0.3">
      <c r="C72" s="373" t="s">
        <v>4743</v>
      </c>
      <c r="D72" s="423">
        <v>83506000</v>
      </c>
      <c r="E72" s="423">
        <v>78297590</v>
      </c>
      <c r="F72" s="424">
        <v>93.762831413311616</v>
      </c>
      <c r="G72" s="423">
        <v>5208410</v>
      </c>
      <c r="H72" s="424">
        <v>6.2371685866883819</v>
      </c>
    </row>
    <row r="73" spans="3:8" x14ac:dyDescent="0.3">
      <c r="C73" s="391" t="s">
        <v>4742</v>
      </c>
      <c r="D73" s="429">
        <v>83506000</v>
      </c>
      <c r="E73" s="429">
        <v>78297590</v>
      </c>
      <c r="F73" s="430">
        <v>93.762831413311616</v>
      </c>
      <c r="G73" s="429">
        <v>5208410</v>
      </c>
      <c r="H73" s="430">
        <v>6.2371685866883819</v>
      </c>
    </row>
    <row r="74" spans="3:8" x14ac:dyDescent="0.3">
      <c r="C74" s="375" t="s">
        <v>4748</v>
      </c>
      <c r="D74" s="431">
        <v>83506000</v>
      </c>
      <c r="E74" s="431">
        <v>78297590</v>
      </c>
      <c r="F74" s="432">
        <v>93.762831413311616</v>
      </c>
      <c r="G74" s="431">
        <v>5208410</v>
      </c>
      <c r="H74" s="432">
        <v>6.2371685866883819</v>
      </c>
    </row>
    <row r="75" spans="3:8" x14ac:dyDescent="0.3">
      <c r="C75" s="379" t="s">
        <v>4698</v>
      </c>
      <c r="D75" s="423">
        <v>12550000</v>
      </c>
      <c r="E75" s="423">
        <v>11542500</v>
      </c>
      <c r="F75" s="424">
        <v>91.972111553784856</v>
      </c>
      <c r="G75" s="423">
        <v>1007500</v>
      </c>
      <c r="H75" s="424">
        <v>8.0278884462151403</v>
      </c>
    </row>
    <row r="76" spans="3:8" x14ac:dyDescent="0.3">
      <c r="C76" s="379" t="s">
        <v>4711</v>
      </c>
      <c r="D76" s="423">
        <v>1192000</v>
      </c>
      <c r="E76" s="423">
        <v>1191418</v>
      </c>
      <c r="F76" s="424">
        <v>99.951174496644285</v>
      </c>
      <c r="G76" s="423">
        <v>582</v>
      </c>
      <c r="H76" s="424">
        <v>4.8825503355704701E-2</v>
      </c>
    </row>
    <row r="77" spans="3:8" x14ac:dyDescent="0.3">
      <c r="C77" s="379" t="s">
        <v>4701</v>
      </c>
      <c r="D77" s="423">
        <v>9000000</v>
      </c>
      <c r="E77" s="423">
        <v>4800000</v>
      </c>
      <c r="F77" s="424">
        <v>53.333333333333336</v>
      </c>
      <c r="G77" s="423">
        <v>4200000</v>
      </c>
      <c r="H77" s="424">
        <v>46.666666666666664</v>
      </c>
    </row>
    <row r="78" spans="3:8" x14ac:dyDescent="0.3">
      <c r="C78" s="379" t="s">
        <v>4702</v>
      </c>
      <c r="D78" s="423">
        <v>60764000</v>
      </c>
      <c r="E78" s="423">
        <v>60763672</v>
      </c>
      <c r="F78" s="424">
        <v>99.999460206701343</v>
      </c>
      <c r="G78" s="423">
        <v>328</v>
      </c>
      <c r="H78" s="424">
        <v>5.3979329866368244E-4</v>
      </c>
    </row>
    <row r="79" spans="3:8" x14ac:dyDescent="0.3">
      <c r="C79" s="226" t="s">
        <v>534</v>
      </c>
      <c r="D79" s="427">
        <v>110263000</v>
      </c>
      <c r="E79" s="427">
        <v>49151000</v>
      </c>
      <c r="F79" s="428">
        <v>44.576149751049762</v>
      </c>
      <c r="G79" s="427">
        <v>61112000</v>
      </c>
      <c r="H79" s="428">
        <v>55.423850248950238</v>
      </c>
    </row>
    <row r="80" spans="3:8" x14ac:dyDescent="0.3">
      <c r="C80" s="373" t="s">
        <v>4743</v>
      </c>
      <c r="D80" s="423">
        <v>110263000</v>
      </c>
      <c r="E80" s="423">
        <v>49151000</v>
      </c>
      <c r="F80" s="424">
        <v>44.576149751049762</v>
      </c>
      <c r="G80" s="423">
        <v>61112000</v>
      </c>
      <c r="H80" s="424">
        <v>55.423850248950238</v>
      </c>
    </row>
    <row r="81" spans="3:8" x14ac:dyDescent="0.3">
      <c r="C81" s="391" t="s">
        <v>4742</v>
      </c>
      <c r="D81" s="429">
        <v>110263000</v>
      </c>
      <c r="E81" s="429">
        <v>49151000</v>
      </c>
      <c r="F81" s="430">
        <v>44.576149751049762</v>
      </c>
      <c r="G81" s="429">
        <v>61112000</v>
      </c>
      <c r="H81" s="430">
        <v>55.423850248950238</v>
      </c>
    </row>
    <row r="82" spans="3:8" x14ac:dyDescent="0.3">
      <c r="C82" s="375" t="s">
        <v>4750</v>
      </c>
      <c r="D82" s="431">
        <v>110263000</v>
      </c>
      <c r="E82" s="431">
        <v>49151000</v>
      </c>
      <c r="F82" s="432">
        <v>44.576149751049762</v>
      </c>
      <c r="G82" s="431">
        <v>61112000</v>
      </c>
      <c r="H82" s="432">
        <v>55.423850248950238</v>
      </c>
    </row>
    <row r="83" spans="3:8" x14ac:dyDescent="0.3">
      <c r="C83" s="379" t="s">
        <v>4698</v>
      </c>
      <c r="D83" s="423">
        <v>17550000</v>
      </c>
      <c r="E83" s="423">
        <v>9469000</v>
      </c>
      <c r="F83" s="424">
        <v>53.954415954415957</v>
      </c>
      <c r="G83" s="423">
        <v>8081000</v>
      </c>
      <c r="H83" s="424">
        <v>46.04558404558405</v>
      </c>
    </row>
    <row r="84" spans="3:8" x14ac:dyDescent="0.3">
      <c r="C84" s="379" t="s">
        <v>4711</v>
      </c>
      <c r="D84" s="423">
        <v>27651000</v>
      </c>
      <c r="E84" s="423">
        <v>620000</v>
      </c>
      <c r="F84" s="424">
        <v>2.2422335539401832</v>
      </c>
      <c r="G84" s="423">
        <v>27031000</v>
      </c>
      <c r="H84" s="424">
        <v>97.757766446059819</v>
      </c>
    </row>
    <row r="85" spans="3:8" x14ac:dyDescent="0.3">
      <c r="C85" s="379" t="s">
        <v>4701</v>
      </c>
      <c r="D85" s="423">
        <v>40000000</v>
      </c>
      <c r="E85" s="423">
        <v>14000000</v>
      </c>
      <c r="F85" s="424">
        <v>35</v>
      </c>
      <c r="G85" s="423">
        <v>26000000</v>
      </c>
      <c r="H85" s="424">
        <v>65</v>
      </c>
    </row>
    <row r="86" spans="3:8" x14ac:dyDescent="0.3">
      <c r="C86" s="379" t="s">
        <v>4702</v>
      </c>
      <c r="D86" s="423">
        <v>25062000</v>
      </c>
      <c r="E86" s="423">
        <v>25062000</v>
      </c>
      <c r="F86" s="424">
        <v>100</v>
      </c>
      <c r="G86" s="423">
        <v>0</v>
      </c>
      <c r="H86" s="424">
        <v>0</v>
      </c>
    </row>
    <row r="87" spans="3:8" x14ac:dyDescent="0.3">
      <c r="C87" s="374" t="s">
        <v>542</v>
      </c>
      <c r="D87" s="425">
        <v>463716000</v>
      </c>
      <c r="E87" s="425">
        <v>236473592</v>
      </c>
      <c r="F87" s="426">
        <v>50.995348877330095</v>
      </c>
      <c r="G87" s="425">
        <v>227242408</v>
      </c>
      <c r="H87" s="426">
        <v>49.004651122669912</v>
      </c>
    </row>
    <row r="88" spans="3:8" x14ac:dyDescent="0.3">
      <c r="C88" s="226" t="s">
        <v>591</v>
      </c>
      <c r="D88" s="427">
        <v>169798000</v>
      </c>
      <c r="E88" s="427">
        <v>105796297</v>
      </c>
      <c r="F88" s="428">
        <v>62.307151438768415</v>
      </c>
      <c r="G88" s="427">
        <v>64001703</v>
      </c>
      <c r="H88" s="428">
        <v>37.692848561231578</v>
      </c>
    </row>
    <row r="89" spans="3:8" x14ac:dyDescent="0.3">
      <c r="C89" s="373" t="s">
        <v>4775</v>
      </c>
      <c r="D89" s="423">
        <v>169798000</v>
      </c>
      <c r="E89" s="423">
        <v>105796297</v>
      </c>
      <c r="F89" s="424">
        <v>62.307151438768415</v>
      </c>
      <c r="G89" s="423">
        <v>64001703</v>
      </c>
      <c r="H89" s="424">
        <v>37.692848561231578</v>
      </c>
    </row>
    <row r="90" spans="3:8" x14ac:dyDescent="0.3">
      <c r="C90" s="391" t="s">
        <v>4774</v>
      </c>
      <c r="D90" s="429">
        <v>119729000</v>
      </c>
      <c r="E90" s="429">
        <v>77314297</v>
      </c>
      <c r="F90" s="430">
        <v>64.574411379030977</v>
      </c>
      <c r="G90" s="429">
        <v>42414703</v>
      </c>
      <c r="H90" s="430">
        <v>35.425588620969023</v>
      </c>
    </row>
    <row r="91" spans="3:8" x14ac:dyDescent="0.3">
      <c r="C91" s="375" t="s">
        <v>4726</v>
      </c>
      <c r="D91" s="431">
        <v>43789000</v>
      </c>
      <c r="E91" s="431">
        <v>6778028</v>
      </c>
      <c r="F91" s="432">
        <v>15.47883715088264</v>
      </c>
      <c r="G91" s="431">
        <v>37010972</v>
      </c>
      <c r="H91" s="432">
        <v>84.52116284911736</v>
      </c>
    </row>
    <row r="92" spans="3:8" x14ac:dyDescent="0.3">
      <c r="C92" s="379" t="s">
        <v>4698</v>
      </c>
      <c r="D92" s="423">
        <v>23250000</v>
      </c>
      <c r="E92" s="423">
        <v>6278500</v>
      </c>
      <c r="F92" s="424">
        <v>27.004301075268817</v>
      </c>
      <c r="G92" s="423">
        <v>16971500</v>
      </c>
      <c r="H92" s="424">
        <v>72.995698924731172</v>
      </c>
    </row>
    <row r="93" spans="3:8" x14ac:dyDescent="0.3">
      <c r="C93" s="379" t="s">
        <v>4711</v>
      </c>
      <c r="D93" s="423">
        <v>2000000</v>
      </c>
      <c r="E93" s="423">
        <v>499528</v>
      </c>
      <c r="F93" s="424">
        <v>24.976400000000002</v>
      </c>
      <c r="G93" s="423">
        <v>1500472</v>
      </c>
      <c r="H93" s="424">
        <v>75.023600000000002</v>
      </c>
    </row>
    <row r="94" spans="3:8" x14ac:dyDescent="0.3">
      <c r="C94" s="379" t="s">
        <v>4702</v>
      </c>
      <c r="D94" s="423">
        <v>18539000</v>
      </c>
      <c r="E94" s="423">
        <v>0</v>
      </c>
      <c r="F94" s="424">
        <v>0</v>
      </c>
      <c r="G94" s="423">
        <v>18539000</v>
      </c>
      <c r="H94" s="424">
        <v>100</v>
      </c>
    </row>
    <row r="95" spans="3:8" x14ac:dyDescent="0.3">
      <c r="C95" s="375" t="s">
        <v>4727</v>
      </c>
      <c r="D95" s="431">
        <v>75940000</v>
      </c>
      <c r="E95" s="431">
        <v>70536269</v>
      </c>
      <c r="F95" s="432">
        <v>92.884209902554645</v>
      </c>
      <c r="G95" s="431">
        <v>5403731</v>
      </c>
      <c r="H95" s="432">
        <v>7.1157900974453518</v>
      </c>
    </row>
    <row r="96" spans="3:8" x14ac:dyDescent="0.3">
      <c r="C96" s="379" t="s">
        <v>4698</v>
      </c>
      <c r="D96" s="423">
        <v>13525000</v>
      </c>
      <c r="E96" s="423">
        <v>9519000</v>
      </c>
      <c r="F96" s="424">
        <v>70.380776340110913</v>
      </c>
      <c r="G96" s="423">
        <v>4006000</v>
      </c>
      <c r="H96" s="424">
        <v>29.619223659889094</v>
      </c>
    </row>
    <row r="97" spans="3:8" x14ac:dyDescent="0.3">
      <c r="C97" s="379" t="s">
        <v>4711</v>
      </c>
      <c r="D97" s="423">
        <v>2000000</v>
      </c>
      <c r="E97" s="423">
        <v>603014</v>
      </c>
      <c r="F97" s="424">
        <v>30.150700000000004</v>
      </c>
      <c r="G97" s="423">
        <v>1396986</v>
      </c>
      <c r="H97" s="424">
        <v>69.849299999999999</v>
      </c>
    </row>
    <row r="98" spans="3:8" x14ac:dyDescent="0.3">
      <c r="C98" s="379" t="s">
        <v>4702</v>
      </c>
      <c r="D98" s="423">
        <v>60415000</v>
      </c>
      <c r="E98" s="423">
        <v>60414255</v>
      </c>
      <c r="F98" s="424">
        <v>99.99876686253414</v>
      </c>
      <c r="G98" s="423">
        <v>745</v>
      </c>
      <c r="H98" s="424">
        <v>1.2331374658611273E-3</v>
      </c>
    </row>
    <row r="99" spans="3:8" x14ac:dyDescent="0.3">
      <c r="C99" s="391" t="s">
        <v>4776</v>
      </c>
      <c r="D99" s="429">
        <v>50069000</v>
      </c>
      <c r="E99" s="429">
        <v>28482000</v>
      </c>
      <c r="F99" s="430">
        <v>56.885498012742417</v>
      </c>
      <c r="G99" s="429">
        <v>21587000</v>
      </c>
      <c r="H99" s="430">
        <v>43.114501987257583</v>
      </c>
    </row>
    <row r="100" spans="3:8" x14ac:dyDescent="0.3">
      <c r="C100" s="375" t="s">
        <v>4777</v>
      </c>
      <c r="D100" s="431">
        <v>50069000</v>
      </c>
      <c r="E100" s="431">
        <v>28482000</v>
      </c>
      <c r="F100" s="432">
        <v>56.885498012742417</v>
      </c>
      <c r="G100" s="431">
        <v>21587000</v>
      </c>
      <c r="H100" s="432">
        <v>43.114501987257583</v>
      </c>
    </row>
    <row r="101" spans="3:8" x14ac:dyDescent="0.3">
      <c r="C101" s="379" t="s">
        <v>4698</v>
      </c>
      <c r="D101" s="423">
        <v>17900000</v>
      </c>
      <c r="E101" s="423">
        <v>8344000</v>
      </c>
      <c r="F101" s="424">
        <v>46.614525139664806</v>
      </c>
      <c r="G101" s="423">
        <v>9556000</v>
      </c>
      <c r="H101" s="424">
        <v>53.385474860335194</v>
      </c>
    </row>
    <row r="102" spans="3:8" x14ac:dyDescent="0.3">
      <c r="C102" s="379" t="s">
        <v>4711</v>
      </c>
      <c r="D102" s="423">
        <v>2000000</v>
      </c>
      <c r="E102" s="423">
        <v>0</v>
      </c>
      <c r="F102" s="424">
        <v>0</v>
      </c>
      <c r="G102" s="423">
        <v>2000000</v>
      </c>
      <c r="H102" s="424">
        <v>100</v>
      </c>
    </row>
    <row r="103" spans="3:8" x14ac:dyDescent="0.3">
      <c r="C103" s="379" t="s">
        <v>4702</v>
      </c>
      <c r="D103" s="423">
        <v>30169000</v>
      </c>
      <c r="E103" s="423">
        <v>20138000</v>
      </c>
      <c r="F103" s="424">
        <v>66.750638072193311</v>
      </c>
      <c r="G103" s="423">
        <v>10031000</v>
      </c>
      <c r="H103" s="424">
        <v>33.249361927806689</v>
      </c>
    </row>
    <row r="104" spans="3:8" x14ac:dyDescent="0.3">
      <c r="C104" s="226" t="s">
        <v>543</v>
      </c>
      <c r="D104" s="427">
        <v>293918000</v>
      </c>
      <c r="E104" s="427">
        <v>130677295</v>
      </c>
      <c r="F104" s="428">
        <v>44.460460060288924</v>
      </c>
      <c r="G104" s="427">
        <v>163240705</v>
      </c>
      <c r="H104" s="428">
        <v>55.539539939711076</v>
      </c>
    </row>
    <row r="105" spans="3:8" x14ac:dyDescent="0.3">
      <c r="C105" s="373" t="s">
        <v>4741</v>
      </c>
      <c r="D105" s="423">
        <v>113346000</v>
      </c>
      <c r="E105" s="423">
        <v>28697850</v>
      </c>
      <c r="F105" s="424">
        <v>25.318802604414802</v>
      </c>
      <c r="G105" s="423">
        <v>84648150</v>
      </c>
      <c r="H105" s="424">
        <v>74.681197395585201</v>
      </c>
    </row>
    <row r="106" spans="3:8" x14ac:dyDescent="0.3">
      <c r="C106" s="391" t="s">
        <v>4740</v>
      </c>
      <c r="D106" s="429">
        <v>113346000</v>
      </c>
      <c r="E106" s="429">
        <v>28697850</v>
      </c>
      <c r="F106" s="430">
        <v>25.318802604414802</v>
      </c>
      <c r="G106" s="429">
        <v>84648150</v>
      </c>
      <c r="H106" s="430">
        <v>74.681197395585201</v>
      </c>
    </row>
    <row r="107" spans="3:8" x14ac:dyDescent="0.3">
      <c r="C107" s="375" t="s">
        <v>4739</v>
      </c>
      <c r="D107" s="431">
        <v>113346000</v>
      </c>
      <c r="E107" s="431">
        <v>28697850</v>
      </c>
      <c r="F107" s="432">
        <v>25.318802604414802</v>
      </c>
      <c r="G107" s="431">
        <v>84648150</v>
      </c>
      <c r="H107" s="432">
        <v>74.681197395585201</v>
      </c>
    </row>
    <row r="108" spans="3:8" x14ac:dyDescent="0.3">
      <c r="C108" s="379" t="s">
        <v>4698</v>
      </c>
      <c r="D108" s="423">
        <v>12400000</v>
      </c>
      <c r="E108" s="423">
        <v>5947500</v>
      </c>
      <c r="F108" s="424">
        <v>47.963709677419352</v>
      </c>
      <c r="G108" s="423">
        <v>6452500</v>
      </c>
      <c r="H108" s="424">
        <v>52.036290322580648</v>
      </c>
    </row>
    <row r="109" spans="3:8" x14ac:dyDescent="0.3">
      <c r="C109" s="379" t="s">
        <v>4716</v>
      </c>
      <c r="D109" s="423">
        <v>10000000</v>
      </c>
      <c r="E109" s="423">
        <v>4379750</v>
      </c>
      <c r="F109" s="424">
        <v>43.797499999999999</v>
      </c>
      <c r="G109" s="423">
        <v>5620250</v>
      </c>
      <c r="H109" s="424">
        <v>56.202500000000001</v>
      </c>
    </row>
    <row r="110" spans="3:8" ht="17.100000000000001" customHeight="1" x14ac:dyDescent="0.3">
      <c r="C110" s="379" t="s">
        <v>4702</v>
      </c>
      <c r="D110" s="423">
        <v>90946000</v>
      </c>
      <c r="E110" s="423">
        <v>18370600</v>
      </c>
      <c r="F110" s="424">
        <v>20.199459019638027</v>
      </c>
      <c r="G110" s="423">
        <v>72575400</v>
      </c>
      <c r="H110" s="424">
        <v>79.800540980361973</v>
      </c>
    </row>
    <row r="111" spans="3:8" x14ac:dyDescent="0.3">
      <c r="C111" s="373" t="s">
        <v>4769</v>
      </c>
      <c r="D111" s="423">
        <v>180572000</v>
      </c>
      <c r="E111" s="423">
        <v>101979445</v>
      </c>
      <c r="F111" s="424">
        <v>56.475779744367891</v>
      </c>
      <c r="G111" s="423">
        <v>78592555</v>
      </c>
      <c r="H111" s="424">
        <v>43.524220255632102</v>
      </c>
    </row>
    <row r="112" spans="3:8" x14ac:dyDescent="0.3">
      <c r="C112" s="391" t="s">
        <v>4770</v>
      </c>
      <c r="D112" s="429">
        <v>180572000</v>
      </c>
      <c r="E112" s="429">
        <v>101979445</v>
      </c>
      <c r="F112" s="430">
        <v>56.475779744367891</v>
      </c>
      <c r="G112" s="429">
        <v>78592555</v>
      </c>
      <c r="H112" s="430">
        <v>43.524220255632102</v>
      </c>
    </row>
    <row r="113" spans="3:8" x14ac:dyDescent="0.3">
      <c r="C113" s="375" t="s">
        <v>4771</v>
      </c>
      <c r="D113" s="431">
        <v>22164000</v>
      </c>
      <c r="E113" s="431">
        <v>13706395</v>
      </c>
      <c r="F113" s="432">
        <v>61.84080039704024</v>
      </c>
      <c r="G113" s="431">
        <v>8457605</v>
      </c>
      <c r="H113" s="432">
        <v>38.159199602959752</v>
      </c>
    </row>
    <row r="114" spans="3:8" x14ac:dyDescent="0.3">
      <c r="C114" s="379" t="s">
        <v>4698</v>
      </c>
      <c r="D114" s="423">
        <v>6000000</v>
      </c>
      <c r="E114" s="423">
        <v>2991000</v>
      </c>
      <c r="F114" s="424">
        <v>49.85</v>
      </c>
      <c r="G114" s="423">
        <v>3009000</v>
      </c>
      <c r="H114" s="424">
        <v>50.149999999999991</v>
      </c>
    </row>
    <row r="115" spans="3:8" x14ac:dyDescent="0.3">
      <c r="C115" s="379" t="s">
        <v>4711</v>
      </c>
      <c r="D115" s="423">
        <v>1000000</v>
      </c>
      <c r="E115" s="423">
        <v>702895</v>
      </c>
      <c r="F115" s="424">
        <v>70.289500000000004</v>
      </c>
      <c r="G115" s="423">
        <v>297105</v>
      </c>
      <c r="H115" s="424">
        <v>29.7105</v>
      </c>
    </row>
    <row r="116" spans="3:8" x14ac:dyDescent="0.3">
      <c r="C116" s="379" t="s">
        <v>4716</v>
      </c>
      <c r="D116" s="423">
        <v>10000000</v>
      </c>
      <c r="E116" s="423">
        <v>4849000</v>
      </c>
      <c r="F116" s="424">
        <v>48.49</v>
      </c>
      <c r="G116" s="423">
        <v>5151000</v>
      </c>
      <c r="H116" s="424">
        <v>51.51</v>
      </c>
    </row>
    <row r="117" spans="3:8" ht="17.100000000000001" customHeight="1" x14ac:dyDescent="0.3">
      <c r="C117" s="379" t="s">
        <v>4702</v>
      </c>
      <c r="D117" s="423">
        <v>5164000</v>
      </c>
      <c r="E117" s="423">
        <v>5163500</v>
      </c>
      <c r="F117" s="424">
        <v>99.990317583268791</v>
      </c>
      <c r="G117" s="423">
        <v>500</v>
      </c>
      <c r="H117" s="424">
        <v>9.6824167312161129E-3</v>
      </c>
    </row>
    <row r="118" spans="3:8" x14ac:dyDescent="0.3">
      <c r="C118" s="375" t="s">
        <v>4772</v>
      </c>
      <c r="D118" s="431">
        <v>78000000</v>
      </c>
      <c r="E118" s="431">
        <v>20151000</v>
      </c>
      <c r="F118" s="432">
        <v>25.834615384615383</v>
      </c>
      <c r="G118" s="431">
        <v>57849000</v>
      </c>
      <c r="H118" s="432">
        <v>74.16538461538461</v>
      </c>
    </row>
    <row r="119" spans="3:8" ht="17.100000000000001" customHeight="1" x14ac:dyDescent="0.3">
      <c r="C119" s="379" t="s">
        <v>4698</v>
      </c>
      <c r="D119" s="423">
        <v>12000000</v>
      </c>
      <c r="E119" s="423">
        <v>5939000</v>
      </c>
      <c r="F119" s="424">
        <v>49.491666666666667</v>
      </c>
      <c r="G119" s="423">
        <v>6061000</v>
      </c>
      <c r="H119" s="424">
        <v>50.508333333333333</v>
      </c>
    </row>
    <row r="120" spans="3:8" ht="17.100000000000001" customHeight="1" x14ac:dyDescent="0.3">
      <c r="C120" s="379" t="s">
        <v>4711</v>
      </c>
      <c r="D120" s="423">
        <v>1000000</v>
      </c>
      <c r="E120" s="423">
        <v>0</v>
      </c>
      <c r="F120" s="424">
        <v>0</v>
      </c>
      <c r="G120" s="423">
        <v>1000000</v>
      </c>
      <c r="H120" s="424">
        <v>100</v>
      </c>
    </row>
    <row r="121" spans="3:8" ht="17.100000000000001" customHeight="1" x14ac:dyDescent="0.3">
      <c r="C121" s="379" t="s">
        <v>4716</v>
      </c>
      <c r="D121" s="423">
        <v>20000000</v>
      </c>
      <c r="E121" s="423">
        <v>9783000</v>
      </c>
      <c r="F121" s="424">
        <v>48.914999999999999</v>
      </c>
      <c r="G121" s="423">
        <v>10217000</v>
      </c>
      <c r="H121" s="424">
        <v>51.085000000000001</v>
      </c>
    </row>
    <row r="122" spans="3:8" x14ac:dyDescent="0.3">
      <c r="C122" s="379" t="s">
        <v>4702</v>
      </c>
      <c r="D122" s="423">
        <v>45000000</v>
      </c>
      <c r="E122" s="423">
        <v>4429000</v>
      </c>
      <c r="F122" s="424">
        <v>9.8422222222222224</v>
      </c>
      <c r="G122" s="423">
        <v>40571000</v>
      </c>
      <c r="H122" s="424">
        <v>90.157777777777781</v>
      </c>
    </row>
    <row r="123" spans="3:8" x14ac:dyDescent="0.3">
      <c r="C123" s="375" t="s">
        <v>4773</v>
      </c>
      <c r="D123" s="431">
        <v>80408000</v>
      </c>
      <c r="E123" s="431">
        <v>68122050</v>
      </c>
      <c r="F123" s="432">
        <v>84.720488011143175</v>
      </c>
      <c r="G123" s="431">
        <v>12285950</v>
      </c>
      <c r="H123" s="432">
        <v>15.27951198885683</v>
      </c>
    </row>
    <row r="124" spans="3:8" x14ac:dyDescent="0.3">
      <c r="C124" s="379" t="s">
        <v>4698</v>
      </c>
      <c r="D124" s="423">
        <v>21000000</v>
      </c>
      <c r="E124" s="423">
        <v>16388500</v>
      </c>
      <c r="F124" s="424">
        <v>78.040476190476198</v>
      </c>
      <c r="G124" s="423">
        <v>4611500</v>
      </c>
      <c r="H124" s="424">
        <v>21.959523809523809</v>
      </c>
    </row>
    <row r="125" spans="3:8" ht="17.100000000000001" customHeight="1" x14ac:dyDescent="0.3">
      <c r="C125" s="379" t="s">
        <v>4716</v>
      </c>
      <c r="D125" s="423">
        <v>17500000</v>
      </c>
      <c r="E125" s="423">
        <v>9825750</v>
      </c>
      <c r="F125" s="424">
        <v>56.14714285714286</v>
      </c>
      <c r="G125" s="423">
        <v>7674250</v>
      </c>
      <c r="H125" s="424">
        <v>43.852857142857147</v>
      </c>
    </row>
    <row r="126" spans="3:8" ht="17.100000000000001" customHeight="1" x14ac:dyDescent="0.3">
      <c r="C126" s="379" t="s">
        <v>4702</v>
      </c>
      <c r="D126" s="423">
        <v>41908000</v>
      </c>
      <c r="E126" s="423">
        <v>41907800</v>
      </c>
      <c r="F126" s="424">
        <v>99.999522764150043</v>
      </c>
      <c r="G126" s="423">
        <v>200</v>
      </c>
      <c r="H126" s="424">
        <v>4.7723584995704876E-4</v>
      </c>
    </row>
    <row r="127" spans="3:8" ht="17.100000000000001" customHeight="1" x14ac:dyDescent="0.3">
      <c r="C127" s="374" t="s">
        <v>576</v>
      </c>
      <c r="D127" s="425">
        <v>3618462000</v>
      </c>
      <c r="E127" s="425">
        <v>1844517380</v>
      </c>
      <c r="F127" s="426">
        <v>50.97517619364249</v>
      </c>
      <c r="G127" s="425">
        <v>1773944620</v>
      </c>
      <c r="H127" s="426">
        <v>49.02482380635751</v>
      </c>
    </row>
    <row r="128" spans="3:8" x14ac:dyDescent="0.3">
      <c r="C128" s="226" t="s">
        <v>546</v>
      </c>
      <c r="D128" s="427">
        <v>197920000</v>
      </c>
      <c r="E128" s="427">
        <v>136548520</v>
      </c>
      <c r="F128" s="428">
        <v>68.991774454324982</v>
      </c>
      <c r="G128" s="427">
        <v>61371480</v>
      </c>
      <c r="H128" s="428">
        <v>31.008225545675021</v>
      </c>
    </row>
    <row r="129" spans="3:8" x14ac:dyDescent="0.3">
      <c r="C129" s="373" t="s">
        <v>4778</v>
      </c>
      <c r="D129" s="423">
        <v>197920000</v>
      </c>
      <c r="E129" s="423">
        <v>136548520</v>
      </c>
      <c r="F129" s="424">
        <v>68.991774454324982</v>
      </c>
      <c r="G129" s="423">
        <v>61371480</v>
      </c>
      <c r="H129" s="424">
        <v>31.008225545675021</v>
      </c>
    </row>
    <row r="130" spans="3:8" x14ac:dyDescent="0.3">
      <c r="C130" s="391" t="s">
        <v>4779</v>
      </c>
      <c r="D130" s="429">
        <v>197920000</v>
      </c>
      <c r="E130" s="429">
        <v>136548520</v>
      </c>
      <c r="F130" s="430">
        <v>68.991774454324982</v>
      </c>
      <c r="G130" s="429">
        <v>61371480</v>
      </c>
      <c r="H130" s="430">
        <v>31.008225545675021</v>
      </c>
    </row>
    <row r="131" spans="3:8" x14ac:dyDescent="0.3">
      <c r="C131" s="375" t="s">
        <v>4780</v>
      </c>
      <c r="D131" s="431">
        <v>27102000</v>
      </c>
      <c r="E131" s="431">
        <v>22532552</v>
      </c>
      <c r="F131" s="432">
        <v>83.139812559958671</v>
      </c>
      <c r="G131" s="431">
        <v>4569448</v>
      </c>
      <c r="H131" s="432">
        <v>16.860187440041326</v>
      </c>
    </row>
    <row r="132" spans="3:8" ht="17.100000000000001" customHeight="1" x14ac:dyDescent="0.3">
      <c r="C132" s="379" t="s">
        <v>4698</v>
      </c>
      <c r="D132" s="423">
        <v>18400000</v>
      </c>
      <c r="E132" s="423">
        <v>13831000</v>
      </c>
      <c r="F132" s="424">
        <v>75.168478260869563</v>
      </c>
      <c r="G132" s="423">
        <v>4569000</v>
      </c>
      <c r="H132" s="424">
        <v>24.831521739130437</v>
      </c>
    </row>
    <row r="133" spans="3:8" ht="17.100000000000001" customHeight="1" x14ac:dyDescent="0.3">
      <c r="C133" s="379" t="s">
        <v>4702</v>
      </c>
      <c r="D133" s="423">
        <v>8702000</v>
      </c>
      <c r="E133" s="423">
        <v>8701552</v>
      </c>
      <c r="F133" s="424">
        <v>99.994851758216498</v>
      </c>
      <c r="G133" s="423">
        <v>448</v>
      </c>
      <c r="H133" s="424">
        <v>5.1482417834980464E-3</v>
      </c>
    </row>
    <row r="134" spans="3:8" x14ac:dyDescent="0.3">
      <c r="C134" s="375" t="s">
        <v>4781</v>
      </c>
      <c r="D134" s="431">
        <v>12850000</v>
      </c>
      <c r="E134" s="431">
        <v>7794000</v>
      </c>
      <c r="F134" s="432">
        <v>60.653696498054479</v>
      </c>
      <c r="G134" s="431">
        <v>5056000</v>
      </c>
      <c r="H134" s="432">
        <v>39.346303501945521</v>
      </c>
    </row>
    <row r="135" spans="3:8" x14ac:dyDescent="0.3">
      <c r="C135" s="379" t="s">
        <v>4698</v>
      </c>
      <c r="D135" s="423">
        <v>7500000</v>
      </c>
      <c r="E135" s="423">
        <v>4944000</v>
      </c>
      <c r="F135" s="424">
        <v>65.92</v>
      </c>
      <c r="G135" s="423">
        <v>2556000</v>
      </c>
      <c r="H135" s="424">
        <v>34.08</v>
      </c>
    </row>
    <row r="136" spans="3:8" ht="17.100000000000001" customHeight="1" x14ac:dyDescent="0.3">
      <c r="C136" s="379" t="s">
        <v>4702</v>
      </c>
      <c r="D136" s="423">
        <v>5350000</v>
      </c>
      <c r="E136" s="423">
        <v>2850000</v>
      </c>
      <c r="F136" s="424">
        <v>53.271028037383175</v>
      </c>
      <c r="G136" s="423">
        <v>2500000</v>
      </c>
      <c r="H136" s="424">
        <v>46.728971962616825</v>
      </c>
    </row>
    <row r="137" spans="3:8" x14ac:dyDescent="0.3">
      <c r="C137" s="375" t="s">
        <v>4782</v>
      </c>
      <c r="D137" s="431">
        <v>7500000</v>
      </c>
      <c r="E137" s="431">
        <v>4968500</v>
      </c>
      <c r="F137" s="432">
        <v>66.24666666666667</v>
      </c>
      <c r="G137" s="431">
        <v>2531500</v>
      </c>
      <c r="H137" s="432">
        <v>33.753333333333337</v>
      </c>
    </row>
    <row r="138" spans="3:8" ht="17.100000000000001" customHeight="1" x14ac:dyDescent="0.3">
      <c r="C138" s="379" t="s">
        <v>4698</v>
      </c>
      <c r="D138" s="423">
        <v>7500000</v>
      </c>
      <c r="E138" s="423">
        <v>4968500</v>
      </c>
      <c r="F138" s="424">
        <v>66.24666666666667</v>
      </c>
      <c r="G138" s="423">
        <v>2531500</v>
      </c>
      <c r="H138" s="424">
        <v>33.753333333333337</v>
      </c>
    </row>
    <row r="139" spans="3:8" x14ac:dyDescent="0.3">
      <c r="C139" s="375" t="s">
        <v>4783</v>
      </c>
      <c r="D139" s="431">
        <v>34635000</v>
      </c>
      <c r="E139" s="431">
        <v>31619468</v>
      </c>
      <c r="F139" s="432">
        <v>91.293396852894475</v>
      </c>
      <c r="G139" s="431">
        <v>3015532</v>
      </c>
      <c r="H139" s="432">
        <v>8.706603147105529</v>
      </c>
    </row>
    <row r="140" spans="3:8" ht="17.100000000000001" customHeight="1" x14ac:dyDescent="0.3">
      <c r="C140" s="379" t="s">
        <v>4698</v>
      </c>
      <c r="D140" s="423">
        <v>14000000</v>
      </c>
      <c r="E140" s="423">
        <v>10985000</v>
      </c>
      <c r="F140" s="424">
        <v>78.464285714285722</v>
      </c>
      <c r="G140" s="423">
        <v>3015000</v>
      </c>
      <c r="H140" s="424">
        <v>21.535714285714285</v>
      </c>
    </row>
    <row r="141" spans="3:8" x14ac:dyDescent="0.3">
      <c r="C141" s="379" t="s">
        <v>4702</v>
      </c>
      <c r="D141" s="423">
        <v>20635000</v>
      </c>
      <c r="E141" s="423">
        <v>20634468</v>
      </c>
      <c r="F141" s="424">
        <v>99.997421856069778</v>
      </c>
      <c r="G141" s="423">
        <v>532</v>
      </c>
      <c r="H141" s="424">
        <v>2.578143930215653E-3</v>
      </c>
    </row>
    <row r="142" spans="3:8" x14ac:dyDescent="0.3">
      <c r="C142" s="375" t="s">
        <v>4784</v>
      </c>
      <c r="D142" s="431">
        <v>7500000</v>
      </c>
      <c r="E142" s="431">
        <v>4944000</v>
      </c>
      <c r="F142" s="432">
        <v>65.92</v>
      </c>
      <c r="G142" s="431">
        <v>2556000</v>
      </c>
      <c r="H142" s="432">
        <v>34.08</v>
      </c>
    </row>
    <row r="143" spans="3:8" x14ac:dyDescent="0.3">
      <c r="C143" s="379" t="s">
        <v>4698</v>
      </c>
      <c r="D143" s="423">
        <v>7500000</v>
      </c>
      <c r="E143" s="423">
        <v>4944000</v>
      </c>
      <c r="F143" s="424">
        <v>65.92</v>
      </c>
      <c r="G143" s="423">
        <v>2556000</v>
      </c>
      <c r="H143" s="424">
        <v>34.08</v>
      </c>
    </row>
    <row r="144" spans="3:8" x14ac:dyDescent="0.3">
      <c r="C144" s="375" t="s">
        <v>4785</v>
      </c>
      <c r="D144" s="431">
        <v>108333000</v>
      </c>
      <c r="E144" s="431">
        <v>64690000</v>
      </c>
      <c r="F144" s="432">
        <v>59.714029889322738</v>
      </c>
      <c r="G144" s="431">
        <v>43643000</v>
      </c>
      <c r="H144" s="432">
        <v>40.285970110677269</v>
      </c>
    </row>
    <row r="145" spans="3:8" ht="17.100000000000001" customHeight="1" x14ac:dyDescent="0.3">
      <c r="C145" s="379" t="s">
        <v>4698</v>
      </c>
      <c r="D145" s="423">
        <v>4800000</v>
      </c>
      <c r="E145" s="423">
        <v>0</v>
      </c>
      <c r="F145" s="424">
        <v>0</v>
      </c>
      <c r="G145" s="423">
        <v>4800000</v>
      </c>
      <c r="H145" s="424">
        <v>100</v>
      </c>
    </row>
    <row r="146" spans="3:8" ht="17.100000000000001" customHeight="1" x14ac:dyDescent="0.3">
      <c r="C146" s="379" t="s">
        <v>4716</v>
      </c>
      <c r="D146" s="423">
        <v>27500000</v>
      </c>
      <c r="E146" s="423">
        <v>9960000</v>
      </c>
      <c r="F146" s="424">
        <v>36.218181818181819</v>
      </c>
      <c r="G146" s="423">
        <v>17540000</v>
      </c>
      <c r="H146" s="424">
        <v>63.781818181818181</v>
      </c>
    </row>
    <row r="147" spans="3:8" x14ac:dyDescent="0.3">
      <c r="C147" s="379" t="s">
        <v>4702</v>
      </c>
      <c r="D147" s="423">
        <v>76033000</v>
      </c>
      <c r="E147" s="423">
        <v>54730000</v>
      </c>
      <c r="F147" s="424">
        <v>71.981902594925884</v>
      </c>
      <c r="G147" s="423">
        <v>21303000</v>
      </c>
      <c r="H147" s="424">
        <v>28.018097405074112</v>
      </c>
    </row>
    <row r="148" spans="3:8" x14ac:dyDescent="0.3">
      <c r="C148" s="226" t="s">
        <v>560</v>
      </c>
      <c r="D148" s="427">
        <v>3420542000</v>
      </c>
      <c r="E148" s="427">
        <v>1707968860</v>
      </c>
      <c r="F148" s="428">
        <v>49.932696631118695</v>
      </c>
      <c r="G148" s="427">
        <v>1712573140</v>
      </c>
      <c r="H148" s="428">
        <v>50.067303368881312</v>
      </c>
    </row>
    <row r="149" spans="3:8" ht="28.8" x14ac:dyDescent="0.3">
      <c r="C149" s="373" t="s">
        <v>4734</v>
      </c>
      <c r="D149" s="423">
        <v>114200000</v>
      </c>
      <c r="E149" s="423">
        <v>114200000</v>
      </c>
      <c r="F149" s="424">
        <v>100</v>
      </c>
      <c r="G149" s="423">
        <v>0</v>
      </c>
      <c r="H149" s="424">
        <v>0</v>
      </c>
    </row>
    <row r="150" spans="3:8" x14ac:dyDescent="0.3">
      <c r="C150" s="391" t="s">
        <v>4736</v>
      </c>
      <c r="D150" s="429">
        <v>114200000</v>
      </c>
      <c r="E150" s="429">
        <v>114200000</v>
      </c>
      <c r="F150" s="430">
        <v>100</v>
      </c>
      <c r="G150" s="429">
        <v>0</v>
      </c>
      <c r="H150" s="430">
        <v>0</v>
      </c>
    </row>
    <row r="151" spans="3:8" x14ac:dyDescent="0.3">
      <c r="C151" s="375" t="s">
        <v>4735</v>
      </c>
      <c r="D151" s="431">
        <v>114200000</v>
      </c>
      <c r="E151" s="431">
        <v>114200000</v>
      </c>
      <c r="F151" s="432">
        <v>100</v>
      </c>
      <c r="G151" s="431">
        <v>0</v>
      </c>
      <c r="H151" s="432">
        <v>0</v>
      </c>
    </row>
    <row r="152" spans="3:8" ht="17.100000000000001" customHeight="1" x14ac:dyDescent="0.3">
      <c r="C152" s="379" t="s">
        <v>4705</v>
      </c>
      <c r="D152" s="423">
        <v>114200000</v>
      </c>
      <c r="E152" s="423">
        <v>114200000</v>
      </c>
      <c r="F152" s="424">
        <v>100</v>
      </c>
      <c r="G152" s="423">
        <v>0</v>
      </c>
      <c r="H152" s="424">
        <v>0</v>
      </c>
    </row>
    <row r="153" spans="3:8" x14ac:dyDescent="0.3">
      <c r="C153" s="373" t="s">
        <v>4743</v>
      </c>
      <c r="D153" s="423">
        <v>670684000</v>
      </c>
      <c r="E153" s="423">
        <v>390447219</v>
      </c>
      <c r="F153" s="424">
        <v>58.216271597354343</v>
      </c>
      <c r="G153" s="423">
        <v>280236781</v>
      </c>
      <c r="H153" s="424">
        <v>41.783728402645657</v>
      </c>
    </row>
    <row r="154" spans="3:8" x14ac:dyDescent="0.3">
      <c r="C154" s="391" t="s">
        <v>4742</v>
      </c>
      <c r="D154" s="429">
        <v>670684000</v>
      </c>
      <c r="E154" s="429">
        <v>390447219</v>
      </c>
      <c r="F154" s="430">
        <v>58.216271597354343</v>
      </c>
      <c r="G154" s="429">
        <v>280236781</v>
      </c>
      <c r="H154" s="430">
        <v>41.783728402645657</v>
      </c>
    </row>
    <row r="155" spans="3:8" x14ac:dyDescent="0.3">
      <c r="C155" s="375" t="s">
        <v>4723</v>
      </c>
      <c r="D155" s="431">
        <v>18739000</v>
      </c>
      <c r="E155" s="431">
        <v>16087300</v>
      </c>
      <c r="F155" s="432">
        <v>85.849298254976247</v>
      </c>
      <c r="G155" s="431">
        <v>2651700</v>
      </c>
      <c r="H155" s="432">
        <v>14.150701745023747</v>
      </c>
    </row>
    <row r="156" spans="3:8" ht="17.100000000000001" customHeight="1" x14ac:dyDescent="0.3">
      <c r="C156" s="379" t="s">
        <v>4698</v>
      </c>
      <c r="D156" s="423">
        <v>5000000</v>
      </c>
      <c r="E156" s="423">
        <v>3998800</v>
      </c>
      <c r="F156" s="424">
        <v>79.975999999999999</v>
      </c>
      <c r="G156" s="423">
        <v>1001200</v>
      </c>
      <c r="H156" s="424">
        <v>20.024000000000001</v>
      </c>
    </row>
    <row r="157" spans="3:8" x14ac:dyDescent="0.3">
      <c r="C157" s="379" t="s">
        <v>4702</v>
      </c>
      <c r="D157" s="423">
        <v>12989000</v>
      </c>
      <c r="E157" s="423">
        <v>11338500</v>
      </c>
      <c r="F157" s="424">
        <v>87.293094156594037</v>
      </c>
      <c r="G157" s="423">
        <v>1650500</v>
      </c>
      <c r="H157" s="424">
        <v>12.706905843405957</v>
      </c>
    </row>
    <row r="158" spans="3:8" ht="17.100000000000001" customHeight="1" x14ac:dyDescent="0.3">
      <c r="C158" s="379" t="s">
        <v>508</v>
      </c>
      <c r="D158" s="423">
        <v>750000</v>
      </c>
      <c r="E158" s="423">
        <v>750000</v>
      </c>
      <c r="F158" s="424">
        <v>100</v>
      </c>
      <c r="G158" s="423">
        <v>0</v>
      </c>
      <c r="H158" s="424">
        <v>0</v>
      </c>
    </row>
    <row r="159" spans="3:8" x14ac:dyDescent="0.3">
      <c r="C159" s="375" t="s">
        <v>4724</v>
      </c>
      <c r="D159" s="431">
        <v>385665000</v>
      </c>
      <c r="E159" s="431">
        <v>167581461</v>
      </c>
      <c r="F159" s="432">
        <v>43.452597720819881</v>
      </c>
      <c r="G159" s="431">
        <v>218083539</v>
      </c>
      <c r="H159" s="432">
        <v>56.547402279180112</v>
      </c>
    </row>
    <row r="160" spans="3:8" x14ac:dyDescent="0.3">
      <c r="C160" s="379" t="s">
        <v>4698</v>
      </c>
      <c r="D160" s="423">
        <v>10000000</v>
      </c>
      <c r="E160" s="423">
        <v>4970000</v>
      </c>
      <c r="F160" s="424">
        <v>49.7</v>
      </c>
      <c r="G160" s="423">
        <v>5030000</v>
      </c>
      <c r="H160" s="424">
        <v>50.3</v>
      </c>
    </row>
    <row r="161" spans="3:8" ht="17.100000000000001" customHeight="1" x14ac:dyDescent="0.3">
      <c r="C161" s="379" t="s">
        <v>4703</v>
      </c>
      <c r="D161" s="423">
        <v>2031000</v>
      </c>
      <c r="E161" s="423">
        <v>2031000</v>
      </c>
      <c r="F161" s="424">
        <v>100</v>
      </c>
      <c r="G161" s="423">
        <v>0</v>
      </c>
      <c r="H161" s="424">
        <v>0</v>
      </c>
    </row>
    <row r="162" spans="3:8" ht="17.100000000000001" customHeight="1" x14ac:dyDescent="0.3">
      <c r="C162" s="379" t="s">
        <v>4702</v>
      </c>
      <c r="D162" s="423">
        <v>373634000</v>
      </c>
      <c r="E162" s="423">
        <v>160580461</v>
      </c>
      <c r="F162" s="424">
        <v>42.978010834131794</v>
      </c>
      <c r="G162" s="423">
        <v>213053539</v>
      </c>
      <c r="H162" s="424">
        <v>57.021989165868206</v>
      </c>
    </row>
    <row r="163" spans="3:8" x14ac:dyDescent="0.3">
      <c r="C163" s="375" t="s">
        <v>4744</v>
      </c>
      <c r="D163" s="431">
        <v>56750000</v>
      </c>
      <c r="E163" s="431">
        <v>42281740</v>
      </c>
      <c r="F163" s="432">
        <v>74.505268722466951</v>
      </c>
      <c r="G163" s="431">
        <v>14468260</v>
      </c>
      <c r="H163" s="432">
        <v>25.494731277533038</v>
      </c>
    </row>
    <row r="164" spans="3:8" x14ac:dyDescent="0.3">
      <c r="C164" s="379" t="s">
        <v>4698</v>
      </c>
      <c r="D164" s="423">
        <v>33500000</v>
      </c>
      <c r="E164" s="423">
        <v>33371740</v>
      </c>
      <c r="F164" s="424">
        <v>99.617134328358219</v>
      </c>
      <c r="G164" s="423">
        <v>128260</v>
      </c>
      <c r="H164" s="424">
        <v>0.38286567164179103</v>
      </c>
    </row>
    <row r="165" spans="3:8" x14ac:dyDescent="0.3">
      <c r="C165" s="379" t="s">
        <v>4704</v>
      </c>
      <c r="D165" s="423">
        <v>3000000</v>
      </c>
      <c r="E165" s="423">
        <v>0</v>
      </c>
      <c r="F165" s="424">
        <v>0</v>
      </c>
      <c r="G165" s="423">
        <v>3000000</v>
      </c>
      <c r="H165" s="424">
        <v>100</v>
      </c>
    </row>
    <row r="166" spans="3:8" x14ac:dyDescent="0.3">
      <c r="C166" s="379" t="s">
        <v>4702</v>
      </c>
      <c r="D166" s="423">
        <v>18000000</v>
      </c>
      <c r="E166" s="423">
        <v>8310000</v>
      </c>
      <c r="F166" s="424">
        <v>46.166666666666664</v>
      </c>
      <c r="G166" s="423">
        <v>9690000</v>
      </c>
      <c r="H166" s="424">
        <v>53.833333333333336</v>
      </c>
    </row>
    <row r="167" spans="3:8" x14ac:dyDescent="0.3">
      <c r="C167" s="379" t="s">
        <v>508</v>
      </c>
      <c r="D167" s="423">
        <v>2250000</v>
      </c>
      <c r="E167" s="423">
        <v>600000</v>
      </c>
      <c r="F167" s="424">
        <v>26.666666666666668</v>
      </c>
      <c r="G167" s="423">
        <v>1650000</v>
      </c>
      <c r="H167" s="424">
        <v>73.333333333333329</v>
      </c>
    </row>
    <row r="168" spans="3:8" x14ac:dyDescent="0.3">
      <c r="C168" s="375" t="s">
        <v>4725</v>
      </c>
      <c r="D168" s="431">
        <v>61193000</v>
      </c>
      <c r="E168" s="431">
        <v>33140738</v>
      </c>
      <c r="F168" s="432">
        <v>54.15772719101858</v>
      </c>
      <c r="G168" s="431">
        <v>28052262</v>
      </c>
      <c r="H168" s="432">
        <v>45.84227280898142</v>
      </c>
    </row>
    <row r="169" spans="3:8" x14ac:dyDescent="0.3">
      <c r="C169" s="379" t="s">
        <v>4698</v>
      </c>
      <c r="D169" s="423">
        <v>13500000</v>
      </c>
      <c r="E169" s="423">
        <v>5459000</v>
      </c>
      <c r="F169" s="424">
        <v>40.437037037037037</v>
      </c>
      <c r="G169" s="423">
        <v>8041000</v>
      </c>
      <c r="H169" s="424">
        <v>59.562962962962963</v>
      </c>
    </row>
    <row r="170" spans="3:8" x14ac:dyDescent="0.3">
      <c r="C170" s="379" t="s">
        <v>4702</v>
      </c>
      <c r="D170" s="423">
        <v>47693000</v>
      </c>
      <c r="E170" s="423">
        <v>27681738</v>
      </c>
      <c r="F170" s="424">
        <v>58.041511332900008</v>
      </c>
      <c r="G170" s="423">
        <v>20011262</v>
      </c>
      <c r="H170" s="424">
        <v>41.958488667099992</v>
      </c>
    </row>
    <row r="171" spans="3:8" x14ac:dyDescent="0.3">
      <c r="C171" s="375" t="s">
        <v>4745</v>
      </c>
      <c r="D171" s="431">
        <v>148337000</v>
      </c>
      <c r="E171" s="431">
        <v>131355980</v>
      </c>
      <c r="F171" s="432">
        <v>88.55240432258978</v>
      </c>
      <c r="G171" s="431">
        <v>16981020</v>
      </c>
      <c r="H171" s="432">
        <v>11.447595677410222</v>
      </c>
    </row>
    <row r="172" spans="3:8" ht="17.100000000000001" customHeight="1" x14ac:dyDescent="0.3">
      <c r="C172" s="379" t="s">
        <v>4698</v>
      </c>
      <c r="D172" s="423">
        <v>38100000</v>
      </c>
      <c r="E172" s="423">
        <v>38095000</v>
      </c>
      <c r="F172" s="424">
        <v>99.98687664041995</v>
      </c>
      <c r="G172" s="423">
        <v>5000</v>
      </c>
      <c r="H172" s="424">
        <v>1.3123359580052493E-2</v>
      </c>
    </row>
    <row r="173" spans="3:8" ht="17.100000000000001" customHeight="1" x14ac:dyDescent="0.3">
      <c r="C173" s="379" t="s">
        <v>4746</v>
      </c>
      <c r="D173" s="423">
        <v>82534000</v>
      </c>
      <c r="E173" s="423">
        <v>67164280</v>
      </c>
      <c r="F173" s="424">
        <v>81.377711003949884</v>
      </c>
      <c r="G173" s="423">
        <v>15369720</v>
      </c>
      <c r="H173" s="424">
        <v>18.622288996050113</v>
      </c>
    </row>
    <row r="174" spans="3:8" ht="17.100000000000001" customHeight="1" x14ac:dyDescent="0.3">
      <c r="C174" s="379" t="s">
        <v>4791</v>
      </c>
      <c r="D174" s="423">
        <v>1606000</v>
      </c>
      <c r="E174" s="423">
        <v>0</v>
      </c>
      <c r="F174" s="424">
        <v>0</v>
      </c>
      <c r="G174" s="423">
        <v>1606000</v>
      </c>
      <c r="H174" s="424">
        <v>100</v>
      </c>
    </row>
    <row r="175" spans="3:8" x14ac:dyDescent="0.3">
      <c r="C175" s="379" t="s">
        <v>4703</v>
      </c>
      <c r="D175" s="423">
        <v>4246000</v>
      </c>
      <c r="E175" s="423">
        <v>4246000</v>
      </c>
      <c r="F175" s="424">
        <v>100</v>
      </c>
      <c r="G175" s="423">
        <v>0</v>
      </c>
      <c r="H175" s="424">
        <v>0</v>
      </c>
    </row>
    <row r="176" spans="3:8" ht="17.100000000000001" customHeight="1" x14ac:dyDescent="0.3">
      <c r="C176" s="379" t="s">
        <v>4702</v>
      </c>
      <c r="D176" s="423">
        <v>21851000</v>
      </c>
      <c r="E176" s="423">
        <v>21850700</v>
      </c>
      <c r="F176" s="424">
        <v>99.998627065122875</v>
      </c>
      <c r="G176" s="423">
        <v>300</v>
      </c>
      <c r="H176" s="424">
        <v>1.3729348771223285E-3</v>
      </c>
    </row>
    <row r="177" spans="3:8" x14ac:dyDescent="0.3">
      <c r="C177" s="373" t="s">
        <v>4751</v>
      </c>
      <c r="D177" s="423">
        <v>2095658000</v>
      </c>
      <c r="E177" s="423">
        <v>663321641</v>
      </c>
      <c r="F177" s="424">
        <v>31.652189479390241</v>
      </c>
      <c r="G177" s="423">
        <v>1432336359</v>
      </c>
      <c r="H177" s="424">
        <v>68.347810520609755</v>
      </c>
    </row>
    <row r="178" spans="3:8" x14ac:dyDescent="0.3">
      <c r="C178" s="392" t="s">
        <v>4654</v>
      </c>
      <c r="D178" s="429">
        <v>2095658000</v>
      </c>
      <c r="E178" s="429">
        <v>663321641</v>
      </c>
      <c r="F178" s="430">
        <v>31.652189479390241</v>
      </c>
      <c r="G178" s="429">
        <v>1432336359</v>
      </c>
      <c r="H178" s="430">
        <v>68.347810520609755</v>
      </c>
    </row>
    <row r="179" spans="3:8" x14ac:dyDescent="0.3">
      <c r="C179" s="382" t="s">
        <v>4752</v>
      </c>
      <c r="D179" s="433">
        <v>1254380000</v>
      </c>
      <c r="E179" s="433">
        <v>487766151</v>
      </c>
      <c r="F179" s="434">
        <v>38.885038903681505</v>
      </c>
      <c r="G179" s="433">
        <v>766613849</v>
      </c>
      <c r="H179" s="434">
        <v>61.114961096318495</v>
      </c>
    </row>
    <row r="180" spans="3:8" ht="17.100000000000001" customHeight="1" x14ac:dyDescent="0.3">
      <c r="C180" s="379" t="s">
        <v>4753</v>
      </c>
      <c r="D180" s="423">
        <v>1076220000</v>
      </c>
      <c r="E180" s="423">
        <v>423058151</v>
      </c>
      <c r="F180" s="424">
        <v>39.309634740108898</v>
      </c>
      <c r="G180" s="423">
        <v>653161849</v>
      </c>
      <c r="H180" s="424">
        <v>60.690365259891102</v>
      </c>
    </row>
    <row r="181" spans="3:8" ht="17.100000000000001" customHeight="1" x14ac:dyDescent="0.3">
      <c r="C181" s="379" t="s">
        <v>4716</v>
      </c>
      <c r="D181" s="423">
        <v>178160000</v>
      </c>
      <c r="E181" s="423">
        <v>64708000</v>
      </c>
      <c r="F181" s="424">
        <v>36.320161652447233</v>
      </c>
      <c r="G181" s="423">
        <v>113452000</v>
      </c>
      <c r="H181" s="424">
        <v>63.679838347552767</v>
      </c>
    </row>
    <row r="182" spans="3:8" ht="17.100000000000001" customHeight="1" x14ac:dyDescent="0.3">
      <c r="C182" s="382" t="s">
        <v>4754</v>
      </c>
      <c r="D182" s="433">
        <v>148852000</v>
      </c>
      <c r="E182" s="433">
        <v>22086050</v>
      </c>
      <c r="F182" s="434">
        <v>14.837590358208153</v>
      </c>
      <c r="G182" s="433">
        <v>126765950</v>
      </c>
      <c r="H182" s="434">
        <v>85.162409641791854</v>
      </c>
    </row>
    <row r="183" spans="3:8" ht="17.100000000000001" customHeight="1" x14ac:dyDescent="0.3">
      <c r="C183" s="379" t="s">
        <v>4755</v>
      </c>
      <c r="D183" s="423">
        <v>30000000</v>
      </c>
      <c r="E183" s="423">
        <v>2286050</v>
      </c>
      <c r="F183" s="424">
        <v>7.620166666666667</v>
      </c>
      <c r="G183" s="423">
        <v>27713950</v>
      </c>
      <c r="H183" s="424">
        <v>92.379833333333337</v>
      </c>
    </row>
    <row r="184" spans="3:8" x14ac:dyDescent="0.3">
      <c r="C184" s="379" t="s">
        <v>4704</v>
      </c>
      <c r="D184" s="423">
        <v>118852000</v>
      </c>
      <c r="E184" s="423">
        <v>19800000</v>
      </c>
      <c r="F184" s="424">
        <v>16.659374684481541</v>
      </c>
      <c r="G184" s="423">
        <v>99052000</v>
      </c>
      <c r="H184" s="424">
        <v>83.340625315518452</v>
      </c>
    </row>
    <row r="185" spans="3:8" ht="17.100000000000001" customHeight="1" x14ac:dyDescent="0.3">
      <c r="C185" s="382" t="s">
        <v>4756</v>
      </c>
      <c r="D185" s="433">
        <v>533050000</v>
      </c>
      <c r="E185" s="433">
        <v>94875440</v>
      </c>
      <c r="F185" s="434">
        <v>17.798600506519087</v>
      </c>
      <c r="G185" s="433">
        <v>438174560</v>
      </c>
      <c r="H185" s="434">
        <v>82.201399493480906</v>
      </c>
    </row>
    <row r="186" spans="3:8" ht="17.100000000000001" customHeight="1" x14ac:dyDescent="0.3">
      <c r="C186" s="379" t="s">
        <v>4757</v>
      </c>
      <c r="D186" s="423">
        <v>497050000</v>
      </c>
      <c r="E186" s="423">
        <v>85875440</v>
      </c>
      <c r="F186" s="424">
        <v>17.277022432350869</v>
      </c>
      <c r="G186" s="423">
        <v>411174560</v>
      </c>
      <c r="H186" s="424">
        <v>82.722977567649124</v>
      </c>
    </row>
    <row r="187" spans="3:8" ht="17.100000000000001" customHeight="1" x14ac:dyDescent="0.3">
      <c r="C187" s="379" t="s">
        <v>4758</v>
      </c>
      <c r="D187" s="423">
        <v>36000000</v>
      </c>
      <c r="E187" s="423">
        <v>9000000</v>
      </c>
      <c r="F187" s="424">
        <v>25</v>
      </c>
      <c r="G187" s="423">
        <v>27000000</v>
      </c>
      <c r="H187" s="424">
        <v>75</v>
      </c>
    </row>
    <row r="188" spans="3:8" x14ac:dyDescent="0.3">
      <c r="C188" s="382" t="s">
        <v>4759</v>
      </c>
      <c r="D188" s="433">
        <v>159376000</v>
      </c>
      <c r="E188" s="433">
        <v>58594000</v>
      </c>
      <c r="F188" s="434">
        <v>36.764632065053711</v>
      </c>
      <c r="G188" s="433">
        <v>100782000</v>
      </c>
      <c r="H188" s="434">
        <v>63.235367934946296</v>
      </c>
    </row>
    <row r="189" spans="3:8" ht="17.100000000000001" customHeight="1" x14ac:dyDescent="0.3">
      <c r="C189" s="379" t="s">
        <v>4753</v>
      </c>
      <c r="D189" s="423">
        <v>101040000</v>
      </c>
      <c r="E189" s="423">
        <v>44410000</v>
      </c>
      <c r="F189" s="424">
        <v>43.952889944576405</v>
      </c>
      <c r="G189" s="423">
        <v>56630000</v>
      </c>
      <c r="H189" s="424">
        <v>56.047110055423602</v>
      </c>
    </row>
    <row r="190" spans="3:8" ht="17.100000000000001" customHeight="1" x14ac:dyDescent="0.3">
      <c r="C190" s="379" t="s">
        <v>4760</v>
      </c>
      <c r="D190" s="423">
        <v>58336000</v>
      </c>
      <c r="E190" s="423">
        <v>14184000</v>
      </c>
      <c r="F190" s="424">
        <v>24.314317059791552</v>
      </c>
      <c r="G190" s="423">
        <v>44152000</v>
      </c>
      <c r="H190" s="424">
        <v>75.685682940208437</v>
      </c>
    </row>
    <row r="191" spans="3:8" x14ac:dyDescent="0.3">
      <c r="C191" s="373" t="s">
        <v>4764</v>
      </c>
      <c r="D191" s="423">
        <v>540000000</v>
      </c>
      <c r="E191" s="423">
        <v>540000000</v>
      </c>
      <c r="F191" s="424">
        <v>100</v>
      </c>
      <c r="G191" s="423">
        <v>0</v>
      </c>
      <c r="H191" s="424">
        <v>0</v>
      </c>
    </row>
    <row r="192" spans="3:8" x14ac:dyDescent="0.3">
      <c r="C192" s="391" t="s">
        <v>4765</v>
      </c>
      <c r="D192" s="429">
        <v>540000000</v>
      </c>
      <c r="E192" s="429">
        <v>540000000</v>
      </c>
      <c r="F192" s="430">
        <v>100</v>
      </c>
      <c r="G192" s="429">
        <v>0</v>
      </c>
      <c r="H192" s="430">
        <v>0</v>
      </c>
    </row>
    <row r="193" spans="3:8" x14ac:dyDescent="0.3">
      <c r="C193" s="375" t="s">
        <v>4766</v>
      </c>
      <c r="D193" s="431">
        <v>540000000</v>
      </c>
      <c r="E193" s="431">
        <v>540000000</v>
      </c>
      <c r="F193" s="432">
        <v>100</v>
      </c>
      <c r="G193" s="431">
        <v>0</v>
      </c>
      <c r="H193" s="432">
        <v>0</v>
      </c>
    </row>
    <row r="194" spans="3:8" ht="17.100000000000001" customHeight="1" x14ac:dyDescent="0.3">
      <c r="C194" s="379" t="s">
        <v>4705</v>
      </c>
      <c r="D194" s="423">
        <v>540000000</v>
      </c>
      <c r="E194" s="423">
        <v>540000000</v>
      </c>
      <c r="F194" s="424">
        <v>100</v>
      </c>
      <c r="G194" s="423">
        <v>0</v>
      </c>
      <c r="H194" s="424">
        <v>0</v>
      </c>
    </row>
    <row r="195" spans="3:8" x14ac:dyDescent="0.3">
      <c r="C195" s="373" t="s">
        <v>4728</v>
      </c>
      <c r="D195" s="423">
        <v>6082500000</v>
      </c>
      <c r="E195" s="423">
        <v>3476713912</v>
      </c>
      <c r="F195" s="424">
        <v>57.159291607069463</v>
      </c>
      <c r="G195" s="423">
        <v>2605786088</v>
      </c>
      <c r="H195" s="424">
        <v>42.840708392930537</v>
      </c>
    </row>
    <row r="196" spans="3:8" x14ac:dyDescent="0.3">
      <c r="C196" s="374" t="s">
        <v>542</v>
      </c>
      <c r="D196" s="425">
        <v>6082500000</v>
      </c>
      <c r="E196" s="425">
        <v>3476713912</v>
      </c>
      <c r="F196" s="426">
        <v>57.159291607069463</v>
      </c>
      <c r="G196" s="425">
        <v>2605786088</v>
      </c>
      <c r="H196" s="426">
        <v>42.840708392930537</v>
      </c>
    </row>
    <row r="197" spans="3:8" x14ac:dyDescent="0.3">
      <c r="C197" s="226" t="s">
        <v>543</v>
      </c>
      <c r="D197" s="427">
        <v>6082500000</v>
      </c>
      <c r="E197" s="427">
        <v>3476713912</v>
      </c>
      <c r="F197" s="428">
        <v>57.159291607069463</v>
      </c>
      <c r="G197" s="427">
        <v>2605786088</v>
      </c>
      <c r="H197" s="428">
        <v>42.840708392930537</v>
      </c>
    </row>
    <row r="198" spans="3:8" x14ac:dyDescent="0.3">
      <c r="C198" s="373" t="s">
        <v>4788</v>
      </c>
      <c r="D198" s="423">
        <v>6082500000</v>
      </c>
      <c r="E198" s="423">
        <v>3476713912</v>
      </c>
      <c r="F198" s="424">
        <v>57.159291607069463</v>
      </c>
      <c r="G198" s="423">
        <v>2605786088</v>
      </c>
      <c r="H198" s="424">
        <v>42.840708392930537</v>
      </c>
    </row>
    <row r="199" spans="3:8" x14ac:dyDescent="0.3">
      <c r="C199" s="391" t="s">
        <v>4789</v>
      </c>
      <c r="D199" s="429">
        <v>5973300000</v>
      </c>
      <c r="E199" s="429">
        <v>3468907912</v>
      </c>
      <c r="F199" s="430">
        <v>58.073559205129484</v>
      </c>
      <c r="G199" s="429">
        <v>2504392088</v>
      </c>
      <c r="H199" s="430">
        <v>41.926440794870508</v>
      </c>
    </row>
    <row r="200" spans="3:8" x14ac:dyDescent="0.3">
      <c r="C200" s="375" t="s">
        <v>4790</v>
      </c>
      <c r="D200" s="431">
        <v>1713564000</v>
      </c>
      <c r="E200" s="431">
        <v>25390000</v>
      </c>
      <c r="F200" s="432">
        <v>1.4817071320359203</v>
      </c>
      <c r="G200" s="431">
        <v>1688174000</v>
      </c>
      <c r="H200" s="432">
        <v>98.518292867964078</v>
      </c>
    </row>
    <row r="201" spans="3:8" ht="17.100000000000001" customHeight="1" x14ac:dyDescent="0.3">
      <c r="C201" s="379" t="s">
        <v>4698</v>
      </c>
      <c r="D201" s="423">
        <v>99100000</v>
      </c>
      <c r="E201" s="423">
        <v>0</v>
      </c>
      <c r="F201" s="424">
        <v>0</v>
      </c>
      <c r="G201" s="423">
        <v>99100000</v>
      </c>
      <c r="H201" s="424">
        <v>100</v>
      </c>
    </row>
    <row r="202" spans="3:8" ht="17.100000000000001" customHeight="1" x14ac:dyDescent="0.3">
      <c r="C202" s="379" t="s">
        <v>4711</v>
      </c>
      <c r="D202" s="423">
        <v>1333864000</v>
      </c>
      <c r="E202" s="423">
        <v>0</v>
      </c>
      <c r="F202" s="424">
        <v>0</v>
      </c>
      <c r="G202" s="423">
        <v>1333864000</v>
      </c>
      <c r="H202" s="424">
        <v>100</v>
      </c>
    </row>
    <row r="203" spans="3:8" x14ac:dyDescent="0.3">
      <c r="C203" s="379" t="s">
        <v>4716</v>
      </c>
      <c r="D203" s="423">
        <v>25000000</v>
      </c>
      <c r="E203" s="423">
        <v>4855000</v>
      </c>
      <c r="F203" s="424">
        <v>19.420000000000002</v>
      </c>
      <c r="G203" s="423">
        <v>20145000</v>
      </c>
      <c r="H203" s="424">
        <v>80.58</v>
      </c>
    </row>
    <row r="204" spans="3:8" ht="17.100000000000001" customHeight="1" x14ac:dyDescent="0.3">
      <c r="C204" s="379" t="s">
        <v>4701</v>
      </c>
      <c r="D204" s="423">
        <v>15000000</v>
      </c>
      <c r="E204" s="423">
        <v>0</v>
      </c>
      <c r="F204" s="424">
        <v>0</v>
      </c>
      <c r="G204" s="423">
        <v>15000000</v>
      </c>
      <c r="H204" s="424">
        <v>100</v>
      </c>
    </row>
    <row r="205" spans="3:8" ht="17.100000000000001" customHeight="1" x14ac:dyDescent="0.3">
      <c r="C205" s="379" t="s">
        <v>4791</v>
      </c>
      <c r="D205" s="423">
        <v>102600000</v>
      </c>
      <c r="E205" s="423">
        <v>0</v>
      </c>
      <c r="F205" s="424">
        <v>0</v>
      </c>
      <c r="G205" s="423">
        <v>102600000</v>
      </c>
      <c r="H205" s="424">
        <v>100</v>
      </c>
    </row>
    <row r="206" spans="3:8" x14ac:dyDescent="0.3">
      <c r="C206" s="379" t="s">
        <v>4702</v>
      </c>
      <c r="D206" s="423">
        <v>138000000</v>
      </c>
      <c r="E206" s="423">
        <v>20535000</v>
      </c>
      <c r="F206" s="424">
        <v>14.880434782608695</v>
      </c>
      <c r="G206" s="423">
        <v>117465000</v>
      </c>
      <c r="H206" s="424">
        <v>85.119565217391298</v>
      </c>
    </row>
    <row r="207" spans="3:8" x14ac:dyDescent="0.3">
      <c r="C207" s="375" t="s">
        <v>4792</v>
      </c>
      <c r="D207" s="431">
        <v>4085695000</v>
      </c>
      <c r="E207" s="431">
        <v>3443517912</v>
      </c>
      <c r="F207" s="432">
        <v>84.282304773116934</v>
      </c>
      <c r="G207" s="431">
        <v>642177088</v>
      </c>
      <c r="H207" s="432">
        <v>15.717695226883063</v>
      </c>
    </row>
    <row r="208" spans="3:8" ht="17.100000000000001" customHeight="1" x14ac:dyDescent="0.3">
      <c r="C208" s="379" t="s">
        <v>4698</v>
      </c>
      <c r="D208" s="423">
        <v>25000000</v>
      </c>
      <c r="E208" s="423">
        <v>2917500</v>
      </c>
      <c r="F208" s="424">
        <v>11.67</v>
      </c>
      <c r="G208" s="423">
        <v>22082500</v>
      </c>
      <c r="H208" s="424">
        <v>88.33</v>
      </c>
    </row>
    <row r="209" spans="3:8" x14ac:dyDescent="0.3">
      <c r="C209" s="379" t="s">
        <v>4711</v>
      </c>
      <c r="D209" s="423">
        <v>3808695000</v>
      </c>
      <c r="E209" s="423">
        <v>3393066206</v>
      </c>
      <c r="F209" s="424">
        <v>89.087369978430928</v>
      </c>
      <c r="G209" s="423">
        <v>415628794</v>
      </c>
      <c r="H209" s="424">
        <v>10.912630021569068</v>
      </c>
    </row>
    <row r="210" spans="3:8" ht="17.100000000000001" customHeight="1" x14ac:dyDescent="0.3">
      <c r="C210" s="379" t="s">
        <v>4716</v>
      </c>
      <c r="D210" s="423">
        <v>30000000</v>
      </c>
      <c r="E210" s="423">
        <v>4811000</v>
      </c>
      <c r="F210" s="424">
        <v>16.036666666666665</v>
      </c>
      <c r="G210" s="423">
        <v>25189000</v>
      </c>
      <c r="H210" s="424">
        <v>83.963333333333338</v>
      </c>
    </row>
    <row r="211" spans="3:8" ht="17.100000000000001" customHeight="1" x14ac:dyDescent="0.3">
      <c r="C211" s="379" t="s">
        <v>4701</v>
      </c>
      <c r="D211" s="423">
        <v>6000000</v>
      </c>
      <c r="E211" s="423">
        <v>0</v>
      </c>
      <c r="F211" s="424">
        <v>0</v>
      </c>
      <c r="G211" s="423">
        <v>6000000</v>
      </c>
      <c r="H211" s="424">
        <v>100</v>
      </c>
    </row>
    <row r="212" spans="3:8" ht="17.100000000000001" customHeight="1" x14ac:dyDescent="0.3">
      <c r="C212" s="379" t="s">
        <v>4702</v>
      </c>
      <c r="D212" s="423">
        <v>216000000</v>
      </c>
      <c r="E212" s="423">
        <v>42723206</v>
      </c>
      <c r="F212" s="424">
        <v>19.779262037037036</v>
      </c>
      <c r="G212" s="423">
        <v>173276794</v>
      </c>
      <c r="H212" s="424">
        <v>80.220737962962957</v>
      </c>
    </row>
    <row r="213" spans="3:8" x14ac:dyDescent="0.3">
      <c r="C213" s="375" t="s">
        <v>4793</v>
      </c>
      <c r="D213" s="431">
        <v>174041000</v>
      </c>
      <c r="E213" s="431">
        <v>0</v>
      </c>
      <c r="F213" s="432">
        <v>0</v>
      </c>
      <c r="G213" s="431">
        <v>174041000</v>
      </c>
      <c r="H213" s="432">
        <v>100</v>
      </c>
    </row>
    <row r="214" spans="3:8" x14ac:dyDescent="0.3">
      <c r="C214" s="379" t="s">
        <v>4698</v>
      </c>
      <c r="D214" s="423">
        <v>12000000</v>
      </c>
      <c r="E214" s="423">
        <v>0</v>
      </c>
      <c r="F214" s="424">
        <v>0</v>
      </c>
      <c r="G214" s="423">
        <v>12000000</v>
      </c>
      <c r="H214" s="424">
        <v>100</v>
      </c>
    </row>
    <row r="215" spans="3:8" x14ac:dyDescent="0.3">
      <c r="C215" s="379" t="s">
        <v>4711</v>
      </c>
      <c r="D215" s="423">
        <v>20000000</v>
      </c>
      <c r="E215" s="423">
        <v>0</v>
      </c>
      <c r="F215" s="424">
        <v>0</v>
      </c>
      <c r="G215" s="423">
        <v>20000000</v>
      </c>
      <c r="H215" s="424">
        <v>100</v>
      </c>
    </row>
    <row r="216" spans="3:8" ht="17.100000000000001" customHeight="1" x14ac:dyDescent="0.3">
      <c r="C216" s="379" t="s">
        <v>4795</v>
      </c>
      <c r="D216" s="423">
        <v>142041000</v>
      </c>
      <c r="E216" s="423">
        <v>0</v>
      </c>
      <c r="F216" s="424">
        <v>0</v>
      </c>
      <c r="G216" s="423">
        <v>142041000</v>
      </c>
      <c r="H216" s="424">
        <v>100</v>
      </c>
    </row>
    <row r="217" spans="3:8" x14ac:dyDescent="0.3">
      <c r="C217" s="391" t="s">
        <v>4809</v>
      </c>
      <c r="D217" s="429">
        <v>109200000</v>
      </c>
      <c r="E217" s="429">
        <v>7806000</v>
      </c>
      <c r="F217" s="430">
        <v>7.1483516483516487</v>
      </c>
      <c r="G217" s="429">
        <v>101394000</v>
      </c>
      <c r="H217" s="430">
        <v>92.85164835164835</v>
      </c>
    </row>
    <row r="218" spans="3:8" x14ac:dyDescent="0.3">
      <c r="C218" s="375" t="s">
        <v>4810</v>
      </c>
      <c r="D218" s="431">
        <v>109200000</v>
      </c>
      <c r="E218" s="431">
        <v>7806000</v>
      </c>
      <c r="F218" s="432">
        <v>7.1483516483516487</v>
      </c>
      <c r="G218" s="431">
        <v>101394000</v>
      </c>
      <c r="H218" s="432">
        <v>92.85164835164835</v>
      </c>
    </row>
    <row r="219" spans="3:8" x14ac:dyDescent="0.3">
      <c r="C219" s="379" t="s">
        <v>4698</v>
      </c>
      <c r="D219" s="423">
        <v>25000000</v>
      </c>
      <c r="E219" s="423">
        <v>2961000</v>
      </c>
      <c r="F219" s="424">
        <v>11.844000000000001</v>
      </c>
      <c r="G219" s="423">
        <v>22039000</v>
      </c>
      <c r="H219" s="424">
        <v>88.156000000000006</v>
      </c>
    </row>
    <row r="220" spans="3:8" x14ac:dyDescent="0.3">
      <c r="C220" s="379" t="s">
        <v>4716</v>
      </c>
      <c r="D220" s="423">
        <v>30000000</v>
      </c>
      <c r="E220" s="423">
        <v>4845000</v>
      </c>
      <c r="F220" s="424">
        <v>16.150000000000002</v>
      </c>
      <c r="G220" s="423">
        <v>25155000</v>
      </c>
      <c r="H220" s="424">
        <v>83.850000000000009</v>
      </c>
    </row>
    <row r="221" spans="3:8" x14ac:dyDescent="0.3">
      <c r="C221" s="379" t="s">
        <v>4702</v>
      </c>
      <c r="D221" s="423">
        <v>54200000</v>
      </c>
      <c r="E221" s="423">
        <v>0</v>
      </c>
      <c r="F221" s="424">
        <v>0</v>
      </c>
      <c r="G221" s="423">
        <v>54200000</v>
      </c>
      <c r="H221" s="424">
        <v>100</v>
      </c>
    </row>
    <row r="222" spans="3:8" x14ac:dyDescent="0.3">
      <c r="C222" s="373" t="s">
        <v>4817</v>
      </c>
      <c r="D222" s="423">
        <v>11375804000</v>
      </c>
      <c r="E222" s="423">
        <v>6067322932</v>
      </c>
      <c r="F222" s="424">
        <v>53.33533288724032</v>
      </c>
      <c r="G222" s="423">
        <v>5308481068</v>
      </c>
      <c r="H222" s="424">
        <v>46.66466711275968</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59" t="s">
        <v>4843</v>
      </c>
      <c r="C5" s="360" t="s">
        <v>4826</v>
      </c>
      <c r="D5" s="360" t="s">
        <v>4827</v>
      </c>
      <c r="E5" s="360" t="s">
        <v>4828</v>
      </c>
      <c r="F5" s="360" t="s">
        <v>4837</v>
      </c>
      <c r="G5" s="360" t="s">
        <v>5161</v>
      </c>
      <c r="H5" s="360" t="s">
        <v>5197</v>
      </c>
      <c r="I5" s="360" t="s">
        <v>5234</v>
      </c>
      <c r="J5" s="360" t="s">
        <v>5373</v>
      </c>
    </row>
    <row r="6" spans="2:10" x14ac:dyDescent="0.3">
      <c r="B6" s="359" t="s">
        <v>4841</v>
      </c>
      <c r="C6" s="361" t="s">
        <v>5166</v>
      </c>
      <c r="D6" s="361" t="s">
        <v>5167</v>
      </c>
      <c r="E6" s="361" t="s">
        <v>5165</v>
      </c>
      <c r="F6" s="361" t="s">
        <v>5164</v>
      </c>
      <c r="G6" s="362" t="s">
        <v>5163</v>
      </c>
      <c r="H6" s="362" t="s">
        <v>5233</v>
      </c>
      <c r="I6" s="362" t="s">
        <v>5233</v>
      </c>
      <c r="J6" s="362" t="s">
        <v>5374</v>
      </c>
    </row>
    <row r="7" spans="2:10" hidden="1" x14ac:dyDescent="0.3">
      <c r="B7" s="315" t="s">
        <v>4834</v>
      </c>
      <c r="C7" s="220" t="s">
        <v>4831</v>
      </c>
      <c r="D7" s="220" t="s">
        <v>4832</v>
      </c>
      <c r="E7" s="220" t="s">
        <v>4833</v>
      </c>
      <c r="F7" s="220" t="s">
        <v>4838</v>
      </c>
      <c r="G7" s="220" t="s">
        <v>5162</v>
      </c>
      <c r="H7" s="220" t="s">
        <v>5231</v>
      </c>
      <c r="I7" s="220" t="s">
        <v>5232</v>
      </c>
      <c r="J7" s="220" t="s">
        <v>5372</v>
      </c>
    </row>
    <row r="8" spans="2:10" x14ac:dyDescent="0.3">
      <c r="B8" s="380" t="s">
        <v>576</v>
      </c>
      <c r="C8" s="378">
        <v>99961115</v>
      </c>
      <c r="D8" s="378">
        <v>249311050</v>
      </c>
      <c r="E8" s="378">
        <v>39291922</v>
      </c>
      <c r="F8" s="378">
        <v>95254996</v>
      </c>
      <c r="G8" s="378">
        <v>90588412</v>
      </c>
      <c r="H8" s="378">
        <v>75905247</v>
      </c>
      <c r="I8" s="378">
        <v>103091640</v>
      </c>
      <c r="J8" s="378">
        <v>2030000</v>
      </c>
    </row>
    <row r="9" spans="2:10" x14ac:dyDescent="0.3">
      <c r="B9" s="329" t="s">
        <v>546</v>
      </c>
      <c r="C9" s="225">
        <v>0</v>
      </c>
      <c r="D9" s="225">
        <v>50674500</v>
      </c>
      <c r="E9" s="225">
        <v>18269500</v>
      </c>
      <c r="F9" s="225">
        <v>19929200</v>
      </c>
      <c r="G9" s="225">
        <v>10000000</v>
      </c>
      <c r="H9" s="225">
        <v>9882500</v>
      </c>
      <c r="I9" s="225">
        <v>25762820</v>
      </c>
      <c r="J9" s="225">
        <v>2030000</v>
      </c>
    </row>
    <row r="10" spans="2:10" x14ac:dyDescent="0.3">
      <c r="B10" s="329" t="s">
        <v>560</v>
      </c>
      <c r="C10" s="225">
        <v>99961115</v>
      </c>
      <c r="D10" s="225">
        <v>198636550</v>
      </c>
      <c r="E10" s="225">
        <v>21022422</v>
      </c>
      <c r="F10" s="225">
        <v>75325796</v>
      </c>
      <c r="G10" s="225">
        <v>80588412</v>
      </c>
      <c r="H10" s="225">
        <v>66022747</v>
      </c>
      <c r="I10" s="225">
        <v>77328820</v>
      </c>
      <c r="J10" s="225">
        <v>0</v>
      </c>
    </row>
    <row r="11" spans="2:10" x14ac:dyDescent="0.3">
      <c r="B11" s="380" t="s">
        <v>542</v>
      </c>
      <c r="C11" s="378">
        <v>0</v>
      </c>
      <c r="D11" s="378">
        <v>46363943</v>
      </c>
      <c r="E11" s="378">
        <v>13965000</v>
      </c>
      <c r="F11" s="378">
        <v>0</v>
      </c>
      <c r="G11" s="378">
        <v>0</v>
      </c>
      <c r="H11" s="378">
        <v>300383</v>
      </c>
      <c r="I11" s="378">
        <v>99280968</v>
      </c>
      <c r="J11" s="378">
        <v>5529500</v>
      </c>
    </row>
    <row r="12" spans="2:10" x14ac:dyDescent="0.3">
      <c r="B12" s="329" t="s">
        <v>591</v>
      </c>
      <c r="C12" s="225">
        <v>0</v>
      </c>
      <c r="D12" s="225">
        <v>5496528</v>
      </c>
      <c r="E12" s="225">
        <v>4230000</v>
      </c>
      <c r="F12" s="225">
        <v>0</v>
      </c>
      <c r="G12" s="225">
        <v>0</v>
      </c>
      <c r="H12" s="225">
        <v>300383</v>
      </c>
      <c r="I12" s="225">
        <v>36489355</v>
      </c>
      <c r="J12" s="225">
        <v>2640000</v>
      </c>
    </row>
    <row r="13" spans="2:10" x14ac:dyDescent="0.3">
      <c r="B13" s="329" t="s">
        <v>543</v>
      </c>
      <c r="C13" s="225">
        <v>0</v>
      </c>
      <c r="D13" s="225">
        <v>40867415</v>
      </c>
      <c r="E13" s="225">
        <v>9735000</v>
      </c>
      <c r="F13" s="225">
        <v>0</v>
      </c>
      <c r="G13" s="225">
        <v>0</v>
      </c>
      <c r="H13" s="225">
        <v>0</v>
      </c>
      <c r="I13" s="225">
        <v>62791613</v>
      </c>
      <c r="J13" s="225">
        <v>2889500</v>
      </c>
    </row>
    <row r="14" spans="2:10" x14ac:dyDescent="0.3">
      <c r="B14" s="380" t="s">
        <v>531</v>
      </c>
      <c r="C14" s="378">
        <v>0</v>
      </c>
      <c r="D14" s="378">
        <v>53677994</v>
      </c>
      <c r="E14" s="378">
        <v>21269213</v>
      </c>
      <c r="F14" s="378">
        <v>0</v>
      </c>
      <c r="G14" s="378">
        <v>0</v>
      </c>
      <c r="H14" s="378">
        <v>16306833</v>
      </c>
      <c r="I14" s="378">
        <v>45801723</v>
      </c>
      <c r="J14" s="378">
        <v>0</v>
      </c>
    </row>
    <row r="15" spans="2:10" x14ac:dyDescent="0.3">
      <c r="B15" s="329" t="s">
        <v>532</v>
      </c>
      <c r="C15" s="225">
        <v>0</v>
      </c>
      <c r="D15" s="225">
        <v>31461994</v>
      </c>
      <c r="E15" s="225">
        <v>9369213</v>
      </c>
      <c r="F15" s="225">
        <v>0</v>
      </c>
      <c r="G15" s="225">
        <v>0</v>
      </c>
      <c r="H15" s="225">
        <v>11498833</v>
      </c>
      <c r="I15" s="225">
        <v>15810223</v>
      </c>
      <c r="J15" s="225">
        <v>0</v>
      </c>
    </row>
    <row r="16" spans="2:10" x14ac:dyDescent="0.3">
      <c r="B16" s="329" t="s">
        <v>534</v>
      </c>
      <c r="C16" s="225">
        <v>0</v>
      </c>
      <c r="D16" s="225">
        <v>22216000</v>
      </c>
      <c r="E16" s="225">
        <v>11900000</v>
      </c>
      <c r="F16" s="225">
        <v>0</v>
      </c>
      <c r="G16" s="225">
        <v>0</v>
      </c>
      <c r="H16" s="225">
        <v>4808000</v>
      </c>
      <c r="I16" s="225">
        <v>29991500</v>
      </c>
      <c r="J16" s="225">
        <v>0</v>
      </c>
    </row>
    <row r="17" spans="2:10" x14ac:dyDescent="0.3">
      <c r="B17" s="380" t="s">
        <v>535</v>
      </c>
      <c r="C17" s="378">
        <v>0</v>
      </c>
      <c r="D17" s="378">
        <v>61147200</v>
      </c>
      <c r="E17" s="378">
        <v>23650240</v>
      </c>
      <c r="F17" s="378">
        <v>0</v>
      </c>
      <c r="G17" s="378">
        <v>4851204</v>
      </c>
      <c r="H17" s="378">
        <v>1326114</v>
      </c>
      <c r="I17" s="378">
        <v>63914400</v>
      </c>
      <c r="J17" s="378">
        <v>0</v>
      </c>
    </row>
    <row r="18" spans="2:10" x14ac:dyDescent="0.3">
      <c r="B18" s="329" t="s">
        <v>536</v>
      </c>
      <c r="C18" s="225">
        <v>0</v>
      </c>
      <c r="D18" s="225">
        <v>35690450</v>
      </c>
      <c r="E18" s="225">
        <v>7572800</v>
      </c>
      <c r="F18" s="225">
        <v>0</v>
      </c>
      <c r="G18" s="225">
        <v>0</v>
      </c>
      <c r="H18" s="225">
        <v>1074100</v>
      </c>
      <c r="I18" s="225">
        <v>63914400</v>
      </c>
      <c r="J18" s="225">
        <v>0</v>
      </c>
    </row>
    <row r="19" spans="2:10" x14ac:dyDescent="0.3">
      <c r="B19" s="329" t="s">
        <v>538</v>
      </c>
      <c r="C19" s="225">
        <v>0</v>
      </c>
      <c r="D19" s="225">
        <v>25456750</v>
      </c>
      <c r="E19" s="225">
        <v>16077440</v>
      </c>
      <c r="F19" s="225">
        <v>0</v>
      </c>
      <c r="G19" s="225">
        <v>4851204</v>
      </c>
      <c r="H19" s="225">
        <v>252014</v>
      </c>
      <c r="I19" s="225">
        <v>0</v>
      </c>
      <c r="J19" s="225">
        <v>0</v>
      </c>
    </row>
    <row r="20" spans="2:10" x14ac:dyDescent="0.3">
      <c r="B20" s="316" t="s">
        <v>4817</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Y147"/>
  <sheetViews>
    <sheetView showGridLines="0" topLeftCell="P1" zoomScale="85" zoomScaleNormal="85" workbookViewId="0">
      <pane ySplit="3" topLeftCell="A16" activePane="bottomLeft" state="frozen"/>
      <selection activeCell="N1" sqref="N1"/>
      <selection pane="bottomLeft" activeCell="V156" sqref="V156"/>
    </sheetView>
  </sheetViews>
  <sheetFormatPr defaultRowHeight="14.4" x14ac:dyDescent="0.3"/>
  <cols>
    <col min="1" max="1" width="9.33203125" customWidth="1"/>
    <col min="2" max="2" width="8.77734375" customWidth="1"/>
    <col min="3" max="3" width="12.77734375" customWidth="1"/>
    <col min="4" max="4" width="44.109375" bestFit="1" customWidth="1"/>
    <col min="5" max="5" width="8.44140625" customWidth="1"/>
    <col min="6" max="6" width="105.109375" bestFit="1" customWidth="1"/>
    <col min="7" max="7" width="11.33203125" style="275" customWidth="1"/>
    <col min="8" max="8" width="59.88671875" style="275" bestFit="1" customWidth="1"/>
    <col min="9" max="9" width="12.109375" style="275" customWidth="1"/>
    <col min="10" max="10" width="115.44140625" style="275" bestFit="1" customWidth="1"/>
    <col min="11" max="11" width="12.44140625" style="275" customWidth="1"/>
    <col min="12" max="12" width="86.88671875" style="275" bestFit="1" customWidth="1"/>
    <col min="13" max="13" width="13.21875" style="275" customWidth="1"/>
    <col min="14" max="14" width="79" style="275" bestFit="1" customWidth="1"/>
    <col min="15" max="15" width="9.5546875" customWidth="1"/>
    <col min="16" max="16" width="49.88671875" style="275" customWidth="1"/>
    <col min="17" max="17" width="15.33203125" customWidth="1"/>
    <col min="18" max="18" width="15.6640625" style="274" customWidth="1"/>
    <col min="19" max="19" width="10.6640625" customWidth="1"/>
    <col min="20" max="20" width="11.5546875" customWidth="1"/>
    <col min="21" max="21" width="13.88671875" customWidth="1"/>
    <col min="22" max="23" width="14.33203125" customWidth="1"/>
    <col min="24" max="24" width="14.33203125" bestFit="1" customWidth="1"/>
    <col min="25" max="26" width="11.5546875" customWidth="1"/>
    <col min="27" max="30" width="10.6640625" customWidth="1"/>
    <col min="31" max="31" width="20" style="275" customWidth="1"/>
    <col min="32" max="32" width="29.88671875" style="275" customWidth="1"/>
    <col min="33" max="33" width="35.109375" style="275" customWidth="1"/>
    <col min="34" max="34" width="13.109375" style="275" customWidth="1"/>
    <col min="35" max="35" width="77.88671875" style="275" customWidth="1"/>
    <col min="36" max="36" width="14.33203125" style="275" customWidth="1"/>
    <col min="37" max="37" width="9.88671875" style="275" customWidth="1"/>
    <col min="38" max="38" width="15.33203125" style="275" customWidth="1"/>
    <col min="39" max="39" width="9.77734375" style="275" customWidth="1"/>
    <col min="40" max="40" width="29.44140625" style="275" customWidth="1"/>
    <col min="41" max="41" width="14" style="275" customWidth="1"/>
    <col min="42" max="42" width="22.109375" style="275" customWidth="1"/>
    <col min="43" max="43" width="32.109375" style="275" customWidth="1"/>
    <col min="44" max="44" width="13.6640625" style="275" customWidth="1"/>
    <col min="45" max="45" width="12.5546875" style="275" customWidth="1"/>
    <col min="46" max="46" width="11.5546875" style="275" customWidth="1"/>
    <col min="47" max="47" width="13.5546875" style="275" customWidth="1"/>
    <col min="48" max="49" width="11.5546875" bestFit="1" customWidth="1"/>
    <col min="50" max="50" width="12.5546875" bestFit="1" customWidth="1"/>
    <col min="51" max="51" width="11.33203125" customWidth="1"/>
    <col min="52" max="52" width="22.33203125" bestFit="1" customWidth="1"/>
  </cols>
  <sheetData>
    <row r="1" spans="1:51" x14ac:dyDescent="0.3">
      <c r="W1" t="s">
        <v>4644</v>
      </c>
    </row>
    <row r="2" spans="1:51" x14ac:dyDescent="0.3">
      <c r="AB2" t="s">
        <v>4644</v>
      </c>
    </row>
    <row r="3" spans="1:51"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416" t="s">
        <v>6235</v>
      </c>
      <c r="S3" s="275" t="s">
        <v>4673</v>
      </c>
      <c r="T3" s="275" t="s">
        <v>4674</v>
      </c>
      <c r="U3" s="275" t="s">
        <v>4675</v>
      </c>
      <c r="V3" s="275" t="s">
        <v>4676</v>
      </c>
      <c r="W3" s="275" t="s">
        <v>4677</v>
      </c>
      <c r="X3" s="275" t="s">
        <v>4678</v>
      </c>
      <c r="Y3" s="275" t="s">
        <v>4679</v>
      </c>
      <c r="Z3" s="275" t="s">
        <v>4680</v>
      </c>
      <c r="AA3" s="275" t="s">
        <v>4681</v>
      </c>
      <c r="AB3" s="275" t="s">
        <v>4682</v>
      </c>
      <c r="AC3" s="275" t="s">
        <v>4683</v>
      </c>
      <c r="AD3" s="275" t="s">
        <v>4684</v>
      </c>
      <c r="AE3" s="275" t="s">
        <v>4685</v>
      </c>
      <c r="AF3" s="275" t="s">
        <v>4686</v>
      </c>
      <c r="AG3" s="275" t="s">
        <v>500</v>
      </c>
      <c r="AH3" s="275" t="s">
        <v>4687</v>
      </c>
      <c r="AI3" s="275" t="s">
        <v>4688</v>
      </c>
      <c r="AJ3" s="275" t="s">
        <v>4651</v>
      </c>
      <c r="AK3" s="275" t="s">
        <v>4818</v>
      </c>
      <c r="AL3" s="275" t="s">
        <v>4652</v>
      </c>
      <c r="AM3" s="275" t="s">
        <v>6249</v>
      </c>
      <c r="AN3" s="275" t="s">
        <v>4689</v>
      </c>
      <c r="AO3" s="275" t="s">
        <v>4690</v>
      </c>
      <c r="AP3" s="275" t="s">
        <v>4691</v>
      </c>
      <c r="AQ3" s="275" t="s">
        <v>4692</v>
      </c>
      <c r="AR3" s="275" t="s">
        <v>4826</v>
      </c>
      <c r="AS3" s="275" t="s">
        <v>4827</v>
      </c>
      <c r="AT3" s="275" t="s">
        <v>4828</v>
      </c>
      <c r="AU3" s="275" t="s">
        <v>4837</v>
      </c>
      <c r="AV3" s="275" t="s">
        <v>5161</v>
      </c>
      <c r="AW3" s="275" t="s">
        <v>5197</v>
      </c>
      <c r="AX3" s="275" t="s">
        <v>5198</v>
      </c>
      <c r="AY3" s="275" t="s">
        <v>5353</v>
      </c>
    </row>
    <row r="4" spans="1:51" s="278" customFormat="1" hidden="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7" cm="1">
        <f t="array" ref="Q4">SUM(_xlfn._xlws.FILTER(#REF!,#REF!=SP2D!AN4,0))</f>
        <v>19875000</v>
      </c>
      <c r="R4" s="307">
        <v>19875000</v>
      </c>
      <c r="S4" s="292">
        <f>SUM('PER BULAN'!H21:J21)</f>
        <v>0</v>
      </c>
      <c r="T4" s="292">
        <f>SUM('PER BULAN'!K21:N21)</f>
        <v>0</v>
      </c>
      <c r="U4" s="292">
        <f>SUM('PER BULAN'!N21:P21)</f>
        <v>2490000</v>
      </c>
      <c r="V4" s="292">
        <f>SUM('PER BULAN'!Q21:S21)</f>
        <v>0</v>
      </c>
      <c r="W4" s="292">
        <f>SUM('PER BULAN'!T21:V21)</f>
        <v>3091000</v>
      </c>
      <c r="X4" s="292">
        <f>SUM('PER BULAN'!W21:Y21)</f>
        <v>0</v>
      </c>
      <c r="Y4" s="292">
        <f>SUM('PER BULAN'!Z21:AB21)</f>
        <v>0</v>
      </c>
      <c r="Z4" s="292">
        <f>SUM('PER BULAN'!AC21:AE21)</f>
        <v>0</v>
      </c>
      <c r="AA4" s="292">
        <f>SUM('PER BULAN'!AF21:AH21)</f>
        <v>0</v>
      </c>
      <c r="AB4" s="292">
        <f>SUM('PER BULAN'!AI21:AK21)</f>
        <v>0</v>
      </c>
      <c r="AC4" s="292">
        <f>SUM('PER BULAN'!AL21:AN21)</f>
        <v>0</v>
      </c>
      <c r="AD4" s="292">
        <f>SUM('PER BULAN'!AO21:AQ21)</f>
        <v>0</v>
      </c>
      <c r="AE4" s="277" t="s">
        <v>530</v>
      </c>
      <c r="AF4" s="277" t="s">
        <v>531</v>
      </c>
      <c r="AG4" s="277" t="s">
        <v>532</v>
      </c>
      <c r="AH4" s="277" t="s">
        <v>4699</v>
      </c>
      <c r="AI4" s="277" t="s">
        <v>4700</v>
      </c>
      <c r="AJ4" s="277">
        <f>SUM(S4:AD4)</f>
        <v>5581000</v>
      </c>
      <c r="AK4" s="291">
        <f>IFERROR(AJ4/Q4*100,0)</f>
        <v>28.080503144654088</v>
      </c>
      <c r="AL4" s="277">
        <f>Q4-AJ4</f>
        <v>14294000</v>
      </c>
      <c r="AM4" s="291">
        <f>IFERROR(AL4/Q4*100,0)</f>
        <v>71.919496855345912</v>
      </c>
      <c r="AN4" s="277" t="str">
        <f>_xlfn.TEXTJOIN(".",TRUE,C4,E4,G4,I4,K4,M4,O4)</f>
        <v>DL.2376.AFA.001.051.A.521211</v>
      </c>
      <c r="AO4" s="277" t="str">
        <f>IF(ISNUMBER(SEARCH("COVID",Table7[[#This Row],[Akun]])),"COVID","Non COVID")</f>
        <v>Non COVID</v>
      </c>
      <c r="AP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 s="292">
        <f>SUM('PER BULAN'!AY21)</f>
        <v>0</v>
      </c>
      <c r="AS4" s="292">
        <f>SUM('PER BULAN'!AZ21)</f>
        <v>990000</v>
      </c>
      <c r="AT4" s="292">
        <f>SUM('PER BULAN'!BA21)</f>
        <v>1500000</v>
      </c>
      <c r="AU4" s="292">
        <f>SUM('PER BULAN'!BB21)</f>
        <v>0</v>
      </c>
      <c r="AV4" s="292">
        <f>SUM('PER BULAN'!BC21)</f>
        <v>0</v>
      </c>
      <c r="AW4" s="292">
        <f>SUM('PER BULAN'!BD21)</f>
        <v>1606000</v>
      </c>
      <c r="AX4" s="292">
        <f>SUM('PER BULAN'!BE21)</f>
        <v>1485000</v>
      </c>
      <c r="AY4" s="292">
        <f>SUM('PER BULAN'!BF21)</f>
        <v>0</v>
      </c>
    </row>
    <row r="5" spans="1:51" s="278" customFormat="1" hidden="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307" cm="1">
        <f t="array" ref="Q5">SUM(_xlfn._xlws.FILTER(#REF!,#REF!=SP2D!AN5,0))</f>
        <v>20000000</v>
      </c>
      <c r="R5" s="278">
        <f>'PER BULAN'!G22</f>
        <v>20000000</v>
      </c>
      <c r="S5" s="292">
        <f>SUM('PER BULAN'!H22:J22)</f>
        <v>0</v>
      </c>
      <c r="T5" s="292">
        <f>SUM('PER BULAN'!K22:M22)</f>
        <v>0</v>
      </c>
      <c r="U5" s="292">
        <f>SUM('PER BULAN'!N22:P22)</f>
        <v>900000</v>
      </c>
      <c r="V5" s="292">
        <f>SUM('PER BULAN'!Q22:S22)</f>
        <v>0</v>
      </c>
      <c r="W5" s="292">
        <f>SUM('PER BULAN'!T22:V22)</f>
        <v>0</v>
      </c>
      <c r="X5" s="292">
        <f>SUM('PER BULAN'!W22:Y22)</f>
        <v>1200000</v>
      </c>
      <c r="Y5" s="292">
        <f>SUM('PER BULAN'!Z22:AB22)</f>
        <v>0</v>
      </c>
      <c r="Z5" s="292">
        <f>SUM('PER BULAN'!AC22:AE22)</f>
        <v>0</v>
      </c>
      <c r="AA5" s="292">
        <f>SUM('PER BULAN'!AF22:AH22)</f>
        <v>0</v>
      </c>
      <c r="AB5" s="292">
        <f>SUM('PER BULAN'!AI22:AK22)</f>
        <v>0</v>
      </c>
      <c r="AC5" s="292">
        <f>SUM('PER BULAN'!AL22:AN22)</f>
        <v>0</v>
      </c>
      <c r="AD5" s="292">
        <f>SUM('PER BULAN'!AO22:AQ22)</f>
        <v>0</v>
      </c>
      <c r="AE5" s="277" t="s">
        <v>530</v>
      </c>
      <c r="AF5" s="277" t="s">
        <v>531</v>
      </c>
      <c r="AG5" s="277" t="s">
        <v>532</v>
      </c>
      <c r="AH5" s="277" t="s">
        <v>4699</v>
      </c>
      <c r="AI5" s="277" t="s">
        <v>4700</v>
      </c>
      <c r="AJ5" s="277">
        <f t="shared" ref="AJ5:AJ68" si="0">SUM(S5:AD5)</f>
        <v>2100000</v>
      </c>
      <c r="AK5" s="291">
        <f t="shared" ref="AK5:AK68" si="1">IFERROR(AJ5/Q5*100,0)</f>
        <v>10.5</v>
      </c>
      <c r="AL5" s="277">
        <f t="shared" ref="AL5:AL68" si="2">Q5-AJ5</f>
        <v>17900000</v>
      </c>
      <c r="AM5" s="291">
        <f t="shared" ref="AM5:AM68" si="3">IFERROR(AL5/Q5*100,0)</f>
        <v>89.5</v>
      </c>
      <c r="AN5" s="277" t="str">
        <f t="shared" ref="AN5:AN68" si="4">_xlfn.TEXTJOIN(".",TRUE,C5,E5,G5,I5,K5,M5,O5)</f>
        <v>DL.2376.AFA.001.051.A.522151</v>
      </c>
      <c r="AO5" s="277" t="str">
        <f>IF(ISNUMBER(SEARCH("COVID",Table7[[#This Row],[Akun]])),"COVID","Non COVID")</f>
        <v>Non COVID</v>
      </c>
      <c r="AP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 s="292">
        <f>SUM('PER BULAN'!AY22)</f>
        <v>0</v>
      </c>
      <c r="AS5" s="292">
        <f>SUM('PER BULAN'!AZ22)</f>
        <v>900000</v>
      </c>
      <c r="AT5" s="292">
        <f>SUM('PER BULAN'!BA22)</f>
        <v>0</v>
      </c>
      <c r="AU5" s="292">
        <f>SUM('PER BULAN'!BB22)</f>
        <v>0</v>
      </c>
      <c r="AV5" s="292">
        <f>SUM('PER BULAN'!BC22)</f>
        <v>0</v>
      </c>
      <c r="AW5" s="292">
        <f>SUM('PER BULAN'!BD22)</f>
        <v>0</v>
      </c>
      <c r="AX5" s="292">
        <f>SUM('PER BULAN'!BE22)</f>
        <v>0</v>
      </c>
      <c r="AY5" s="292">
        <f>SUM('PER BULAN'!BF22)</f>
        <v>0</v>
      </c>
    </row>
    <row r="6" spans="1:51" s="278" customFormat="1" hidden="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307" cm="1">
        <f t="array" ref="Q6">SUM(_xlfn._xlws.FILTER(#REF!,#REF!=SP2D!AN6,0))</f>
        <v>43260000</v>
      </c>
      <c r="R6" s="278">
        <f>'PER BULAN'!G23</f>
        <v>43260000</v>
      </c>
      <c r="S6" s="292">
        <f>SUM('PER BULAN'!H23:J23)</f>
        <v>0</v>
      </c>
      <c r="T6" s="292">
        <f>SUM('PER BULAN'!K23:M23)</f>
        <v>0</v>
      </c>
      <c r="U6" s="292">
        <f>SUM('PER BULAN'!N23:P23)</f>
        <v>10950000</v>
      </c>
      <c r="V6" s="292">
        <f>SUM('PER BULAN'!Q23:S23)</f>
        <v>11716000</v>
      </c>
      <c r="W6" s="292">
        <f>SUM('PER BULAN'!T23:V23)</f>
        <v>1800000</v>
      </c>
      <c r="X6" s="292">
        <f>SUM('PER BULAN'!W23:Y23)</f>
        <v>1810000</v>
      </c>
      <c r="Y6" s="292">
        <f>SUM('PER BULAN'!Z23:AB23)</f>
        <v>0</v>
      </c>
      <c r="Z6" s="292">
        <f>SUM('PER BULAN'!AC23:AE23)</f>
        <v>0</v>
      </c>
      <c r="AA6" s="292">
        <f>SUM('PER BULAN'!AF23:AH23)</f>
        <v>0</v>
      </c>
      <c r="AB6" s="292">
        <f>SUM('PER BULAN'!AI23:AK23)</f>
        <v>0</v>
      </c>
      <c r="AC6" s="292">
        <f>SUM('PER BULAN'!AL23:AN23)</f>
        <v>0</v>
      </c>
      <c r="AD6" s="292">
        <f>SUM('PER BULAN'!AO23:AQ23)</f>
        <v>0</v>
      </c>
      <c r="AE6" s="277" t="s">
        <v>530</v>
      </c>
      <c r="AF6" s="277" t="s">
        <v>531</v>
      </c>
      <c r="AG6" s="277" t="s">
        <v>532</v>
      </c>
      <c r="AH6" s="277" t="s">
        <v>4699</v>
      </c>
      <c r="AI6" s="277" t="s">
        <v>4700</v>
      </c>
      <c r="AJ6" s="277">
        <f t="shared" si="0"/>
        <v>26276000</v>
      </c>
      <c r="AK6" s="291">
        <f t="shared" si="1"/>
        <v>60.739713361072589</v>
      </c>
      <c r="AL6" s="277">
        <f t="shared" si="2"/>
        <v>16984000</v>
      </c>
      <c r="AM6" s="291">
        <f t="shared" si="3"/>
        <v>39.260286638927418</v>
      </c>
      <c r="AN6" s="277" t="str">
        <f t="shared" si="4"/>
        <v>DL.2376.AFA.001.051.A.524111</v>
      </c>
      <c r="AO6" s="277" t="str">
        <f>IF(ISNUMBER(SEARCH("COVID",Table7[[#This Row],[Akun]])),"COVID","Non COVID")</f>
        <v>Non COVID</v>
      </c>
      <c r="AP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 s="292">
        <f>SUM('PER BULAN'!AY23)</f>
        <v>0</v>
      </c>
      <c r="AS6" s="292">
        <f>SUM('PER BULAN'!AZ23)</f>
        <v>10950000</v>
      </c>
      <c r="AT6" s="292">
        <f>SUM('PER BULAN'!BA23)</f>
        <v>0</v>
      </c>
      <c r="AU6" s="292">
        <f>SUM('PER BULAN'!BB23)</f>
        <v>0</v>
      </c>
      <c r="AV6" s="292">
        <f>SUM('PER BULAN'!BC23)</f>
        <v>0</v>
      </c>
      <c r="AW6" s="292">
        <f>SUM('PER BULAN'!BD23)</f>
        <v>1800000</v>
      </c>
      <c r="AX6" s="292">
        <f>SUM('PER BULAN'!BE23)</f>
        <v>0</v>
      </c>
      <c r="AY6" s="292">
        <f>SUM('PER BULAN'!BF23)</f>
        <v>0</v>
      </c>
    </row>
    <row r="7" spans="1:51" s="278" customFormat="1" hidden="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307" cm="1">
        <f t="array" ref="Q7">SUM(_xlfn._xlws.FILTER(#REF!,#REF!=SP2D!AN7,0))</f>
        <v>19500000</v>
      </c>
      <c r="R7" s="278">
        <f>'PER BULAN'!G25</f>
        <v>19500000</v>
      </c>
      <c r="S7" s="292">
        <f>SUM('PER BULAN'!H25:J25)</f>
        <v>0</v>
      </c>
      <c r="T7" s="292">
        <f>SUM('PER BULAN'!K25:M25)</f>
        <v>0</v>
      </c>
      <c r="U7" s="292">
        <f>SUM('PER BULAN'!N25:P25)</f>
        <v>2561000</v>
      </c>
      <c r="V7" s="292">
        <f>SUM('PER BULAN'!Q25:S25)</f>
        <v>0</v>
      </c>
      <c r="W7" s="292">
        <f>SUM('PER BULAN'!T25:V25)</f>
        <v>1480000</v>
      </c>
      <c r="X7" s="292">
        <f>SUM('PER BULAN'!W25:Y25)</f>
        <v>0</v>
      </c>
      <c r="Y7" s="292">
        <f>SUM('PER BULAN'!Z25:AB25)</f>
        <v>0</v>
      </c>
      <c r="Z7" s="292">
        <f>SUM('PER BULAN'!AC25:AE25)</f>
        <v>0</v>
      </c>
      <c r="AA7" s="292">
        <f>SUM('PER BULAN'!AF25:AH25)</f>
        <v>0</v>
      </c>
      <c r="AB7" s="292">
        <f>SUM('PER BULAN'!AI25:AK25)</f>
        <v>0</v>
      </c>
      <c r="AC7" s="292">
        <f>SUM('PER BULAN'!AL25:AN25)</f>
        <v>0</v>
      </c>
      <c r="AD7" s="292">
        <f>SUM('PER BULAN'!AO25:AQ25)</f>
        <v>0</v>
      </c>
      <c r="AE7" s="277" t="s">
        <v>530</v>
      </c>
      <c r="AF7" s="277" t="s">
        <v>531</v>
      </c>
      <c r="AG7" s="277" t="s">
        <v>532</v>
      </c>
      <c r="AH7" s="277" t="s">
        <v>4699</v>
      </c>
      <c r="AI7" s="277" t="s">
        <v>4700</v>
      </c>
      <c r="AJ7" s="277">
        <f t="shared" si="0"/>
        <v>4041000</v>
      </c>
      <c r="AK7" s="291">
        <f t="shared" si="1"/>
        <v>20.723076923076921</v>
      </c>
      <c r="AL7" s="277">
        <f t="shared" si="2"/>
        <v>15459000</v>
      </c>
      <c r="AM7" s="291">
        <f t="shared" si="3"/>
        <v>79.276923076923083</v>
      </c>
      <c r="AN7" s="277" t="str">
        <f t="shared" si="4"/>
        <v>DL.2376.AFA.001.051.B.521211</v>
      </c>
      <c r="AO7" s="277" t="str">
        <f>IF(ISNUMBER(SEARCH("COVID",Table7[[#This Row],[Akun]])),"COVID","Non COVID")</f>
        <v>Non COVID</v>
      </c>
      <c r="AP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 s="292">
        <f>SUM('PER BULAN'!AY25)</f>
        <v>0</v>
      </c>
      <c r="AS7" s="292">
        <f>SUM('PER BULAN'!AZ25)</f>
        <v>1525000</v>
      </c>
      <c r="AT7" s="292">
        <f>SUM('PER BULAN'!BA25)</f>
        <v>1036000</v>
      </c>
      <c r="AU7" s="292">
        <f>SUM('PER BULAN'!BB25)</f>
        <v>0</v>
      </c>
      <c r="AV7" s="292">
        <f>SUM('PER BULAN'!BC25)</f>
        <v>0</v>
      </c>
      <c r="AW7" s="292">
        <f>SUM('PER BULAN'!BD25)</f>
        <v>0</v>
      </c>
      <c r="AX7" s="292">
        <f>SUM('PER BULAN'!BE25)</f>
        <v>1480000</v>
      </c>
      <c r="AY7" s="292">
        <f>SUM('PER BULAN'!BF25)</f>
        <v>0</v>
      </c>
    </row>
    <row r="8" spans="1:51" s="278" customFormat="1" hidden="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307" cm="1">
        <f t="array" ref="Q8">SUM(_xlfn._xlws.FILTER(#REF!,#REF!=SP2D!AN8,0))</f>
        <v>4000000</v>
      </c>
      <c r="R8" s="278">
        <f>'PER BULAN'!G26</f>
        <v>4000000</v>
      </c>
      <c r="S8" s="292">
        <f>SUM('PER BULAN'!H26:J26)</f>
        <v>0</v>
      </c>
      <c r="T8" s="292">
        <f>SUM('PER BULAN'!K26:M26)</f>
        <v>0</v>
      </c>
      <c r="U8" s="292">
        <f>SUM('PER BULAN'!N26:P26)</f>
        <v>900000</v>
      </c>
      <c r="V8" s="292">
        <f>SUM('PER BULAN'!Q26:S26)</f>
        <v>0</v>
      </c>
      <c r="W8" s="292">
        <f>SUM('PER BULAN'!T26:V26)</f>
        <v>0</v>
      </c>
      <c r="X8" s="292">
        <f>SUM('PER BULAN'!W26:Y26)</f>
        <v>0</v>
      </c>
      <c r="Y8" s="292">
        <f>SUM('PER BULAN'!Z26:AB26)</f>
        <v>0</v>
      </c>
      <c r="Z8" s="292">
        <f>SUM('PER BULAN'!AC26:AE26)</f>
        <v>0</v>
      </c>
      <c r="AA8" s="292">
        <f>SUM('PER BULAN'!AF26:AH26)</f>
        <v>0</v>
      </c>
      <c r="AB8" s="292">
        <f>SUM('PER BULAN'!AI26:AK26)</f>
        <v>0</v>
      </c>
      <c r="AC8" s="292">
        <f>SUM('PER BULAN'!AL26:AN26)</f>
        <v>0</v>
      </c>
      <c r="AD8" s="292">
        <f>SUM('PER BULAN'!AO26:AQ26)</f>
        <v>0</v>
      </c>
      <c r="AE8" s="277" t="s">
        <v>530</v>
      </c>
      <c r="AF8" s="277" t="s">
        <v>531</v>
      </c>
      <c r="AG8" s="277" t="s">
        <v>532</v>
      </c>
      <c r="AH8" s="277" t="s">
        <v>4699</v>
      </c>
      <c r="AI8" s="277" t="s">
        <v>4700</v>
      </c>
      <c r="AJ8" s="277">
        <f t="shared" si="0"/>
        <v>900000</v>
      </c>
      <c r="AK8" s="291">
        <f t="shared" si="1"/>
        <v>22.5</v>
      </c>
      <c r="AL8" s="277">
        <f t="shared" si="2"/>
        <v>3100000</v>
      </c>
      <c r="AM8" s="291">
        <f t="shared" si="3"/>
        <v>77.5</v>
      </c>
      <c r="AN8" s="277" t="str">
        <f t="shared" si="4"/>
        <v>DL.2376.AFA.001.051.B.522151</v>
      </c>
      <c r="AO8" s="277" t="str">
        <f>IF(ISNUMBER(SEARCH("COVID",Table7[[#This Row],[Akun]])),"COVID","Non COVID")</f>
        <v>Non COVID</v>
      </c>
      <c r="AP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 s="292">
        <f>SUM('PER BULAN'!AY26)</f>
        <v>0</v>
      </c>
      <c r="AS8" s="292">
        <f>SUM('PER BULAN'!AZ26)</f>
        <v>900000</v>
      </c>
      <c r="AT8" s="292">
        <f>SUM('PER BULAN'!BA26)</f>
        <v>0</v>
      </c>
      <c r="AU8" s="292">
        <f>SUM('PER BULAN'!BB26)</f>
        <v>0</v>
      </c>
      <c r="AV8" s="292">
        <f>SUM('PER BULAN'!BC26)</f>
        <v>0</v>
      </c>
      <c r="AW8" s="292">
        <f>SUM('PER BULAN'!BD26)</f>
        <v>0</v>
      </c>
      <c r="AX8" s="292">
        <f>SUM('PER BULAN'!BE26)</f>
        <v>0</v>
      </c>
      <c r="AY8" s="292">
        <f>SUM('PER BULAN'!BF26)</f>
        <v>0</v>
      </c>
    </row>
    <row r="9" spans="1:51" s="278" customFormat="1" hidden="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307" cm="1">
        <f t="array" ref="Q9">SUM(_xlfn._xlws.FILTER(#REF!,#REF!=SP2D!AN9,0))</f>
        <v>17465000</v>
      </c>
      <c r="R9" s="278">
        <f>'PER BULAN'!G27</f>
        <v>17465000</v>
      </c>
      <c r="S9" s="292">
        <f>SUM('PER BULAN'!H27:J27)</f>
        <v>0</v>
      </c>
      <c r="T9" s="292">
        <f>SUM('PER BULAN'!K27:M27)</f>
        <v>0</v>
      </c>
      <c r="U9" s="292">
        <f>SUM('PER BULAN'!N27:P27)</f>
        <v>16620000</v>
      </c>
      <c r="V9" s="292">
        <f>SUM('PER BULAN'!Q27:S27)</f>
        <v>0</v>
      </c>
      <c r="W9" s="292">
        <f>SUM('PER BULAN'!T27:V27)</f>
        <v>0</v>
      </c>
      <c r="X9" s="292">
        <f>SUM('PER BULAN'!W27:Y27)</f>
        <v>0</v>
      </c>
      <c r="Y9" s="292">
        <f>SUM('PER BULAN'!Z27:AB27)</f>
        <v>0</v>
      </c>
      <c r="Z9" s="292">
        <f>SUM('PER BULAN'!AC27:AE27)</f>
        <v>0</v>
      </c>
      <c r="AA9" s="292">
        <f>SUM('PER BULAN'!AF27:AH27)</f>
        <v>0</v>
      </c>
      <c r="AB9" s="292">
        <f>SUM('PER BULAN'!AI27:AK27)</f>
        <v>0</v>
      </c>
      <c r="AC9" s="292">
        <f>SUM('PER BULAN'!AL27:AN27)</f>
        <v>0</v>
      </c>
      <c r="AD9" s="292">
        <f>SUM('PER BULAN'!AO27:AQ27)</f>
        <v>0</v>
      </c>
      <c r="AE9" s="277" t="s">
        <v>530</v>
      </c>
      <c r="AF9" s="277" t="s">
        <v>531</v>
      </c>
      <c r="AG9" s="277" t="s">
        <v>532</v>
      </c>
      <c r="AH9" s="277" t="s">
        <v>4699</v>
      </c>
      <c r="AI9" s="277" t="s">
        <v>4700</v>
      </c>
      <c r="AJ9" s="277">
        <f t="shared" si="0"/>
        <v>16620000</v>
      </c>
      <c r="AK9" s="291">
        <f t="shared" si="1"/>
        <v>95.161752075579727</v>
      </c>
      <c r="AL9" s="277">
        <f t="shared" si="2"/>
        <v>845000</v>
      </c>
      <c r="AM9" s="291">
        <f t="shared" si="3"/>
        <v>4.8382479244202692</v>
      </c>
      <c r="AN9" s="277" t="str">
        <f t="shared" si="4"/>
        <v>DL.2376.AFA.001.051.B.524111</v>
      </c>
      <c r="AO9" s="277" t="str">
        <f>IF(ISNUMBER(SEARCH("COVID",Table7[[#This Row],[Akun]])),"COVID","Non COVID")</f>
        <v>Non COVID</v>
      </c>
      <c r="AP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 s="292">
        <f>SUM('PER BULAN'!AY27)</f>
        <v>0</v>
      </c>
      <c r="AS9" s="292">
        <f>SUM('PER BULAN'!AZ27)</f>
        <v>12960000</v>
      </c>
      <c r="AT9" s="292">
        <f>SUM('PER BULAN'!BA27)</f>
        <v>3660000</v>
      </c>
      <c r="AU9" s="292">
        <f>SUM('PER BULAN'!BB27)</f>
        <v>0</v>
      </c>
      <c r="AV9" s="292">
        <f>SUM('PER BULAN'!BC27)</f>
        <v>0</v>
      </c>
      <c r="AW9" s="292">
        <f>SUM('PER BULAN'!BD27)</f>
        <v>0</v>
      </c>
      <c r="AX9" s="292">
        <f>SUM('PER BULAN'!BE27)</f>
        <v>0</v>
      </c>
      <c r="AY9" s="292">
        <f>SUM('PER BULAN'!BF27)</f>
        <v>0</v>
      </c>
    </row>
    <row r="10" spans="1:51" s="278" customFormat="1" hidden="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4730</v>
      </c>
      <c r="O10" s="277" t="s">
        <v>503</v>
      </c>
      <c r="P10" s="277" t="s">
        <v>4698</v>
      </c>
      <c r="Q10" s="307" cm="1">
        <f t="array" ref="Q10">SUM(_xlfn._xlws.FILTER(#REF!,#REF!=SP2D!AN10,0))</f>
        <v>21250000</v>
      </c>
      <c r="R10" s="278">
        <v>21250000</v>
      </c>
      <c r="S10" s="292">
        <f>SUM('PER BULAN'!H30:J30)</f>
        <v>0</v>
      </c>
      <c r="T10" s="292">
        <f>SUM('PER BULAN'!K30:M30)</f>
        <v>0</v>
      </c>
      <c r="U10" s="292">
        <f>SUM('PER BULAN'!N30:P30)</f>
        <v>2460000</v>
      </c>
      <c r="V10" s="292">
        <f>SUM('PER BULAN'!Q30:S30)</f>
        <v>0</v>
      </c>
      <c r="W10" s="292">
        <f>SUM('PER BULAN'!T30:V30)</f>
        <v>660000</v>
      </c>
      <c r="X10" s="292">
        <f>SUM('PER BULAN'!W30:Y30)</f>
        <v>0</v>
      </c>
      <c r="Y10" s="292">
        <f>SUM('PER BULAN'!Z30:AB30)</f>
        <v>0</v>
      </c>
      <c r="Z10" s="292">
        <f>SUM('PER BULAN'!AC30:AE30)</f>
        <v>0</v>
      </c>
      <c r="AA10" s="292">
        <f>SUM('PER BULAN'!AF30:AH30)</f>
        <v>0</v>
      </c>
      <c r="AB10" s="292">
        <f>SUM('PER BULAN'!AI30:AK30)</f>
        <v>0</v>
      </c>
      <c r="AC10" s="292">
        <f>SUM('PER BULAN'!AL30:AN30)</f>
        <v>0</v>
      </c>
      <c r="AD10" s="292">
        <f>SUM('PER BULAN'!AO30:AQ30)</f>
        <v>0</v>
      </c>
      <c r="AE10" s="277" t="s">
        <v>530</v>
      </c>
      <c r="AF10" s="277" t="s">
        <v>531</v>
      </c>
      <c r="AG10" s="277" t="s">
        <v>534</v>
      </c>
      <c r="AH10" s="277" t="s">
        <v>4699</v>
      </c>
      <c r="AI10" s="277" t="s">
        <v>4700</v>
      </c>
      <c r="AJ10" s="277">
        <f t="shared" si="0"/>
        <v>3120000</v>
      </c>
      <c r="AK10" s="291">
        <f t="shared" si="1"/>
        <v>14.682352941176472</v>
      </c>
      <c r="AL10" s="277">
        <f t="shared" si="2"/>
        <v>18130000</v>
      </c>
      <c r="AM10" s="291">
        <f t="shared" si="3"/>
        <v>85.317647058823525</v>
      </c>
      <c r="AN10" s="277" t="str">
        <f t="shared" si="4"/>
        <v>DL.2376.AFA.001.052.A.521211</v>
      </c>
      <c r="AO10" s="277" t="str">
        <f>IF(ISNUMBER(SEARCH("COVID",Table7[[#This Row],[Akun]])),"COVID","Non COVID")</f>
        <v>Non COVID</v>
      </c>
      <c r="AP1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 s="292">
        <f>SUM('PER BULAN'!AY30)</f>
        <v>0</v>
      </c>
      <c r="AS10" s="292">
        <f>SUM('PER BULAN'!AZ30)</f>
        <v>2460000</v>
      </c>
      <c r="AT10" s="292">
        <f>SUM('PER BULAN'!BA30)</f>
        <v>0</v>
      </c>
      <c r="AU10" s="292">
        <f>SUM('PER BULAN'!BB30)</f>
        <v>0</v>
      </c>
      <c r="AV10" s="292">
        <f>SUM('PER BULAN'!BC30)</f>
        <v>0</v>
      </c>
      <c r="AW10" s="292">
        <f>SUM('PER BULAN'!BD30)</f>
        <v>660000</v>
      </c>
      <c r="AX10" s="292">
        <f>SUM('PER BULAN'!BE30)</f>
        <v>0</v>
      </c>
      <c r="AY10" s="292">
        <f>SUM('PER BULAN'!BF30)</f>
        <v>0</v>
      </c>
    </row>
    <row r="11" spans="1:51" s="278" customFormat="1" hidden="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4730</v>
      </c>
      <c r="O11" s="277" t="s">
        <v>513</v>
      </c>
      <c r="P11" s="277" t="s">
        <v>4702</v>
      </c>
      <c r="Q11" s="307" cm="1">
        <f t="array" ref="Q11">SUM(_xlfn._xlws.FILTER(#REF!,#REF!=SP2D!AN11,0))</f>
        <v>33250000</v>
      </c>
      <c r="R11" s="278">
        <v>33250000</v>
      </c>
      <c r="S11" s="292">
        <f>SUM('PER BULAN'!H31:J31)</f>
        <v>0</v>
      </c>
      <c r="T11" s="292">
        <f>SUM('PER BULAN'!K31:M31)</f>
        <v>0</v>
      </c>
      <c r="U11" s="292">
        <f>SUM('PER BULAN'!N31:P31)</f>
        <v>3780000</v>
      </c>
      <c r="V11" s="292">
        <f>SUM('PER BULAN'!Q31:S31)</f>
        <v>2840000</v>
      </c>
      <c r="W11" s="292">
        <f>SUM('PER BULAN'!T31:V31)</f>
        <v>14114500</v>
      </c>
      <c r="X11" s="292">
        <f>SUM('PER BULAN'!W31:Y31)</f>
        <v>360000</v>
      </c>
      <c r="Y11" s="292">
        <f>SUM('PER BULAN'!Z31:AB31)</f>
        <v>0</v>
      </c>
      <c r="Z11" s="292">
        <f>SUM('PER BULAN'!AC31:AE31)</f>
        <v>0</v>
      </c>
      <c r="AA11" s="292">
        <f>SUM('PER BULAN'!AF31:AH31)</f>
        <v>0</v>
      </c>
      <c r="AB11" s="292">
        <f>SUM('PER BULAN'!AI31:AK31)</f>
        <v>0</v>
      </c>
      <c r="AC11" s="292">
        <f>SUM('PER BULAN'!AL31:AN31)</f>
        <v>0</v>
      </c>
      <c r="AD11" s="292">
        <f>SUM('PER BULAN'!AO31:AQ31)</f>
        <v>0</v>
      </c>
      <c r="AE11" s="277" t="s">
        <v>530</v>
      </c>
      <c r="AF11" s="277" t="s">
        <v>531</v>
      </c>
      <c r="AG11" s="277" t="s">
        <v>534</v>
      </c>
      <c r="AH11" s="277" t="s">
        <v>4699</v>
      </c>
      <c r="AI11" s="277" t="s">
        <v>4700</v>
      </c>
      <c r="AJ11" s="277">
        <f t="shared" si="0"/>
        <v>21094500</v>
      </c>
      <c r="AK11" s="291">
        <f t="shared" si="1"/>
        <v>63.442105263157899</v>
      </c>
      <c r="AL11" s="277">
        <f t="shared" si="2"/>
        <v>12155500</v>
      </c>
      <c r="AM11" s="291">
        <f t="shared" si="3"/>
        <v>36.557894736842108</v>
      </c>
      <c r="AN11" s="277" t="str">
        <f t="shared" si="4"/>
        <v>DL.2376.AFA.001.052.A.524111</v>
      </c>
      <c r="AO11" s="277" t="str">
        <f>IF(ISNUMBER(SEARCH("COVID",Table7[[#This Row],[Akun]])),"COVID","Non COVID")</f>
        <v>Non COVID</v>
      </c>
      <c r="AP1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 s="292">
        <f>SUM('PER BULAN'!AY31)</f>
        <v>0</v>
      </c>
      <c r="AS11" s="292">
        <f>SUM('PER BULAN'!AZ31)</f>
        <v>1080000</v>
      </c>
      <c r="AT11" s="292">
        <f>SUM('PER BULAN'!BA31)</f>
        <v>2700000</v>
      </c>
      <c r="AU11" s="292">
        <f>SUM('PER BULAN'!BB31)</f>
        <v>0</v>
      </c>
      <c r="AV11" s="292">
        <f>SUM('PER BULAN'!BC31)</f>
        <v>0</v>
      </c>
      <c r="AW11" s="292">
        <f>SUM('PER BULAN'!BD31)</f>
        <v>3620000</v>
      </c>
      <c r="AX11" s="292">
        <f>SUM('PER BULAN'!BE31)</f>
        <v>9244500</v>
      </c>
      <c r="AY11" s="292">
        <f>SUM('PER BULAN'!BF31)</f>
        <v>0</v>
      </c>
    </row>
    <row r="12" spans="1:51" s="278" customFormat="1" hidden="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307" cm="1">
        <f t="array" ref="Q12">SUM(_xlfn._xlws.FILTER(#REF!,#REF!=SP2D!AN12,0))</f>
        <v>64900000</v>
      </c>
      <c r="R12" s="278">
        <v>64900000</v>
      </c>
      <c r="S12" s="292">
        <f>SUM('PER BULAN'!H34:J34)</f>
        <v>0</v>
      </c>
      <c r="T12" s="292">
        <f>SUM('PER BULAN'!K34:M34)</f>
        <v>0</v>
      </c>
      <c r="U12" s="292">
        <f>SUM('PER BULAN'!N34:P34)</f>
        <v>4332500</v>
      </c>
      <c r="V12" s="292">
        <f>SUM('PER BULAN'!Q34:S34)</f>
        <v>0</v>
      </c>
      <c r="W12" s="292">
        <f>SUM('PER BULAN'!T34:V34)</f>
        <v>1862500</v>
      </c>
      <c r="X12" s="292">
        <f>SUM('PER BULAN'!W34:Y34)</f>
        <v>0</v>
      </c>
      <c r="Y12" s="292">
        <f>SUM('PER BULAN'!Z34:AB34)</f>
        <v>0</v>
      </c>
      <c r="Z12" s="292">
        <f>SUM('PER BULAN'!AC34:AE34)</f>
        <v>0</v>
      </c>
      <c r="AA12" s="292">
        <f>SUM('PER BULAN'!AF34:AH34)</f>
        <v>0</v>
      </c>
      <c r="AB12" s="292">
        <f>SUM('PER BULAN'!AI34:AK34)</f>
        <v>0</v>
      </c>
      <c r="AC12" s="292">
        <f>SUM('PER BULAN'!AL34:AN34)</f>
        <v>0</v>
      </c>
      <c r="AD12" s="292">
        <f>SUM('PER BULAN'!AO34:AQ34)</f>
        <v>0</v>
      </c>
      <c r="AE12" s="277" t="s">
        <v>530</v>
      </c>
      <c r="AF12" s="277" t="s">
        <v>535</v>
      </c>
      <c r="AG12" s="277" t="s">
        <v>536</v>
      </c>
      <c r="AH12" s="277" t="s">
        <v>4699</v>
      </c>
      <c r="AI12" s="277" t="s">
        <v>4700</v>
      </c>
      <c r="AJ12" s="277">
        <f t="shared" si="0"/>
        <v>6195000</v>
      </c>
      <c r="AK12" s="291">
        <f t="shared" si="1"/>
        <v>9.5454545454545467</v>
      </c>
      <c r="AL12" s="277">
        <f t="shared" si="2"/>
        <v>58705000</v>
      </c>
      <c r="AM12" s="291">
        <f t="shared" si="3"/>
        <v>90.454545454545453</v>
      </c>
      <c r="AN12" s="277" t="str">
        <f t="shared" si="4"/>
        <v>DL.2376.AFA.001.053.A.521211</v>
      </c>
      <c r="AO12" s="277" t="str">
        <f>IF(ISNUMBER(SEARCH("COVID",Table7[[#This Row],[Akun]])),"COVID","Non COVID")</f>
        <v>Non COVID</v>
      </c>
      <c r="AP1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 s="292">
        <f>SUM('PER BULAN'!AY34)</f>
        <v>0</v>
      </c>
      <c r="AS12" s="292">
        <f>SUM('PER BULAN'!AZ34)</f>
        <v>2871000</v>
      </c>
      <c r="AT12" s="292">
        <f>SUM('PER BULAN'!BA34)</f>
        <v>1461500</v>
      </c>
      <c r="AU12" s="292">
        <f>SUM('PER BULAN'!BB34)</f>
        <v>0</v>
      </c>
      <c r="AV12" s="292">
        <f>SUM('PER BULAN'!BC34)</f>
        <v>0</v>
      </c>
      <c r="AW12" s="292">
        <f>SUM('PER BULAN'!BD34)</f>
        <v>440000</v>
      </c>
      <c r="AX12" s="292">
        <f>SUM('PER BULAN'!BE34)</f>
        <v>1422500</v>
      </c>
      <c r="AY12" s="292">
        <f>SUM('PER BULAN'!BF34)</f>
        <v>0</v>
      </c>
    </row>
    <row r="13" spans="1:51" s="278" customFormat="1" hidden="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307" cm="1">
        <f t="array" ref="Q13">SUM(_xlfn._xlws.FILTER(#REF!,#REF!=SP2D!AN13,0))</f>
        <v>6000000</v>
      </c>
      <c r="R13" s="278">
        <v>6000000</v>
      </c>
      <c r="S13" s="292">
        <f>SUM('PER BULAN'!H35:J35)</f>
        <v>0</v>
      </c>
      <c r="T13" s="292">
        <f>SUM('PER BULAN'!K35:M35)</f>
        <v>0</v>
      </c>
      <c r="U13" s="292">
        <f>SUM('PER BULAN'!N35:P35)</f>
        <v>631750</v>
      </c>
      <c r="V13" s="292">
        <f>SUM('PER BULAN'!Q35:S35)</f>
        <v>0</v>
      </c>
      <c r="W13" s="292">
        <f>SUM('PER BULAN'!T35:V35)</f>
        <v>331250</v>
      </c>
      <c r="X13" s="292">
        <f>SUM('PER BULAN'!W35:Y35)</f>
        <v>0</v>
      </c>
      <c r="Y13" s="292">
        <f>SUM('PER BULAN'!Z35:AB35)</f>
        <v>0</v>
      </c>
      <c r="Z13" s="292">
        <f>SUM('PER BULAN'!AC35:AE35)</f>
        <v>0</v>
      </c>
      <c r="AA13" s="292">
        <f>SUM('PER BULAN'!AF35:AH35)</f>
        <v>0</v>
      </c>
      <c r="AB13" s="292">
        <f>SUM('PER BULAN'!AI35:AK35)</f>
        <v>0</v>
      </c>
      <c r="AC13" s="292">
        <f>SUM('PER BULAN'!AL35:AN35)</f>
        <v>0</v>
      </c>
      <c r="AD13" s="292">
        <f>SUM('PER BULAN'!AO35:AQ35)</f>
        <v>0</v>
      </c>
      <c r="AE13" s="277" t="s">
        <v>530</v>
      </c>
      <c r="AF13" s="277" t="s">
        <v>535</v>
      </c>
      <c r="AG13" s="277" t="s">
        <v>536</v>
      </c>
      <c r="AH13" s="277" t="s">
        <v>4699</v>
      </c>
      <c r="AI13" s="277" t="s">
        <v>4700</v>
      </c>
      <c r="AJ13" s="277">
        <f t="shared" si="0"/>
        <v>963000</v>
      </c>
      <c r="AK13" s="291">
        <f t="shared" si="1"/>
        <v>16.05</v>
      </c>
      <c r="AL13" s="277">
        <f t="shared" si="2"/>
        <v>5037000</v>
      </c>
      <c r="AM13" s="291">
        <f t="shared" si="3"/>
        <v>83.95</v>
      </c>
      <c r="AN13" s="277" t="str">
        <f t="shared" si="4"/>
        <v>DL.2376.AFA.001.053.A.521219</v>
      </c>
      <c r="AO13" s="277" t="str">
        <f>IF(ISNUMBER(SEARCH("COVID",Table7[[#This Row],[Akun]])),"COVID","Non COVID")</f>
        <v>Non COVID</v>
      </c>
      <c r="AP1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 s="292">
        <f>SUM('PER BULAN'!AY35)</f>
        <v>0</v>
      </c>
      <c r="AS13" s="292">
        <f>SUM('PER BULAN'!AZ35)</f>
        <v>300450</v>
      </c>
      <c r="AT13" s="292">
        <f>SUM('PER BULAN'!BA35)</f>
        <v>331300</v>
      </c>
      <c r="AU13" s="292">
        <f>SUM('PER BULAN'!BB35)</f>
        <v>0</v>
      </c>
      <c r="AV13" s="292">
        <f>SUM('PER BULAN'!BC35)</f>
        <v>0</v>
      </c>
      <c r="AW13" s="292">
        <f>SUM('PER BULAN'!BD35)</f>
        <v>331250</v>
      </c>
      <c r="AX13" s="292">
        <f>SUM('PER BULAN'!BE35)</f>
        <v>0</v>
      </c>
      <c r="AY13" s="292">
        <f>SUM('PER BULAN'!BF35)</f>
        <v>0</v>
      </c>
    </row>
    <row r="14" spans="1:51" s="278" customFormat="1" hidden="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307" cm="1">
        <f t="array" ref="Q14">SUM(_xlfn._xlws.FILTER(#REF!,#REF!=SP2D!AN14,0))</f>
        <v>30000000</v>
      </c>
      <c r="R14" s="278">
        <v>30000000</v>
      </c>
      <c r="S14" s="292">
        <f>SUM('PER BULAN'!H36:J36)</f>
        <v>0</v>
      </c>
      <c r="T14" s="292">
        <f>SUM('PER BULAN'!K36:M36)</f>
        <v>0</v>
      </c>
      <c r="U14" s="292">
        <f>SUM('PER BULAN'!N36:P36)</f>
        <v>7146000</v>
      </c>
      <c r="V14" s="292">
        <f>SUM('PER BULAN'!Q36:S36)</f>
        <v>0</v>
      </c>
      <c r="W14" s="292">
        <f>SUM('PER BULAN'!T36:V36)</f>
        <v>2391000</v>
      </c>
      <c r="X14" s="292">
        <f>SUM('PER BULAN'!W36:Y36)</f>
        <v>0</v>
      </c>
      <c r="Y14" s="292">
        <f>SUM('PER BULAN'!Z36:AB36)</f>
        <v>0</v>
      </c>
      <c r="Z14" s="292">
        <f>SUM('PER BULAN'!AC36:AE36)</f>
        <v>0</v>
      </c>
      <c r="AA14" s="292">
        <f>SUM('PER BULAN'!AF36:AH36)</f>
        <v>0</v>
      </c>
      <c r="AB14" s="292">
        <f>SUM('PER BULAN'!AI36:AK36)</f>
        <v>0</v>
      </c>
      <c r="AC14" s="292">
        <f>SUM('PER BULAN'!AL36:AN36)</f>
        <v>0</v>
      </c>
      <c r="AD14" s="292">
        <f>SUM('PER BULAN'!AO36:AQ36)</f>
        <v>0</v>
      </c>
      <c r="AE14" s="277" t="s">
        <v>530</v>
      </c>
      <c r="AF14" s="277" t="s">
        <v>535</v>
      </c>
      <c r="AG14" s="277" t="s">
        <v>536</v>
      </c>
      <c r="AH14" s="277" t="s">
        <v>4699</v>
      </c>
      <c r="AI14" s="277" t="s">
        <v>4700</v>
      </c>
      <c r="AJ14" s="277">
        <f t="shared" si="0"/>
        <v>9537000</v>
      </c>
      <c r="AK14" s="291">
        <f t="shared" si="1"/>
        <v>31.790000000000003</v>
      </c>
      <c r="AL14" s="277">
        <f t="shared" si="2"/>
        <v>20463000</v>
      </c>
      <c r="AM14" s="291">
        <f t="shared" si="3"/>
        <v>68.210000000000008</v>
      </c>
      <c r="AN14" s="277" t="str">
        <f t="shared" si="4"/>
        <v>DL.2376.AFA.001.053.A.521811</v>
      </c>
      <c r="AO14" s="277" t="str">
        <f>IF(ISNUMBER(SEARCH("COVID",Table7[[#This Row],[Akun]])),"COVID","Non COVID")</f>
        <v>Non COVID</v>
      </c>
      <c r="AP1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 s="292">
        <f>SUM('PER BULAN'!AY36)</f>
        <v>0</v>
      </c>
      <c r="AS14" s="292">
        <f>SUM('PER BULAN'!AZ36)</f>
        <v>4846000</v>
      </c>
      <c r="AT14" s="292">
        <f>SUM('PER BULAN'!BA36)</f>
        <v>2300000</v>
      </c>
      <c r="AU14" s="292">
        <f>SUM('PER BULAN'!BB36)</f>
        <v>0</v>
      </c>
      <c r="AV14" s="292">
        <f>SUM('PER BULAN'!BC36)</f>
        <v>0</v>
      </c>
      <c r="AW14" s="292">
        <f>SUM('PER BULAN'!BD36)</f>
        <v>0</v>
      </c>
      <c r="AX14" s="292">
        <f>SUM('PER BULAN'!BE36)</f>
        <v>2391000</v>
      </c>
      <c r="AY14" s="292">
        <f>SUM('PER BULAN'!BF36)</f>
        <v>0</v>
      </c>
    </row>
    <row r="15" spans="1:51" s="278" customFormat="1" hidden="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307" cm="1">
        <f t="array" ref="Q15">SUM(_xlfn._xlws.FILTER(#REF!,#REF!=SP2D!AN15,0))</f>
        <v>25200000</v>
      </c>
      <c r="R15" s="278">
        <v>25200000</v>
      </c>
      <c r="S15" s="292">
        <f>SUM('PER BULAN'!H37:J37)</f>
        <v>0</v>
      </c>
      <c r="T15" s="292">
        <f>SUM('PER BULAN'!K37:M37)</f>
        <v>0</v>
      </c>
      <c r="U15" s="292">
        <f>SUM('PER BULAN'!N37:P37)</f>
        <v>1800000</v>
      </c>
      <c r="V15" s="292">
        <f>SUM('PER BULAN'!Q37:S37)</f>
        <v>0</v>
      </c>
      <c r="W15" s="292">
        <f>SUM('PER BULAN'!T37:V37)</f>
        <v>0</v>
      </c>
      <c r="X15" s="292">
        <f>SUM('PER BULAN'!W37:Y37)</f>
        <v>7200000</v>
      </c>
      <c r="Y15" s="292">
        <f>SUM('PER BULAN'!Z37:AB37)</f>
        <v>0</v>
      </c>
      <c r="Z15" s="292">
        <f>SUM('PER BULAN'!AC37:AE37)</f>
        <v>0</v>
      </c>
      <c r="AA15" s="292">
        <f>SUM('PER BULAN'!AF37:AH37)</f>
        <v>0</v>
      </c>
      <c r="AB15" s="292">
        <f>SUM('PER BULAN'!AI37:AK37)</f>
        <v>0</v>
      </c>
      <c r="AC15" s="292">
        <f>SUM('PER BULAN'!AL37:AN37)</f>
        <v>0</v>
      </c>
      <c r="AD15" s="292">
        <f>SUM('PER BULAN'!AO37:AQ37)</f>
        <v>0</v>
      </c>
      <c r="AE15" s="277" t="s">
        <v>530</v>
      </c>
      <c r="AF15" s="277" t="s">
        <v>535</v>
      </c>
      <c r="AG15" s="277" t="s">
        <v>536</v>
      </c>
      <c r="AH15" s="277" t="s">
        <v>4699</v>
      </c>
      <c r="AI15" s="277" t="s">
        <v>4700</v>
      </c>
      <c r="AJ15" s="277">
        <f t="shared" si="0"/>
        <v>9000000</v>
      </c>
      <c r="AK15" s="291">
        <f t="shared" si="1"/>
        <v>35.714285714285715</v>
      </c>
      <c r="AL15" s="277">
        <f t="shared" si="2"/>
        <v>16200000</v>
      </c>
      <c r="AM15" s="291">
        <f t="shared" si="3"/>
        <v>64.285714285714292</v>
      </c>
      <c r="AN15" s="277" t="str">
        <f t="shared" si="4"/>
        <v>DL.2376.AFA.001.053.A.522151</v>
      </c>
      <c r="AO15" s="277" t="str">
        <f>IF(ISNUMBER(SEARCH("COVID",Table7[[#This Row],[Akun]])),"COVID","Non COVID")</f>
        <v>Non COVID</v>
      </c>
      <c r="AP1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5" s="292">
        <f>SUM('PER BULAN'!AY37)</f>
        <v>0</v>
      </c>
      <c r="AS15" s="292">
        <f>SUM('PER BULAN'!AZ37)</f>
        <v>1800000</v>
      </c>
      <c r="AT15" s="292">
        <f>SUM('PER BULAN'!BA37)</f>
        <v>0</v>
      </c>
      <c r="AU15" s="292">
        <f>SUM('PER BULAN'!BB37)</f>
        <v>0</v>
      </c>
      <c r="AV15" s="292">
        <f>SUM('PER BULAN'!BC37)</f>
        <v>0</v>
      </c>
      <c r="AW15" s="292">
        <f>SUM('PER BULAN'!BD37)</f>
        <v>0</v>
      </c>
      <c r="AX15" s="292">
        <f>SUM('PER BULAN'!BE37)</f>
        <v>0</v>
      </c>
      <c r="AY15" s="292">
        <f>SUM('PER BULAN'!BF37)</f>
        <v>0</v>
      </c>
    </row>
    <row r="16" spans="1:51"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307" cm="1">
        <f t="array" ref="Q16">SUM(_xlfn._xlws.FILTER(#REF!,#REF!=SP2D!AN16,0))</f>
        <v>6000000</v>
      </c>
      <c r="R16" s="278">
        <v>6000000</v>
      </c>
      <c r="S16" s="292">
        <f>SUM('PER BULAN'!H38:J38)</f>
        <v>0</v>
      </c>
      <c r="T16" s="292">
        <f>SUM('PER BULAN'!K38:M38)</f>
        <v>0</v>
      </c>
      <c r="U16" s="292">
        <f>SUM('PER BULAN'!N38:P38)</f>
        <v>0</v>
      </c>
      <c r="V16" s="292">
        <f>SUM('PER BULAN'!Q38:S38)</f>
        <v>0</v>
      </c>
      <c r="W16" s="292">
        <f>SUM('PER BULAN'!T38:V38)</f>
        <v>0</v>
      </c>
      <c r="X16" s="292">
        <f>SUM('PER BULAN'!W38:Y38)</f>
        <v>0</v>
      </c>
      <c r="Y16" s="292">
        <f>SUM('PER BULAN'!Z38:AB38)</f>
        <v>0</v>
      </c>
      <c r="Z16" s="292">
        <f>SUM('PER BULAN'!AC38:AE38)</f>
        <v>0</v>
      </c>
      <c r="AA16" s="292">
        <f>SUM('PER BULAN'!AF38:AH38)</f>
        <v>0</v>
      </c>
      <c r="AB16" s="292">
        <f>SUM('PER BULAN'!AI38:AK38)</f>
        <v>0</v>
      </c>
      <c r="AC16" s="292">
        <f>SUM('PER BULAN'!AL38:AN38)</f>
        <v>0</v>
      </c>
      <c r="AD16" s="292">
        <f>SUM('PER BULAN'!AO38:AQ38)</f>
        <v>0</v>
      </c>
      <c r="AE16" s="277" t="s">
        <v>530</v>
      </c>
      <c r="AF16" s="277" t="s">
        <v>535</v>
      </c>
      <c r="AG16" s="277" t="s">
        <v>536</v>
      </c>
      <c r="AH16" s="277" t="s">
        <v>4699</v>
      </c>
      <c r="AI16" s="277" t="s">
        <v>4700</v>
      </c>
      <c r="AJ16" s="277">
        <f t="shared" si="0"/>
        <v>0</v>
      </c>
      <c r="AK16" s="291">
        <f t="shared" si="1"/>
        <v>0</v>
      </c>
      <c r="AL16" s="277">
        <f t="shared" si="2"/>
        <v>6000000</v>
      </c>
      <c r="AM16" s="291">
        <f t="shared" si="3"/>
        <v>100</v>
      </c>
      <c r="AN16" s="277" t="str">
        <f t="shared" si="4"/>
        <v>DL.2376.AFA.001.053.A.522192</v>
      </c>
      <c r="AO16" s="277" t="str">
        <f>IF(ISNUMBER(SEARCH("COVID",Table7[[#This Row],[Akun]])),"COVID","Non COVID")</f>
        <v>COVID</v>
      </c>
      <c r="AP1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6" s="292">
        <f>SUM('PER BULAN'!AY38)</f>
        <v>0</v>
      </c>
      <c r="AS16" s="292">
        <f>SUM('PER BULAN'!AZ38)</f>
        <v>0</v>
      </c>
      <c r="AT16" s="292">
        <f>SUM('PER BULAN'!BA38)</f>
        <v>0</v>
      </c>
      <c r="AU16" s="292">
        <f>SUM('PER BULAN'!BB38)</f>
        <v>0</v>
      </c>
      <c r="AV16" s="292">
        <f>SUM('PER BULAN'!BC38)</f>
        <v>0</v>
      </c>
      <c r="AW16" s="292">
        <f>SUM('PER BULAN'!BD38)</f>
        <v>0</v>
      </c>
      <c r="AX16" s="292">
        <f>SUM('PER BULAN'!BE38)</f>
        <v>0</v>
      </c>
      <c r="AY16" s="292">
        <f>SUM('PER BULAN'!BF38)</f>
        <v>0</v>
      </c>
    </row>
    <row r="17" spans="1:51" s="278" customFormat="1" hidden="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307" cm="1">
        <f t="array" ref="Q17">SUM(_xlfn._xlws.FILTER(#REF!,#REF!=SP2D!AN17,0))</f>
        <v>253324000</v>
      </c>
      <c r="R17" s="278">
        <v>253324000</v>
      </c>
      <c r="S17" s="292">
        <f>SUM('PER BULAN'!H39:J39)</f>
        <v>0</v>
      </c>
      <c r="T17" s="292">
        <f>SUM('PER BULAN'!K39:M39)</f>
        <v>0</v>
      </c>
      <c r="U17" s="292">
        <f>SUM('PER BULAN'!N39:P39)</f>
        <v>10610000</v>
      </c>
      <c r="V17" s="292">
        <f>SUM('PER BULAN'!Q39:S39)</f>
        <v>6180000</v>
      </c>
      <c r="W17" s="292">
        <f>SUM('PER BULAN'!T39:V39)</f>
        <v>930000</v>
      </c>
      <c r="X17" s="292">
        <f>SUM('PER BULAN'!W39:Y39)</f>
        <v>15508650</v>
      </c>
      <c r="Y17" s="292">
        <f>SUM('PER BULAN'!Z39:AB39)</f>
        <v>0</v>
      </c>
      <c r="Z17" s="292">
        <f>SUM('PER BULAN'!AC39:AE39)</f>
        <v>0</v>
      </c>
      <c r="AA17" s="292">
        <f>SUM('PER BULAN'!AF39:AH39)</f>
        <v>0</v>
      </c>
      <c r="AB17" s="292">
        <f>SUM('PER BULAN'!AI39:AK39)</f>
        <v>0</v>
      </c>
      <c r="AC17" s="292">
        <f>SUM('PER BULAN'!AL39:AN39)</f>
        <v>0</v>
      </c>
      <c r="AD17" s="292">
        <f>SUM('PER BULAN'!AO39:AQ39)</f>
        <v>0</v>
      </c>
      <c r="AE17" s="277" t="s">
        <v>530</v>
      </c>
      <c r="AF17" s="277" t="s">
        <v>535</v>
      </c>
      <c r="AG17" s="277" t="s">
        <v>536</v>
      </c>
      <c r="AH17" s="277" t="s">
        <v>4699</v>
      </c>
      <c r="AI17" s="277" t="s">
        <v>4700</v>
      </c>
      <c r="AJ17" s="277">
        <f t="shared" si="0"/>
        <v>33228650</v>
      </c>
      <c r="AK17" s="291">
        <f t="shared" si="1"/>
        <v>13.117055628365257</v>
      </c>
      <c r="AL17" s="277">
        <f t="shared" si="2"/>
        <v>220095350</v>
      </c>
      <c r="AM17" s="291">
        <f t="shared" si="3"/>
        <v>86.882944371634736</v>
      </c>
      <c r="AN17" s="277" t="str">
        <f t="shared" si="4"/>
        <v>DL.2376.AFA.001.053.A.524111</v>
      </c>
      <c r="AO17" s="277" t="str">
        <f>IF(ISNUMBER(SEARCH("COVID",Table7[[#This Row],[Akun]])),"COVID","Non COVID")</f>
        <v>Non COVID</v>
      </c>
      <c r="AP1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7" s="292">
        <f>SUM('PER BULAN'!AY39)</f>
        <v>0</v>
      </c>
      <c r="AS17" s="292">
        <f>SUM('PER BULAN'!AZ39)</f>
        <v>7130000</v>
      </c>
      <c r="AT17" s="292">
        <f>SUM('PER BULAN'!BA39)</f>
        <v>3480000</v>
      </c>
      <c r="AU17" s="292">
        <f>SUM('PER BULAN'!BB39)</f>
        <v>0</v>
      </c>
      <c r="AV17" s="292">
        <f>SUM('PER BULAN'!BC39)</f>
        <v>0</v>
      </c>
      <c r="AW17" s="292">
        <f>SUM('PER BULAN'!BD39)</f>
        <v>0</v>
      </c>
      <c r="AX17" s="292">
        <f>SUM('PER BULAN'!BE39)</f>
        <v>0</v>
      </c>
      <c r="AY17" s="292">
        <f>SUM('PER BULAN'!BF39)</f>
        <v>0</v>
      </c>
    </row>
    <row r="18" spans="1:51" s="278" customFormat="1" hidden="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307" cm="1">
        <f t="array" ref="Q18">SUM(_xlfn._xlws.FILTER(#REF!,#REF!=SP2D!AN18,0))</f>
        <v>1500000</v>
      </c>
      <c r="R18" s="278">
        <v>1500000</v>
      </c>
      <c r="S18" s="292">
        <f>SUM('PER BULAN'!H40:J40)</f>
        <v>0</v>
      </c>
      <c r="T18" s="292">
        <f>SUM('PER BULAN'!K40:M40)</f>
        <v>0</v>
      </c>
      <c r="U18" s="292">
        <f>SUM('PER BULAN'!N40:P40)</f>
        <v>0</v>
      </c>
      <c r="V18" s="292">
        <f>SUM('PER BULAN'!Q40:S40)</f>
        <v>0</v>
      </c>
      <c r="W18" s="292">
        <f>SUM('PER BULAN'!T40:V40)</f>
        <v>0</v>
      </c>
      <c r="X18" s="292">
        <f>SUM('PER BULAN'!W40:Y40)</f>
        <v>0</v>
      </c>
      <c r="Y18" s="292">
        <f>SUM('PER BULAN'!Z40:AB40)</f>
        <v>0</v>
      </c>
      <c r="Z18" s="292">
        <f>SUM('PER BULAN'!AC40:AE40)</f>
        <v>0</v>
      </c>
      <c r="AA18" s="292">
        <f>SUM('PER BULAN'!AF40:AH40)</f>
        <v>0</v>
      </c>
      <c r="AB18" s="292">
        <f>SUM('PER BULAN'!AI40:AK40)</f>
        <v>0</v>
      </c>
      <c r="AC18" s="292">
        <f>SUM('PER BULAN'!AL40:AN40)</f>
        <v>0</v>
      </c>
      <c r="AD18" s="292">
        <f>SUM('PER BULAN'!AO40:AQ40)</f>
        <v>0</v>
      </c>
      <c r="AE18" s="277" t="s">
        <v>530</v>
      </c>
      <c r="AF18" s="277" t="s">
        <v>535</v>
      </c>
      <c r="AG18" s="277" t="s">
        <v>536</v>
      </c>
      <c r="AH18" s="277" t="s">
        <v>4699</v>
      </c>
      <c r="AI18" s="277" t="s">
        <v>4700</v>
      </c>
      <c r="AJ18" s="277">
        <f t="shared" si="0"/>
        <v>0</v>
      </c>
      <c r="AK18" s="291">
        <f t="shared" si="1"/>
        <v>0</v>
      </c>
      <c r="AL18" s="277">
        <f t="shared" si="2"/>
        <v>1500000</v>
      </c>
      <c r="AM18" s="291">
        <f t="shared" si="3"/>
        <v>100</v>
      </c>
      <c r="AN18" s="277" t="str">
        <f t="shared" si="4"/>
        <v>DL.2376.AFA.001.053.A.524113</v>
      </c>
      <c r="AO18" s="277" t="str">
        <f>IF(ISNUMBER(SEARCH("COVID",Table7[[#This Row],[Akun]])),"COVID","Non COVID")</f>
        <v>Non COVID</v>
      </c>
      <c r="AP1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1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8" s="292">
        <f>SUM('PER BULAN'!AY40)</f>
        <v>0</v>
      </c>
      <c r="AS18" s="292">
        <f>SUM('PER BULAN'!AZ40)</f>
        <v>0</v>
      </c>
      <c r="AT18" s="292">
        <f>SUM('PER BULAN'!BA40)</f>
        <v>0</v>
      </c>
      <c r="AU18" s="292">
        <f>SUM('PER BULAN'!BB40)</f>
        <v>0</v>
      </c>
      <c r="AV18" s="292">
        <f>SUM('PER BULAN'!BC40)</f>
        <v>0</v>
      </c>
      <c r="AW18" s="292">
        <f>SUM('PER BULAN'!BD40)</f>
        <v>0</v>
      </c>
      <c r="AX18" s="292">
        <f>SUM('PER BULAN'!BE40)</f>
        <v>0</v>
      </c>
      <c r="AY18" s="292">
        <f>SUM('PER BULAN'!BF40)</f>
        <v>0</v>
      </c>
    </row>
    <row r="19" spans="1:51" s="278" customFormat="1" hidden="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307" cm="1">
        <f t="array" ref="Q19">SUM(_xlfn._xlws.FILTER(#REF!,#REF!=SP2D!AN19,0))</f>
        <v>71456000</v>
      </c>
      <c r="R19" s="278">
        <v>71456000</v>
      </c>
      <c r="S19" s="292">
        <f>SUM('PER BULAN'!H42:J42)</f>
        <v>0</v>
      </c>
      <c r="T19" s="292">
        <f>SUM('PER BULAN'!K42:M42)</f>
        <v>0</v>
      </c>
      <c r="U19" s="292">
        <f>SUM('PER BULAN'!N42:P42)</f>
        <v>0</v>
      </c>
      <c r="V19" s="292">
        <f>SUM('PER BULAN'!Q42:S42)</f>
        <v>0</v>
      </c>
      <c r="W19" s="292">
        <f>SUM('PER BULAN'!T42:V42)</f>
        <v>10438550</v>
      </c>
      <c r="X19" s="292">
        <f>SUM('PER BULAN'!W42:Y42)</f>
        <v>0</v>
      </c>
      <c r="Y19" s="292">
        <f>SUM('PER BULAN'!Z42:AB42)</f>
        <v>0</v>
      </c>
      <c r="Z19" s="292">
        <f>SUM('PER BULAN'!AC42:AE42)</f>
        <v>0</v>
      </c>
      <c r="AA19" s="292">
        <f>SUM('PER BULAN'!AF42:AH42)</f>
        <v>0</v>
      </c>
      <c r="AB19" s="292">
        <f>SUM('PER BULAN'!AI42:AK42)</f>
        <v>0</v>
      </c>
      <c r="AC19" s="292">
        <f>SUM('PER BULAN'!AL42:AN42)</f>
        <v>0</v>
      </c>
      <c r="AD19" s="292">
        <f>SUM('PER BULAN'!AO42:AQ42)</f>
        <v>0</v>
      </c>
      <c r="AE19" s="277" t="s">
        <v>530</v>
      </c>
      <c r="AF19" s="277" t="s">
        <v>535</v>
      </c>
      <c r="AG19" s="277" t="s">
        <v>536</v>
      </c>
      <c r="AH19" s="277" t="s">
        <v>4699</v>
      </c>
      <c r="AI19" s="277" t="s">
        <v>4700</v>
      </c>
      <c r="AJ19" s="277">
        <f t="shared" si="0"/>
        <v>10438550</v>
      </c>
      <c r="AK19" s="291">
        <f t="shared" si="1"/>
        <v>14.60836038961039</v>
      </c>
      <c r="AL19" s="277">
        <f t="shared" si="2"/>
        <v>61017450</v>
      </c>
      <c r="AM19" s="291">
        <f t="shared" si="3"/>
        <v>85.391639610389618</v>
      </c>
      <c r="AN19" s="277" t="str">
        <f t="shared" si="4"/>
        <v>DL.2376.AFA.001.053.B.521211</v>
      </c>
      <c r="AO19" s="277" t="str">
        <f>IF(ISNUMBER(SEARCH("COVID",Table7[[#This Row],[Akun]])),"COVID","Non COVID")</f>
        <v>Non COVID</v>
      </c>
      <c r="AP1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9" s="292">
        <f>SUM('PER BULAN'!AY42)</f>
        <v>0</v>
      </c>
      <c r="AS19" s="292">
        <f>SUM('PER BULAN'!AZ42)</f>
        <v>0</v>
      </c>
      <c r="AT19" s="292">
        <f>SUM('PER BULAN'!BA42)</f>
        <v>0</v>
      </c>
      <c r="AU19" s="292">
        <f>SUM('PER BULAN'!BB42)</f>
        <v>0</v>
      </c>
      <c r="AV19" s="292">
        <f>SUM('PER BULAN'!BC42)</f>
        <v>0</v>
      </c>
      <c r="AW19" s="292">
        <f>SUM('PER BULAN'!BD42)</f>
        <v>0</v>
      </c>
      <c r="AX19" s="292">
        <f>SUM('PER BULAN'!BE42)</f>
        <v>10438550</v>
      </c>
      <c r="AY19" s="292">
        <f>SUM('PER BULAN'!BF42)</f>
        <v>0</v>
      </c>
    </row>
    <row r="20" spans="1:51" s="278" customFormat="1" hidden="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307" cm="1">
        <f t="array" ref="Q20">SUM(_xlfn._xlws.FILTER(#REF!,#REF!=SP2D!AN20,0))</f>
        <v>5000000</v>
      </c>
      <c r="R20" s="278">
        <v>5000000</v>
      </c>
      <c r="S20" s="292">
        <f>SUM('PER BULAN'!H43:J43)</f>
        <v>0</v>
      </c>
      <c r="T20" s="292">
        <f>SUM('PER BULAN'!K43:M43)</f>
        <v>0</v>
      </c>
      <c r="U20" s="292">
        <f>SUM('PER BULAN'!N43:P43)</f>
        <v>0</v>
      </c>
      <c r="V20" s="292">
        <f>SUM('PER BULAN'!Q43:S43)</f>
        <v>0</v>
      </c>
      <c r="W20" s="292">
        <f>SUM('PER BULAN'!T43:V43)</f>
        <v>4262850</v>
      </c>
      <c r="X20" s="292">
        <f>SUM('PER BULAN'!W43:Y43)</f>
        <v>0</v>
      </c>
      <c r="Y20" s="292">
        <f>SUM('PER BULAN'!Z43:AB43)</f>
        <v>0</v>
      </c>
      <c r="Z20" s="292">
        <f>SUM('PER BULAN'!AC43:AE43)</f>
        <v>0</v>
      </c>
      <c r="AA20" s="292">
        <f>SUM('PER BULAN'!AF43:AH43)</f>
        <v>0</v>
      </c>
      <c r="AB20" s="292">
        <f>SUM('PER BULAN'!AI43:AK43)</f>
        <v>0</v>
      </c>
      <c r="AC20" s="292">
        <f>SUM('PER BULAN'!AL43:AN43)</f>
        <v>0</v>
      </c>
      <c r="AD20" s="292">
        <f>SUM('PER BULAN'!AO43:AQ43)</f>
        <v>0</v>
      </c>
      <c r="AE20" s="277" t="s">
        <v>530</v>
      </c>
      <c r="AF20" s="277" t="s">
        <v>535</v>
      </c>
      <c r="AG20" s="277" t="s">
        <v>536</v>
      </c>
      <c r="AH20" s="277" t="s">
        <v>4699</v>
      </c>
      <c r="AI20" s="277" t="s">
        <v>4700</v>
      </c>
      <c r="AJ20" s="277">
        <f t="shared" si="0"/>
        <v>4262850</v>
      </c>
      <c r="AK20" s="291">
        <f t="shared" si="1"/>
        <v>85.257000000000005</v>
      </c>
      <c r="AL20" s="277">
        <f t="shared" si="2"/>
        <v>737150</v>
      </c>
      <c r="AM20" s="291">
        <f t="shared" si="3"/>
        <v>14.743</v>
      </c>
      <c r="AN20" s="277" t="str">
        <f t="shared" si="4"/>
        <v>DL.2376.AFA.001.053.B.521219</v>
      </c>
      <c r="AO20" s="277" t="str">
        <f>IF(ISNUMBER(SEARCH("COVID",Table7[[#This Row],[Akun]])),"COVID","Non COVID")</f>
        <v>Non COVID</v>
      </c>
      <c r="AP2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2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0" s="292">
        <f>SUM('PER BULAN'!AY43)</f>
        <v>0</v>
      </c>
      <c r="AS20" s="292">
        <f>SUM('PER BULAN'!AZ43)</f>
        <v>0</v>
      </c>
      <c r="AT20" s="292">
        <f>SUM('PER BULAN'!BA43)</f>
        <v>0</v>
      </c>
      <c r="AU20" s="292">
        <f>SUM('PER BULAN'!BB43)</f>
        <v>0</v>
      </c>
      <c r="AV20" s="292">
        <f>SUM('PER BULAN'!BC43)</f>
        <v>0</v>
      </c>
      <c r="AW20" s="292">
        <f>SUM('PER BULAN'!BD43)</f>
        <v>302850</v>
      </c>
      <c r="AX20" s="292">
        <f>SUM('PER BULAN'!BE43)</f>
        <v>3960000</v>
      </c>
      <c r="AY20" s="292">
        <f>SUM('PER BULAN'!BF43)</f>
        <v>0</v>
      </c>
    </row>
    <row r="21" spans="1:51" s="278" customFormat="1" hidden="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307" cm="1">
        <f t="array" ref="Q21">SUM(_xlfn._xlws.FILTER(#REF!,#REF!=SP2D!AN21,0))</f>
        <v>15000000</v>
      </c>
      <c r="R21" s="278">
        <v>15000000</v>
      </c>
      <c r="S21" s="292">
        <f>SUM('PER BULAN'!H44:J44)</f>
        <v>0</v>
      </c>
      <c r="T21" s="292">
        <f>SUM('PER BULAN'!K44:M44)</f>
        <v>0</v>
      </c>
      <c r="U21" s="292">
        <f>SUM('PER BULAN'!N44:P44)</f>
        <v>0</v>
      </c>
      <c r="V21" s="292">
        <f>SUM('PER BULAN'!Q44:S44)</f>
        <v>0</v>
      </c>
      <c r="W21" s="292">
        <f>SUM('PER BULAN'!T44:V44)</f>
        <v>2453500</v>
      </c>
      <c r="X21" s="292">
        <f>SUM('PER BULAN'!W44:Y44)</f>
        <v>0</v>
      </c>
      <c r="Y21" s="292">
        <f>SUM('PER BULAN'!Z44:AB44)</f>
        <v>0</v>
      </c>
      <c r="Z21" s="292">
        <f>SUM('PER BULAN'!AC44:AE44)</f>
        <v>0</v>
      </c>
      <c r="AA21" s="292">
        <f>SUM('PER BULAN'!AF44:AH44)</f>
        <v>0</v>
      </c>
      <c r="AB21" s="292">
        <f>SUM('PER BULAN'!AI44:AK44)</f>
        <v>0</v>
      </c>
      <c r="AC21" s="292">
        <f>SUM('PER BULAN'!AL44:AN44)</f>
        <v>0</v>
      </c>
      <c r="AD21" s="292">
        <f>SUM('PER BULAN'!AO44:AQ44)</f>
        <v>0</v>
      </c>
      <c r="AE21" s="277" t="s">
        <v>530</v>
      </c>
      <c r="AF21" s="277" t="s">
        <v>535</v>
      </c>
      <c r="AG21" s="277" t="s">
        <v>536</v>
      </c>
      <c r="AH21" s="277" t="s">
        <v>4699</v>
      </c>
      <c r="AI21" s="277" t="s">
        <v>4700</v>
      </c>
      <c r="AJ21" s="277">
        <f t="shared" si="0"/>
        <v>2453500</v>
      </c>
      <c r="AK21" s="291">
        <f t="shared" si="1"/>
        <v>16.356666666666666</v>
      </c>
      <c r="AL21" s="277">
        <f t="shared" si="2"/>
        <v>12546500</v>
      </c>
      <c r="AM21" s="291">
        <f t="shared" si="3"/>
        <v>83.643333333333331</v>
      </c>
      <c r="AN21" s="277" t="str">
        <f t="shared" si="4"/>
        <v>DL.2376.AFA.001.053.B.521811</v>
      </c>
      <c r="AO21" s="277" t="str">
        <f>IF(ISNUMBER(SEARCH("COVID",Table7[[#This Row],[Akun]])),"COVID","Non COVID")</f>
        <v>Non COVID</v>
      </c>
      <c r="AP2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2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1" s="292">
        <f>SUM('PER BULAN'!AY44)</f>
        <v>0</v>
      </c>
      <c r="AS21" s="292">
        <f>SUM('PER BULAN'!AZ44)</f>
        <v>0</v>
      </c>
      <c r="AT21" s="292">
        <f>SUM('PER BULAN'!BA44)</f>
        <v>0</v>
      </c>
      <c r="AU21" s="292">
        <f>SUM('PER BULAN'!BB44)</f>
        <v>0</v>
      </c>
      <c r="AV21" s="292">
        <f>SUM('PER BULAN'!BC44)</f>
        <v>0</v>
      </c>
      <c r="AW21" s="292">
        <f>SUM('PER BULAN'!BD44)</f>
        <v>0</v>
      </c>
      <c r="AX21" s="292">
        <f>SUM('PER BULAN'!BE44)</f>
        <v>2453500</v>
      </c>
      <c r="AY21" s="292">
        <f>SUM('PER BULAN'!BF44)</f>
        <v>0</v>
      </c>
    </row>
    <row r="22" spans="1:51" s="278" customFormat="1" hidden="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307" cm="1">
        <f t="array" ref="Q22">SUM(_xlfn._xlws.FILTER(#REF!,#REF!=SP2D!AN22,0))</f>
        <v>16200000</v>
      </c>
      <c r="R22" s="278">
        <v>16200000</v>
      </c>
      <c r="S22" s="292">
        <f>SUM('PER BULAN'!H45:J45)</f>
        <v>0</v>
      </c>
      <c r="T22" s="292">
        <f>SUM('PER BULAN'!K45:M45)</f>
        <v>0</v>
      </c>
      <c r="U22" s="292">
        <f>SUM('PER BULAN'!N45:P45)</f>
        <v>0</v>
      </c>
      <c r="V22" s="292">
        <f>SUM('PER BULAN'!Q45:S45)</f>
        <v>0</v>
      </c>
      <c r="W22" s="292">
        <f>SUM('PER BULAN'!T45:V45)</f>
        <v>6300000</v>
      </c>
      <c r="X22" s="292">
        <f>SUM('PER BULAN'!W45:Y45)</f>
        <v>0</v>
      </c>
      <c r="Y22" s="292">
        <f>SUM('PER BULAN'!Z45:AB45)</f>
        <v>0</v>
      </c>
      <c r="Z22" s="292">
        <f>SUM('PER BULAN'!AC45:AE45)</f>
        <v>0</v>
      </c>
      <c r="AA22" s="292">
        <f>SUM('PER BULAN'!AF45:AH45)</f>
        <v>0</v>
      </c>
      <c r="AB22" s="292">
        <f>SUM('PER BULAN'!AI45:AK45)</f>
        <v>0</v>
      </c>
      <c r="AC22" s="292">
        <f>SUM('PER BULAN'!AL45:AN45)</f>
        <v>0</v>
      </c>
      <c r="AD22" s="292">
        <f>SUM('PER BULAN'!AO45:AQ45)</f>
        <v>0</v>
      </c>
      <c r="AE22" s="277" t="s">
        <v>530</v>
      </c>
      <c r="AF22" s="277" t="s">
        <v>535</v>
      </c>
      <c r="AG22" s="277" t="s">
        <v>536</v>
      </c>
      <c r="AH22" s="277" t="s">
        <v>4699</v>
      </c>
      <c r="AI22" s="277" t="s">
        <v>4700</v>
      </c>
      <c r="AJ22" s="277">
        <f t="shared" si="0"/>
        <v>6300000</v>
      </c>
      <c r="AK22" s="291">
        <f t="shared" si="1"/>
        <v>38.888888888888893</v>
      </c>
      <c r="AL22" s="277">
        <f t="shared" si="2"/>
        <v>9900000</v>
      </c>
      <c r="AM22" s="291">
        <f t="shared" si="3"/>
        <v>61.111111111111114</v>
      </c>
      <c r="AN22" s="277" t="str">
        <f t="shared" si="4"/>
        <v>DL.2376.AFA.001.053.B.522151</v>
      </c>
      <c r="AO22" s="277" t="str">
        <f>IF(ISNUMBER(SEARCH("COVID",Table7[[#This Row],[Akun]])),"COVID","Non COVID")</f>
        <v>Non COVID</v>
      </c>
      <c r="AP2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2" s="292">
        <f>SUM('PER BULAN'!AY45)</f>
        <v>0</v>
      </c>
      <c r="AS22" s="292">
        <f>SUM('PER BULAN'!AZ45)</f>
        <v>0</v>
      </c>
      <c r="AT22" s="292">
        <f>SUM('PER BULAN'!BA45)</f>
        <v>0</v>
      </c>
      <c r="AU22" s="292">
        <f>SUM('PER BULAN'!BB45)</f>
        <v>0</v>
      </c>
      <c r="AV22" s="292">
        <f>SUM('PER BULAN'!BC45)</f>
        <v>0</v>
      </c>
      <c r="AW22" s="292">
        <f>SUM('PER BULAN'!BD45)</f>
        <v>0</v>
      </c>
      <c r="AX22" s="292">
        <f>SUM('PER BULAN'!BE45)</f>
        <v>6300000</v>
      </c>
      <c r="AY22" s="292">
        <f>SUM('PER BULAN'!BF45)</f>
        <v>0</v>
      </c>
    </row>
    <row r="23" spans="1:51"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307" cm="1">
        <f t="array" ref="Q23">SUM(_xlfn._xlws.FILTER(#REF!,#REF!=SP2D!AN23,0))</f>
        <v>2000000</v>
      </c>
      <c r="R23" s="278">
        <v>2000000</v>
      </c>
      <c r="S23" s="292">
        <f>SUM('PER BULAN'!H46:J46)</f>
        <v>0</v>
      </c>
      <c r="T23" s="292">
        <f>SUM('PER BULAN'!K46:M46)</f>
        <v>0</v>
      </c>
      <c r="U23" s="292">
        <f>SUM('PER BULAN'!N46:P46)</f>
        <v>365000</v>
      </c>
      <c r="V23" s="292">
        <f>SUM('PER BULAN'!Q46:S46)</f>
        <v>0</v>
      </c>
      <c r="W23" s="292">
        <f>SUM('PER BULAN'!T46:V46)</f>
        <v>0</v>
      </c>
      <c r="X23" s="292">
        <f>SUM('PER BULAN'!W46:Y46)</f>
        <v>0</v>
      </c>
      <c r="Y23" s="292">
        <f>SUM('PER BULAN'!Z46:AB46)</f>
        <v>0</v>
      </c>
      <c r="Z23" s="292">
        <f>SUM('PER BULAN'!AC46:AE46)</f>
        <v>0</v>
      </c>
      <c r="AA23" s="292">
        <f>SUM('PER BULAN'!AF46:AH46)</f>
        <v>0</v>
      </c>
      <c r="AB23" s="292">
        <f>SUM('PER BULAN'!AI46:AK46)</f>
        <v>0</v>
      </c>
      <c r="AC23" s="292">
        <f>SUM('PER BULAN'!AL46:AN46)</f>
        <v>0</v>
      </c>
      <c r="AD23" s="292">
        <f>SUM('PER BULAN'!AO46:AQ46)</f>
        <v>0</v>
      </c>
      <c r="AE23" s="277" t="s">
        <v>530</v>
      </c>
      <c r="AF23" s="277" t="s">
        <v>535</v>
      </c>
      <c r="AG23" s="277" t="s">
        <v>536</v>
      </c>
      <c r="AH23" s="277" t="s">
        <v>4699</v>
      </c>
      <c r="AI23" s="277" t="s">
        <v>4700</v>
      </c>
      <c r="AJ23" s="277">
        <f t="shared" si="0"/>
        <v>365000</v>
      </c>
      <c r="AK23" s="291">
        <f t="shared" si="1"/>
        <v>18.25</v>
      </c>
      <c r="AL23" s="277">
        <f t="shared" si="2"/>
        <v>1635000</v>
      </c>
      <c r="AM23" s="291">
        <f t="shared" si="3"/>
        <v>81.75</v>
      </c>
      <c r="AN23" s="277" t="str">
        <f t="shared" si="4"/>
        <v>DL.2376.AFA.001.053.B.522192</v>
      </c>
      <c r="AO23" s="277" t="str">
        <f>IF(ISNUMBER(SEARCH("COVID",Table7[[#This Row],[Akun]])),"COVID","Non COVID")</f>
        <v>COVID</v>
      </c>
      <c r="AP2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3" s="292">
        <f>SUM('PER BULAN'!AY46)</f>
        <v>0</v>
      </c>
      <c r="AS23" s="292">
        <f>SUM('PER BULAN'!AZ46)</f>
        <v>365000</v>
      </c>
      <c r="AT23" s="292">
        <f>SUM('PER BULAN'!BA46)</f>
        <v>0</v>
      </c>
      <c r="AU23" s="292">
        <f>SUM('PER BULAN'!BB46)</f>
        <v>0</v>
      </c>
      <c r="AV23" s="292">
        <f>SUM('PER BULAN'!BC46)</f>
        <v>0</v>
      </c>
      <c r="AW23" s="292">
        <f>SUM('PER BULAN'!BD46)</f>
        <v>0</v>
      </c>
      <c r="AX23" s="292">
        <f>SUM('PER BULAN'!BE46)</f>
        <v>0</v>
      </c>
      <c r="AY23" s="292">
        <f>SUM('PER BULAN'!BF46)</f>
        <v>0</v>
      </c>
    </row>
    <row r="24" spans="1:51" s="278" customFormat="1" hidden="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307" cm="1">
        <f t="array" ref="Q24">SUM(_xlfn._xlws.FILTER(#REF!,#REF!=SP2D!AN24,0))</f>
        <v>138160000</v>
      </c>
      <c r="R24" s="278">
        <v>138160000</v>
      </c>
      <c r="S24" s="292">
        <f>SUM('PER BULAN'!H47:J47)</f>
        <v>0</v>
      </c>
      <c r="T24" s="292">
        <f>SUM('PER BULAN'!K47:M47)</f>
        <v>0</v>
      </c>
      <c r="U24" s="292">
        <f>SUM('PER BULAN'!N47:P47)</f>
        <v>18378000</v>
      </c>
      <c r="V24" s="292">
        <f>SUM('PER BULAN'!Q47:S47)</f>
        <v>0</v>
      </c>
      <c r="W24" s="292">
        <f>SUM('PER BULAN'!T47:V47)</f>
        <v>36948850</v>
      </c>
      <c r="X24" s="292">
        <f>SUM('PER BULAN'!W47:Y47)</f>
        <v>76109840</v>
      </c>
      <c r="Y24" s="292">
        <f>SUM('PER BULAN'!Z47:AB47)</f>
        <v>0</v>
      </c>
      <c r="Z24" s="292">
        <f>SUM('PER BULAN'!AC47:AE47)</f>
        <v>0</v>
      </c>
      <c r="AA24" s="292">
        <f>SUM('PER BULAN'!AF47:AH47)</f>
        <v>0</v>
      </c>
      <c r="AB24" s="292">
        <f>SUM('PER BULAN'!AI47:AK47)</f>
        <v>0</v>
      </c>
      <c r="AC24" s="292">
        <f>SUM('PER BULAN'!AL47:AN47)</f>
        <v>0</v>
      </c>
      <c r="AD24" s="292">
        <f>SUM('PER BULAN'!AO47:AQ47)</f>
        <v>0</v>
      </c>
      <c r="AE24" s="277" t="s">
        <v>530</v>
      </c>
      <c r="AF24" s="277" t="s">
        <v>535</v>
      </c>
      <c r="AG24" s="277" t="s">
        <v>536</v>
      </c>
      <c r="AH24" s="277" t="s">
        <v>4699</v>
      </c>
      <c r="AI24" s="277" t="s">
        <v>4700</v>
      </c>
      <c r="AJ24" s="277">
        <f t="shared" si="0"/>
        <v>131436690</v>
      </c>
      <c r="AK24" s="291">
        <f t="shared" si="1"/>
        <v>95.133678343949043</v>
      </c>
      <c r="AL24" s="277">
        <f t="shared" si="2"/>
        <v>6723310</v>
      </c>
      <c r="AM24" s="291">
        <f t="shared" si="3"/>
        <v>4.866321656050955</v>
      </c>
      <c r="AN24" s="277" t="str">
        <f t="shared" si="4"/>
        <v>DL.2376.AFA.001.053.B.524111</v>
      </c>
      <c r="AO24" s="277" t="str">
        <f>IF(ISNUMBER(SEARCH("COVID",Table7[[#This Row],[Akun]])),"COVID","Non COVID")</f>
        <v>Non COVID</v>
      </c>
      <c r="AP2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2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4" s="292">
        <f>SUM('PER BULAN'!AY47)</f>
        <v>0</v>
      </c>
      <c r="AS24" s="292">
        <f>SUM('PER BULAN'!AZ47)</f>
        <v>18378000</v>
      </c>
      <c r="AT24" s="292">
        <f>SUM('PER BULAN'!BA47)</f>
        <v>0</v>
      </c>
      <c r="AU24" s="292">
        <f>SUM('PER BULAN'!BB47)</f>
        <v>0</v>
      </c>
      <c r="AV24" s="292">
        <f>SUM('PER BULAN'!BC47)</f>
        <v>0</v>
      </c>
      <c r="AW24" s="292">
        <f>SUM('PER BULAN'!BD47)</f>
        <v>0</v>
      </c>
      <c r="AX24" s="292">
        <f>SUM('PER BULAN'!BE47)</f>
        <v>36948850</v>
      </c>
      <c r="AY24" s="292">
        <f>SUM('PER BULAN'!BF47)</f>
        <v>0</v>
      </c>
    </row>
    <row r="25" spans="1:51" s="278" customFormat="1" hidden="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4731</v>
      </c>
      <c r="O25" s="277">
        <v>521211</v>
      </c>
      <c r="P25" s="277" t="s">
        <v>4698</v>
      </c>
      <c r="Q25" s="307" cm="1">
        <f t="array" ref="Q25">SUM(_xlfn._xlws.FILTER(#REF!,#REF!=SP2D!AN25,0))</f>
        <v>20830000</v>
      </c>
      <c r="R25" s="278">
        <v>20830000</v>
      </c>
      <c r="S25" s="292">
        <f>SUM('PER BULAN'!H49:J49)</f>
        <v>0</v>
      </c>
      <c r="T25" s="292">
        <f>SUM('PER BULAN'!K49:M49)</f>
        <v>0</v>
      </c>
      <c r="U25" s="292">
        <f>SUM('PER BULAN'!N49:P49)</f>
        <v>0</v>
      </c>
      <c r="V25" s="292">
        <f>SUM('PER BULAN'!Q49:S49)</f>
        <v>0</v>
      </c>
      <c r="W25" s="292">
        <f>SUM('PER BULAN'!T49:V49)</f>
        <v>0</v>
      </c>
      <c r="X25" s="292">
        <f>SUM('PER BULAN'!W49:Y49)</f>
        <v>0</v>
      </c>
      <c r="Y25" s="292">
        <f>SUM('PER BULAN'!Z49:AB49)</f>
        <v>0</v>
      </c>
      <c r="Z25" s="292">
        <f>SUM('PER BULAN'!AC49:AE49)</f>
        <v>0</v>
      </c>
      <c r="AA25" s="292">
        <f>SUM('PER BULAN'!AF49:AH49)</f>
        <v>0</v>
      </c>
      <c r="AB25" s="292">
        <f>SUM('PER BULAN'!AI49:AK49)</f>
        <v>0</v>
      </c>
      <c r="AC25" s="292">
        <f>SUM('PER BULAN'!AL49:AN49)</f>
        <v>0</v>
      </c>
      <c r="AD25" s="292">
        <f>SUM('PER BULAN'!AO49:AQ49)</f>
        <v>0</v>
      </c>
      <c r="AE25" s="277" t="s">
        <v>530</v>
      </c>
      <c r="AF25" s="277" t="s">
        <v>535</v>
      </c>
      <c r="AG25" s="277" t="s">
        <v>536</v>
      </c>
      <c r="AH25" s="277" t="s">
        <v>4699</v>
      </c>
      <c r="AI25" s="277" t="s">
        <v>4700</v>
      </c>
      <c r="AJ25" s="277">
        <f t="shared" si="0"/>
        <v>0</v>
      </c>
      <c r="AK25" s="291">
        <f t="shared" si="1"/>
        <v>0</v>
      </c>
      <c r="AL25" s="277">
        <f t="shared" si="2"/>
        <v>20830000</v>
      </c>
      <c r="AM25" s="291">
        <f t="shared" si="3"/>
        <v>100</v>
      </c>
      <c r="AN25" s="277" t="str">
        <f t="shared" si="4"/>
        <v>DL.2376.AFA.001.053.C.521211</v>
      </c>
      <c r="AO25" s="277" t="str">
        <f>IF(ISNUMBER(SEARCH("COVID",Table7[[#This Row],[Akun]])),"COVID","Non COVID")</f>
        <v>Non COVID</v>
      </c>
      <c r="AP2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2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5" s="292">
        <f>SUM('PER BULAN'!AY49)</f>
        <v>0</v>
      </c>
      <c r="AS25" s="292">
        <f>SUM('PER BULAN'!AZ49)</f>
        <v>0</v>
      </c>
      <c r="AT25" s="292">
        <f>SUM('PER BULAN'!BA49)</f>
        <v>0</v>
      </c>
      <c r="AU25" s="292">
        <f>SUM('PER BULAN'!BB49)</f>
        <v>0</v>
      </c>
      <c r="AV25" s="292">
        <f>SUM('PER BULAN'!BC49)</f>
        <v>0</v>
      </c>
      <c r="AW25" s="292">
        <f>SUM('PER BULAN'!BD49)</f>
        <v>0</v>
      </c>
      <c r="AX25" s="292">
        <f>SUM('PER BULAN'!BE49)</f>
        <v>0</v>
      </c>
      <c r="AY25" s="292">
        <f>SUM('PER BULAN'!BF49)</f>
        <v>0</v>
      </c>
    </row>
    <row r="26" spans="1:51" s="278" customFormat="1" hidden="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4731</v>
      </c>
      <c r="O26" s="277">
        <v>521219</v>
      </c>
      <c r="P26" s="277" t="s">
        <v>4711</v>
      </c>
      <c r="Q26" s="307" cm="1">
        <f t="array" ref="Q26">SUM(_xlfn._xlws.FILTER(#REF!,#REF!=SP2D!AN26,0))</f>
        <v>500000</v>
      </c>
      <c r="R26" s="278">
        <v>500000</v>
      </c>
      <c r="S26" s="292">
        <f>SUM('PER BULAN'!H50:J50)</f>
        <v>0</v>
      </c>
      <c r="T26" s="292">
        <f>SUM('PER BULAN'!K50:M50)</f>
        <v>0</v>
      </c>
      <c r="U26" s="292">
        <f>SUM('PER BULAN'!N50:P50)</f>
        <v>0</v>
      </c>
      <c r="V26" s="292">
        <f>SUM('PER BULAN'!Q50:S50)</f>
        <v>0</v>
      </c>
      <c r="W26" s="292">
        <f>SUM('PER BULAN'!T50:V50)</f>
        <v>0</v>
      </c>
      <c r="X26" s="292">
        <f>SUM('PER BULAN'!W50:Y50)</f>
        <v>0</v>
      </c>
      <c r="Y26" s="292">
        <f>SUM('PER BULAN'!Z50:AB50)</f>
        <v>0</v>
      </c>
      <c r="Z26" s="292">
        <f>SUM('PER BULAN'!AC50:AE50)</f>
        <v>0</v>
      </c>
      <c r="AA26" s="292">
        <f>SUM('PER BULAN'!AF50:AH50)</f>
        <v>0</v>
      </c>
      <c r="AB26" s="292">
        <f>SUM('PER BULAN'!AI50:AK50)</f>
        <v>0</v>
      </c>
      <c r="AC26" s="292">
        <f>SUM('PER BULAN'!AL50:AN50)</f>
        <v>0</v>
      </c>
      <c r="AD26" s="292">
        <f>SUM('PER BULAN'!AO50:AQ50)</f>
        <v>0</v>
      </c>
      <c r="AE26" s="277" t="s">
        <v>530</v>
      </c>
      <c r="AF26" s="277" t="s">
        <v>535</v>
      </c>
      <c r="AG26" s="277" t="s">
        <v>536</v>
      </c>
      <c r="AH26" s="277" t="s">
        <v>4699</v>
      </c>
      <c r="AI26" s="277" t="s">
        <v>4700</v>
      </c>
      <c r="AJ26" s="277">
        <f t="shared" si="0"/>
        <v>0</v>
      </c>
      <c r="AK26" s="291">
        <f t="shared" si="1"/>
        <v>0</v>
      </c>
      <c r="AL26" s="277">
        <f t="shared" si="2"/>
        <v>500000</v>
      </c>
      <c r="AM26" s="291">
        <f t="shared" si="3"/>
        <v>100</v>
      </c>
      <c r="AN26" s="277" t="str">
        <f t="shared" si="4"/>
        <v>DL.2376.AFA.001.053.C.521219</v>
      </c>
      <c r="AO26" s="277" t="str">
        <f>IF(ISNUMBER(SEARCH("COVID",Table7[[#This Row],[Akun]])),"COVID","Non COVID")</f>
        <v>Non COVID</v>
      </c>
      <c r="AP2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2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6" s="292">
        <f>SUM('PER BULAN'!AY50)</f>
        <v>0</v>
      </c>
      <c r="AS26" s="292">
        <f>SUM('PER BULAN'!AZ50)</f>
        <v>0</v>
      </c>
      <c r="AT26" s="292">
        <f>SUM('PER BULAN'!BA50)</f>
        <v>0</v>
      </c>
      <c r="AU26" s="292">
        <f>SUM('PER BULAN'!BB50)</f>
        <v>0</v>
      </c>
      <c r="AV26" s="292">
        <f>SUM('PER BULAN'!BC50)</f>
        <v>0</v>
      </c>
      <c r="AW26" s="292">
        <f>SUM('PER BULAN'!BD50)</f>
        <v>0</v>
      </c>
      <c r="AX26" s="292">
        <f>SUM('PER BULAN'!BE50)</f>
        <v>0</v>
      </c>
      <c r="AY26" s="292">
        <f>SUM('PER BULAN'!BF50)</f>
        <v>0</v>
      </c>
    </row>
    <row r="27" spans="1:51" s="278" customFormat="1" hidden="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4731</v>
      </c>
      <c r="O27" s="277">
        <v>522151</v>
      </c>
      <c r="P27" s="277" t="s">
        <v>4701</v>
      </c>
      <c r="Q27" s="307" cm="1">
        <f t="array" ref="Q27">SUM(_xlfn._xlws.FILTER(#REF!,#REF!=SP2D!AN27,0))</f>
        <v>7200000</v>
      </c>
      <c r="R27" s="278">
        <v>7200000</v>
      </c>
      <c r="S27" s="292">
        <f>SUM('PER BULAN'!H51:J51)</f>
        <v>0</v>
      </c>
      <c r="T27" s="292">
        <f>SUM('PER BULAN'!K51:M51)</f>
        <v>0</v>
      </c>
      <c r="U27" s="292">
        <f>SUM('PER BULAN'!N51:P51)</f>
        <v>0</v>
      </c>
      <c r="V27" s="292">
        <f>SUM('PER BULAN'!Q51:S51)</f>
        <v>0</v>
      </c>
      <c r="W27" s="292">
        <f>SUM('PER BULAN'!T51:V51)</f>
        <v>0</v>
      </c>
      <c r="X27" s="292">
        <f>SUM('PER BULAN'!W51:Y51)</f>
        <v>0</v>
      </c>
      <c r="Y27" s="292">
        <f>SUM('PER BULAN'!Z51:AB51)</f>
        <v>0</v>
      </c>
      <c r="Z27" s="292">
        <f>SUM('PER BULAN'!AC51:AE51)</f>
        <v>0</v>
      </c>
      <c r="AA27" s="292">
        <f>SUM('PER BULAN'!AF51:AH51)</f>
        <v>0</v>
      </c>
      <c r="AB27" s="292">
        <f>SUM('PER BULAN'!AI51:AK51)</f>
        <v>0</v>
      </c>
      <c r="AC27" s="292">
        <f>SUM('PER BULAN'!AL51:AN51)</f>
        <v>0</v>
      </c>
      <c r="AD27" s="292">
        <f>SUM('PER BULAN'!AO51:AQ51)</f>
        <v>0</v>
      </c>
      <c r="AE27" s="277" t="s">
        <v>530</v>
      </c>
      <c r="AF27" s="277" t="s">
        <v>535</v>
      </c>
      <c r="AG27" s="277" t="s">
        <v>536</v>
      </c>
      <c r="AH27" s="277" t="s">
        <v>4699</v>
      </c>
      <c r="AI27" s="277" t="s">
        <v>4700</v>
      </c>
      <c r="AJ27" s="277">
        <f t="shared" si="0"/>
        <v>0</v>
      </c>
      <c r="AK27" s="291">
        <f t="shared" si="1"/>
        <v>0</v>
      </c>
      <c r="AL27" s="277">
        <f t="shared" si="2"/>
        <v>7200000</v>
      </c>
      <c r="AM27" s="291">
        <f t="shared" si="3"/>
        <v>100</v>
      </c>
      <c r="AN27" s="277" t="str">
        <f t="shared" si="4"/>
        <v>DL.2376.AFA.001.053.C.522151</v>
      </c>
      <c r="AO27" s="277" t="str">
        <f>IF(ISNUMBER(SEARCH("COVID",Table7[[#This Row],[Akun]])),"COVID","Non COVID")</f>
        <v>Non COVID</v>
      </c>
      <c r="AP2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7" s="292">
        <f>SUM('PER BULAN'!AY51)</f>
        <v>0</v>
      </c>
      <c r="AS27" s="292">
        <f>SUM('PER BULAN'!AZ51)</f>
        <v>0</v>
      </c>
      <c r="AT27" s="292">
        <f>SUM('PER BULAN'!BA51)</f>
        <v>0</v>
      </c>
      <c r="AU27" s="292">
        <f>SUM('PER BULAN'!BB51)</f>
        <v>0</v>
      </c>
      <c r="AV27" s="292">
        <f>SUM('PER BULAN'!BC51)</f>
        <v>0</v>
      </c>
      <c r="AW27" s="292">
        <f>SUM('PER BULAN'!BD51)</f>
        <v>0</v>
      </c>
      <c r="AX27" s="292">
        <f>SUM('PER BULAN'!BE51)</f>
        <v>0</v>
      </c>
      <c r="AY27" s="292">
        <f>SUM('PER BULAN'!BF51)</f>
        <v>0</v>
      </c>
    </row>
    <row r="28" spans="1:51" s="278" customFormat="1" hidden="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4731</v>
      </c>
      <c r="O28" s="277" t="s">
        <v>513</v>
      </c>
      <c r="P28" s="277" t="s">
        <v>4702</v>
      </c>
      <c r="Q28" s="307" cm="1">
        <f t="array" ref="Q28">SUM(_xlfn._xlws.FILTER(#REF!,#REF!=SP2D!AN28,0))</f>
        <v>23030000</v>
      </c>
      <c r="R28" s="278">
        <v>23030000</v>
      </c>
      <c r="S28" s="292">
        <f>SUM('PER BULAN'!H52:J52)</f>
        <v>0</v>
      </c>
      <c r="T28" s="292">
        <f>SUM('PER BULAN'!K52:M52)</f>
        <v>0</v>
      </c>
      <c r="U28" s="292">
        <f>SUM('PER BULAN'!N52:P52)</f>
        <v>0</v>
      </c>
      <c r="V28" s="292">
        <f>SUM('PER BULAN'!Q52:S52)</f>
        <v>0</v>
      </c>
      <c r="W28" s="292">
        <f>SUM('PER BULAN'!T52:V52)</f>
        <v>0</v>
      </c>
      <c r="X28" s="292">
        <f>SUM('PER BULAN'!W52:Y52)</f>
        <v>0</v>
      </c>
      <c r="Y28" s="292">
        <f>SUM('PER BULAN'!Z52:AB52)</f>
        <v>0</v>
      </c>
      <c r="Z28" s="292">
        <f>SUM('PER BULAN'!AC52:AE52)</f>
        <v>0</v>
      </c>
      <c r="AA28" s="292">
        <f>SUM('PER BULAN'!AF52:AH52)</f>
        <v>0</v>
      </c>
      <c r="AB28" s="292">
        <f>SUM('PER BULAN'!AI52:AK52)</f>
        <v>0</v>
      </c>
      <c r="AC28" s="292">
        <f>SUM('PER BULAN'!AL52:AN52)</f>
        <v>0</v>
      </c>
      <c r="AD28" s="292">
        <f>SUM('PER BULAN'!AO52:AQ52)</f>
        <v>0</v>
      </c>
      <c r="AE28" s="277" t="s">
        <v>530</v>
      </c>
      <c r="AF28" s="277" t="s">
        <v>535</v>
      </c>
      <c r="AG28" s="277" t="s">
        <v>536</v>
      </c>
      <c r="AH28" s="277" t="s">
        <v>4699</v>
      </c>
      <c r="AI28" s="277" t="s">
        <v>4700</v>
      </c>
      <c r="AJ28" s="277">
        <f t="shared" si="0"/>
        <v>0</v>
      </c>
      <c r="AK28" s="291">
        <f t="shared" si="1"/>
        <v>0</v>
      </c>
      <c r="AL28" s="277">
        <f t="shared" si="2"/>
        <v>23030000</v>
      </c>
      <c r="AM28" s="291">
        <f t="shared" si="3"/>
        <v>100</v>
      </c>
      <c r="AN28" s="277" t="str">
        <f t="shared" si="4"/>
        <v>DL.2376.AFA.001.053.C.524111</v>
      </c>
      <c r="AO28" s="277" t="str">
        <f>IF(ISNUMBER(SEARCH("COVID",Table7[[#This Row],[Akun]])),"COVID","Non COVID")</f>
        <v>Non COVID</v>
      </c>
      <c r="AP2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2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8" s="292">
        <f>SUM('PER BULAN'!AY52)</f>
        <v>0</v>
      </c>
      <c r="AS28" s="292">
        <f>SUM('PER BULAN'!AZ52)</f>
        <v>0</v>
      </c>
      <c r="AT28" s="292">
        <f>SUM('PER BULAN'!BA52)</f>
        <v>0</v>
      </c>
      <c r="AU28" s="292">
        <f>SUM('PER BULAN'!BB52)</f>
        <v>0</v>
      </c>
      <c r="AV28" s="292">
        <f>SUM('PER BULAN'!BC52)</f>
        <v>0</v>
      </c>
      <c r="AW28" s="292">
        <f>SUM('PER BULAN'!BD52)</f>
        <v>0</v>
      </c>
      <c r="AX28" s="292">
        <f>SUM('PER BULAN'!BE52)</f>
        <v>0</v>
      </c>
      <c r="AY28" s="292">
        <f>SUM('PER BULAN'!BF52)</f>
        <v>0</v>
      </c>
    </row>
    <row r="29" spans="1:51" s="278" customFormat="1" hidden="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307" cm="1">
        <f t="array" ref="Q29">SUM(_xlfn._xlws.FILTER(#REF!,#REF!=SP2D!AN29,0))</f>
        <v>13900000</v>
      </c>
      <c r="R29" s="278">
        <v>13900000</v>
      </c>
      <c r="S29" s="292">
        <f>SUM('PER BULAN'!H55:J55)</f>
        <v>0</v>
      </c>
      <c r="T29" s="292">
        <f>SUM('PER BULAN'!K55:M55)</f>
        <v>0</v>
      </c>
      <c r="U29" s="292">
        <f>SUM('PER BULAN'!N55:P55)</f>
        <v>7990750</v>
      </c>
      <c r="V29" s="292">
        <f>SUM('PER BULAN'!Q55:S55)</f>
        <v>0</v>
      </c>
      <c r="W29" s="292">
        <f>SUM('PER BULAN'!T55:V55)</f>
        <v>1500000</v>
      </c>
      <c r="X29" s="292">
        <f>SUM('PER BULAN'!W55:Y55)</f>
        <v>0</v>
      </c>
      <c r="Y29" s="292">
        <f>SUM('PER BULAN'!Z55:AB55)</f>
        <v>0</v>
      </c>
      <c r="Z29" s="292">
        <f>SUM('PER BULAN'!AC55:AE55)</f>
        <v>0</v>
      </c>
      <c r="AA29" s="292">
        <f>SUM('PER BULAN'!AF55:AH55)</f>
        <v>0</v>
      </c>
      <c r="AB29" s="292">
        <f>SUM('PER BULAN'!AI55:AK55)</f>
        <v>0</v>
      </c>
      <c r="AC29" s="292">
        <f>SUM('PER BULAN'!AL55:AN55)</f>
        <v>0</v>
      </c>
      <c r="AD29" s="292">
        <f>SUM('PER BULAN'!AO55:AQ55)</f>
        <v>0</v>
      </c>
      <c r="AE29" s="277" t="s">
        <v>530</v>
      </c>
      <c r="AF29" s="277" t="s">
        <v>535</v>
      </c>
      <c r="AG29" s="277" t="s">
        <v>538</v>
      </c>
      <c r="AH29" s="277" t="s">
        <v>4699</v>
      </c>
      <c r="AI29" s="277" t="s">
        <v>4700</v>
      </c>
      <c r="AJ29" s="277">
        <f t="shared" si="0"/>
        <v>9490750</v>
      </c>
      <c r="AK29" s="291">
        <f t="shared" si="1"/>
        <v>68.27877697841727</v>
      </c>
      <c r="AL29" s="277">
        <f t="shared" si="2"/>
        <v>4409250</v>
      </c>
      <c r="AM29" s="291">
        <f t="shared" si="3"/>
        <v>31.721223021582734</v>
      </c>
      <c r="AN29" s="277" t="str">
        <f t="shared" si="4"/>
        <v>DL.2376.AFA.001.054.A.521211</v>
      </c>
      <c r="AO29" s="277" t="str">
        <f>IF(ISNUMBER(SEARCH("COVID",Table7[[#This Row],[Akun]])),"COVID","Non COVID")</f>
        <v>Non COVID</v>
      </c>
      <c r="AP2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2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9" s="292">
        <f>SUM('PER BULAN'!AY55)</f>
        <v>0</v>
      </c>
      <c r="AS29" s="292">
        <f>SUM('PER BULAN'!AZ55)</f>
        <v>5497250</v>
      </c>
      <c r="AT29" s="292">
        <f>SUM('PER BULAN'!BA55)</f>
        <v>2493500</v>
      </c>
      <c r="AU29" s="292">
        <f>SUM('PER BULAN'!BB55)</f>
        <v>0</v>
      </c>
      <c r="AV29" s="292">
        <f>SUM('PER BULAN'!BC55)</f>
        <v>1500000</v>
      </c>
      <c r="AW29" s="292">
        <f>SUM('PER BULAN'!BD55)</f>
        <v>0</v>
      </c>
      <c r="AX29" s="292">
        <f>SUM('PER BULAN'!BE55)</f>
        <v>0</v>
      </c>
      <c r="AY29" s="292">
        <f>SUM('PER BULAN'!BF55)</f>
        <v>0</v>
      </c>
    </row>
    <row r="30" spans="1:51" s="278" customFormat="1" hidden="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307" cm="1">
        <f t="array" ref="Q30">SUM(_xlfn._xlws.FILTER(#REF!,#REF!=SP2D!AN30,0))</f>
        <v>8784000</v>
      </c>
      <c r="R30" s="278">
        <v>8784000</v>
      </c>
      <c r="S30" s="292">
        <f>SUM('PER BULAN'!H56:J56)</f>
        <v>0</v>
      </c>
      <c r="T30" s="292">
        <f>SUM('PER BULAN'!K56:M56)</f>
        <v>0</v>
      </c>
      <c r="U30" s="292">
        <f>SUM('PER BULAN'!N56:P56)</f>
        <v>0</v>
      </c>
      <c r="V30" s="292">
        <f>SUM('PER BULAN'!Q56:S56)</f>
        <v>0</v>
      </c>
      <c r="W30" s="292">
        <f>SUM('PER BULAN'!T56:V56)</f>
        <v>0</v>
      </c>
      <c r="X30" s="292">
        <f>SUM('PER BULAN'!W56:Y56)</f>
        <v>0</v>
      </c>
      <c r="Y30" s="292">
        <f>SUM('PER BULAN'!Z56:AB56)</f>
        <v>0</v>
      </c>
      <c r="Z30" s="292">
        <f>SUM('PER BULAN'!AC56:AE56)</f>
        <v>0</v>
      </c>
      <c r="AA30" s="292">
        <f>SUM('PER BULAN'!AF56:AH56)</f>
        <v>0</v>
      </c>
      <c r="AB30" s="292">
        <f>SUM('PER BULAN'!AI56:AK56)</f>
        <v>0</v>
      </c>
      <c r="AC30" s="292">
        <f>SUM('PER BULAN'!AL56:AN56)</f>
        <v>0</v>
      </c>
      <c r="AD30" s="292">
        <f>SUM('PER BULAN'!AO56:AQ56)</f>
        <v>0</v>
      </c>
      <c r="AE30" s="277" t="s">
        <v>530</v>
      </c>
      <c r="AF30" s="277" t="s">
        <v>535</v>
      </c>
      <c r="AG30" s="277" t="s">
        <v>538</v>
      </c>
      <c r="AH30" s="277" t="s">
        <v>4699</v>
      </c>
      <c r="AI30" s="277" t="s">
        <v>4700</v>
      </c>
      <c r="AJ30" s="277">
        <f t="shared" si="0"/>
        <v>0</v>
      </c>
      <c r="AK30" s="291">
        <f t="shared" si="1"/>
        <v>0</v>
      </c>
      <c r="AL30" s="277">
        <f t="shared" si="2"/>
        <v>8784000</v>
      </c>
      <c r="AM30" s="291">
        <f t="shared" si="3"/>
        <v>100</v>
      </c>
      <c r="AN30" s="277" t="str">
        <f t="shared" si="4"/>
        <v>DL.2376.AFA.001.054.A.521219</v>
      </c>
      <c r="AO30" s="277" t="str">
        <f>IF(ISNUMBER(SEARCH("COVID",Table7[[#This Row],[Akun]])),"COVID","Non COVID")</f>
        <v>Non COVID</v>
      </c>
      <c r="AP3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3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0" s="292">
        <f>SUM('PER BULAN'!AY56)</f>
        <v>0</v>
      </c>
      <c r="AS30" s="292">
        <f>SUM('PER BULAN'!AZ56)</f>
        <v>0</v>
      </c>
      <c r="AT30" s="292">
        <f>SUM('PER BULAN'!BA56)</f>
        <v>0</v>
      </c>
      <c r="AU30" s="292">
        <f>SUM('PER BULAN'!BB56)</f>
        <v>0</v>
      </c>
      <c r="AV30" s="292">
        <f>SUM('PER BULAN'!BC56)</f>
        <v>0</v>
      </c>
      <c r="AW30" s="292">
        <f>SUM('PER BULAN'!BD56)</f>
        <v>0</v>
      </c>
      <c r="AX30" s="292">
        <f>SUM('PER BULAN'!BE56)</f>
        <v>0</v>
      </c>
      <c r="AY30" s="292">
        <f>SUM('PER BULAN'!BF56)</f>
        <v>0</v>
      </c>
    </row>
    <row r="31" spans="1:51" s="278" customFormat="1" hidden="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307" cm="1">
        <f t="array" ref="Q31">SUM(_xlfn._xlws.FILTER(#REF!,#REF!=SP2D!AN31,0))</f>
        <v>10000000</v>
      </c>
      <c r="R31" s="278">
        <v>10000000</v>
      </c>
      <c r="S31" s="292">
        <f>SUM('PER BULAN'!H57:J57)</f>
        <v>0</v>
      </c>
      <c r="T31" s="292">
        <f>SUM('PER BULAN'!K57:M57)</f>
        <v>0</v>
      </c>
      <c r="U31" s="292">
        <f>SUM('PER BULAN'!N57:P57)</f>
        <v>0</v>
      </c>
      <c r="V31" s="292">
        <f>SUM('PER BULAN'!Q57:S57)</f>
        <v>7200000</v>
      </c>
      <c r="W31" s="292">
        <f>SUM('PER BULAN'!T57:V57)</f>
        <v>0</v>
      </c>
      <c r="X31" s="292">
        <f>SUM('PER BULAN'!W57:Y57)</f>
        <v>0</v>
      </c>
      <c r="Y31" s="292">
        <f>SUM('PER BULAN'!Z57:AB57)</f>
        <v>0</v>
      </c>
      <c r="Z31" s="292">
        <f>SUM('PER BULAN'!AC57:AE57)</f>
        <v>0</v>
      </c>
      <c r="AA31" s="292">
        <f>SUM('PER BULAN'!AF57:AH57)</f>
        <v>0</v>
      </c>
      <c r="AB31" s="292">
        <f>SUM('PER BULAN'!AI57:AK57)</f>
        <v>0</v>
      </c>
      <c r="AC31" s="292">
        <f>SUM('PER BULAN'!AL57:AN57)</f>
        <v>0</v>
      </c>
      <c r="AD31" s="292">
        <f>SUM('PER BULAN'!AO57:AQ57)</f>
        <v>0</v>
      </c>
      <c r="AE31" s="277" t="s">
        <v>530</v>
      </c>
      <c r="AF31" s="277" t="s">
        <v>535</v>
      </c>
      <c r="AG31" s="277" t="s">
        <v>538</v>
      </c>
      <c r="AH31" s="277" t="s">
        <v>4699</v>
      </c>
      <c r="AI31" s="277" t="s">
        <v>4700</v>
      </c>
      <c r="AJ31" s="277">
        <f t="shared" si="0"/>
        <v>7200000</v>
      </c>
      <c r="AK31" s="291">
        <f t="shared" si="1"/>
        <v>72</v>
      </c>
      <c r="AL31" s="277">
        <f t="shared" si="2"/>
        <v>2800000</v>
      </c>
      <c r="AM31" s="291">
        <f t="shared" si="3"/>
        <v>28.000000000000004</v>
      </c>
      <c r="AN31" s="277" t="str">
        <f t="shared" si="4"/>
        <v>DL.2376.AFA.001.054.A.522151</v>
      </c>
      <c r="AO31" s="277" t="str">
        <f>IF(ISNUMBER(SEARCH("COVID",Table7[[#This Row],[Akun]])),"COVID","Non COVID")</f>
        <v>Non COVID</v>
      </c>
      <c r="AP3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1" s="292">
        <f>SUM('PER BULAN'!AY57)</f>
        <v>0</v>
      </c>
      <c r="AS31" s="292">
        <f>SUM('PER BULAN'!AZ57)</f>
        <v>0</v>
      </c>
      <c r="AT31" s="292">
        <f>SUM('PER BULAN'!BA57)</f>
        <v>0</v>
      </c>
      <c r="AU31" s="292">
        <f>SUM('PER BULAN'!BB57)</f>
        <v>0</v>
      </c>
      <c r="AV31" s="292">
        <f>SUM('PER BULAN'!BC57)</f>
        <v>0</v>
      </c>
      <c r="AW31" s="292">
        <f>SUM('PER BULAN'!BD57)</f>
        <v>0</v>
      </c>
      <c r="AX31" s="292">
        <f>SUM('PER BULAN'!BE57)</f>
        <v>0</v>
      </c>
      <c r="AY31" s="292">
        <f>SUM('PER BULAN'!BF57)</f>
        <v>0</v>
      </c>
    </row>
    <row r="32" spans="1:51"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307" cm="1">
        <f t="array" ref="Q32">SUM(_xlfn._xlws.FILTER(#REF!,#REF!=SP2D!AN32,0))</f>
        <v>5000000</v>
      </c>
      <c r="R32" s="278">
        <v>5000000</v>
      </c>
      <c r="S32" s="292">
        <f>SUM('PER BULAN'!H58:J58)</f>
        <v>0</v>
      </c>
      <c r="T32" s="292">
        <f>SUM('PER BULAN'!K58:M58)</f>
        <v>0</v>
      </c>
      <c r="U32" s="292">
        <f>SUM('PER BULAN'!N58:P58)</f>
        <v>0</v>
      </c>
      <c r="V32" s="292">
        <f>SUM('PER BULAN'!Q58:S58)</f>
        <v>0</v>
      </c>
      <c r="W32" s="292">
        <f>SUM('PER BULAN'!T58:V58)</f>
        <v>0</v>
      </c>
      <c r="X32" s="292">
        <f>SUM('PER BULAN'!W58:Y58)</f>
        <v>0</v>
      </c>
      <c r="Y32" s="292">
        <f>SUM('PER BULAN'!Z58:AB58)</f>
        <v>0</v>
      </c>
      <c r="Z32" s="292">
        <f>SUM('PER BULAN'!AC58:AE58)</f>
        <v>0</v>
      </c>
      <c r="AA32" s="292">
        <f>SUM('PER BULAN'!AF58:AH58)</f>
        <v>0</v>
      </c>
      <c r="AB32" s="292">
        <f>SUM('PER BULAN'!AI58:AK58)</f>
        <v>0</v>
      </c>
      <c r="AC32" s="292">
        <f>SUM('PER BULAN'!AL58:AN58)</f>
        <v>0</v>
      </c>
      <c r="AD32" s="292">
        <f>SUM('PER BULAN'!AO58:AQ58)</f>
        <v>0</v>
      </c>
      <c r="AE32" s="277" t="s">
        <v>530</v>
      </c>
      <c r="AF32" s="277" t="s">
        <v>535</v>
      </c>
      <c r="AG32" s="277" t="s">
        <v>538</v>
      </c>
      <c r="AH32" s="277" t="s">
        <v>4699</v>
      </c>
      <c r="AI32" s="277" t="s">
        <v>4700</v>
      </c>
      <c r="AJ32" s="277">
        <f t="shared" si="0"/>
        <v>0</v>
      </c>
      <c r="AK32" s="291">
        <f t="shared" si="1"/>
        <v>0</v>
      </c>
      <c r="AL32" s="277">
        <f t="shared" si="2"/>
        <v>5000000</v>
      </c>
      <c r="AM32" s="291">
        <f t="shared" si="3"/>
        <v>100</v>
      </c>
      <c r="AN32" s="277" t="str">
        <f t="shared" si="4"/>
        <v>DL.2376.AFA.001.054.A.522192</v>
      </c>
      <c r="AO32" s="277" t="str">
        <f>IF(ISNUMBER(SEARCH("COVID",Table7[[#This Row],[Akun]])),"COVID","Non COVID")</f>
        <v>COVID</v>
      </c>
      <c r="AP3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2" s="292">
        <f>SUM('PER BULAN'!AY58)</f>
        <v>0</v>
      </c>
      <c r="AS32" s="292">
        <f>SUM('PER BULAN'!AZ58)</f>
        <v>0</v>
      </c>
      <c r="AT32" s="292">
        <f>SUM('PER BULAN'!BA58)</f>
        <v>0</v>
      </c>
      <c r="AU32" s="292">
        <f>SUM('PER BULAN'!BB58)</f>
        <v>0</v>
      </c>
      <c r="AV32" s="292">
        <f>SUM('PER BULAN'!BC58)</f>
        <v>0</v>
      </c>
      <c r="AW32" s="292">
        <f>SUM('PER BULAN'!BD58)</f>
        <v>0</v>
      </c>
      <c r="AX32" s="292">
        <f>SUM('PER BULAN'!BE58)</f>
        <v>0</v>
      </c>
      <c r="AY32" s="292">
        <f>SUM('PER BULAN'!BF58)</f>
        <v>0</v>
      </c>
    </row>
    <row r="33" spans="1:51" s="278" customFormat="1" hidden="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307" cm="1">
        <f t="array" ref="Q33">SUM(_xlfn._xlws.FILTER(#REF!,#REF!=SP2D!AN33,0))</f>
        <v>97416000</v>
      </c>
      <c r="R33" s="278">
        <v>97416000</v>
      </c>
      <c r="S33" s="292">
        <f>SUM('PER BULAN'!H59:J59)</f>
        <v>0</v>
      </c>
      <c r="T33" s="292">
        <f>SUM('PER BULAN'!K59:M59)</f>
        <v>0</v>
      </c>
      <c r="U33" s="292">
        <f>SUM('PER BULAN'!N59:P59)</f>
        <v>28850000</v>
      </c>
      <c r="V33" s="292">
        <f>SUM('PER BULAN'!Q59:S59)</f>
        <v>6320000</v>
      </c>
      <c r="W33" s="292">
        <f>SUM('PER BULAN'!T59:V59)</f>
        <v>0</v>
      </c>
      <c r="X33" s="292">
        <f>SUM('PER BULAN'!W59:Y59)</f>
        <v>22748610</v>
      </c>
      <c r="Y33" s="292">
        <f>SUM('PER BULAN'!Z59:AB59)</f>
        <v>0</v>
      </c>
      <c r="Z33" s="292">
        <f>SUM('PER BULAN'!AC59:AE59)</f>
        <v>0</v>
      </c>
      <c r="AA33" s="292">
        <f>SUM('PER BULAN'!AF59:AH59)</f>
        <v>0</v>
      </c>
      <c r="AB33" s="292">
        <f>SUM('PER BULAN'!AI59:AK59)</f>
        <v>0</v>
      </c>
      <c r="AC33" s="292">
        <f>SUM('PER BULAN'!AL59:AN59)</f>
        <v>0</v>
      </c>
      <c r="AD33" s="292">
        <f>SUM('PER BULAN'!AO59:AQ59)</f>
        <v>0</v>
      </c>
      <c r="AE33" s="277" t="s">
        <v>530</v>
      </c>
      <c r="AF33" s="277" t="s">
        <v>535</v>
      </c>
      <c r="AG33" s="277" t="s">
        <v>538</v>
      </c>
      <c r="AH33" s="277" t="s">
        <v>4699</v>
      </c>
      <c r="AI33" s="277" t="s">
        <v>4700</v>
      </c>
      <c r="AJ33" s="277">
        <f t="shared" si="0"/>
        <v>57918610</v>
      </c>
      <c r="AK33" s="291">
        <f t="shared" si="1"/>
        <v>59.454925268949651</v>
      </c>
      <c r="AL33" s="277">
        <f t="shared" si="2"/>
        <v>39497390</v>
      </c>
      <c r="AM33" s="291">
        <f t="shared" si="3"/>
        <v>40.545074731050342</v>
      </c>
      <c r="AN33" s="277" t="str">
        <f t="shared" si="4"/>
        <v>DL.2376.AFA.001.054.A.524111</v>
      </c>
      <c r="AO33" s="277" t="str">
        <f>IF(ISNUMBER(SEARCH("COVID",Table7[[#This Row],[Akun]])),"COVID","Non COVID")</f>
        <v>Non COVID</v>
      </c>
      <c r="AP3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3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3" s="292">
        <f>SUM('PER BULAN'!AY59)</f>
        <v>0</v>
      </c>
      <c r="AS33" s="292">
        <f>SUM('PER BULAN'!AZ59)</f>
        <v>17010000</v>
      </c>
      <c r="AT33" s="292">
        <f>SUM('PER BULAN'!BA59)</f>
        <v>11840000</v>
      </c>
      <c r="AU33" s="292">
        <f>SUM('PER BULAN'!BB59)</f>
        <v>0</v>
      </c>
      <c r="AV33" s="292">
        <f>SUM('PER BULAN'!BC59)</f>
        <v>0</v>
      </c>
      <c r="AW33" s="292">
        <f>SUM('PER BULAN'!BD59)</f>
        <v>0</v>
      </c>
      <c r="AX33" s="292">
        <f>SUM('PER BULAN'!BE59)</f>
        <v>0</v>
      </c>
      <c r="AY33" s="292">
        <f>SUM('PER BULAN'!BF59)</f>
        <v>0</v>
      </c>
    </row>
    <row r="34" spans="1:51" s="278" customFormat="1" hidden="1" x14ac:dyDescent="0.3">
      <c r="A34" s="277" t="s">
        <v>4693</v>
      </c>
      <c r="B34" s="277" t="s">
        <v>4694</v>
      </c>
      <c r="C34" s="277" t="s">
        <v>4720</v>
      </c>
      <c r="D34" s="277" t="s">
        <v>4721</v>
      </c>
      <c r="E34" s="277" t="s">
        <v>197</v>
      </c>
      <c r="F34" s="277" t="s">
        <v>4722</v>
      </c>
      <c r="G34" s="277" t="s">
        <v>4732</v>
      </c>
      <c r="H34" s="277" t="s">
        <v>4733</v>
      </c>
      <c r="I34" s="277" t="s">
        <v>501</v>
      </c>
      <c r="J34" s="277" t="s">
        <v>4734</v>
      </c>
      <c r="K34" s="277">
        <v>301</v>
      </c>
      <c r="L34" s="277" t="s">
        <v>4736</v>
      </c>
      <c r="M34" s="277" t="s">
        <v>8</v>
      </c>
      <c r="N34" s="277" t="s">
        <v>4735</v>
      </c>
      <c r="O34" s="277">
        <v>532111</v>
      </c>
      <c r="P34" s="277" t="s">
        <v>4705</v>
      </c>
      <c r="Q34" s="307" cm="1">
        <f t="array" ref="Q34">SUM(_xlfn._xlws.FILTER(#REF!,#REF!=SP2D!AN34,0))</f>
        <v>114200000</v>
      </c>
      <c r="R34" s="278">
        <v>115000000</v>
      </c>
      <c r="S34" s="292">
        <f>SUM('PER BULAN'!H66:J66)</f>
        <v>0</v>
      </c>
      <c r="T34" s="292">
        <f>SUM('PER BULAN'!K66:M66)</f>
        <v>0</v>
      </c>
      <c r="U34" s="292">
        <f>SUM('PER BULAN'!N66:P66)</f>
        <v>0</v>
      </c>
      <c r="V34" s="292">
        <f>SUM('PER BULAN'!Q66:S66)</f>
        <v>0</v>
      </c>
      <c r="W34" s="292">
        <f>SUM('PER BULAN'!T66:V66)</f>
        <v>114200000</v>
      </c>
      <c r="X34" s="292">
        <f>SUM('PER BULAN'!W66:Y66)</f>
        <v>0</v>
      </c>
      <c r="Y34" s="292">
        <f>SUM('PER BULAN'!Z66:AB66)</f>
        <v>0</v>
      </c>
      <c r="Z34" s="292">
        <f>SUM('PER BULAN'!AC66:AE66)</f>
        <v>0</v>
      </c>
      <c r="AA34" s="292">
        <f>SUM('PER BULAN'!AF66:AH66)</f>
        <v>0</v>
      </c>
      <c r="AB34" s="292">
        <f>SUM('PER BULAN'!AI66:AK66)</f>
        <v>0</v>
      </c>
      <c r="AC34" s="292">
        <f>SUM('PER BULAN'!AL66:AN66)</f>
        <v>0</v>
      </c>
      <c r="AD34" s="292">
        <f>SUM('PER BULAN'!AO66:AQ66)</f>
        <v>0</v>
      </c>
      <c r="AE34" s="277" t="s">
        <v>530</v>
      </c>
      <c r="AF34" s="277" t="s">
        <v>576</v>
      </c>
      <c r="AG34" s="277" t="s">
        <v>560</v>
      </c>
      <c r="AH34" s="277">
        <v>53</v>
      </c>
      <c r="AI34" s="277" t="s">
        <v>4700</v>
      </c>
      <c r="AJ34" s="277">
        <f t="shared" si="0"/>
        <v>114200000</v>
      </c>
      <c r="AK34" s="291">
        <f t="shared" si="1"/>
        <v>100</v>
      </c>
      <c r="AL34" s="277">
        <f t="shared" si="2"/>
        <v>0</v>
      </c>
      <c r="AM34" s="291">
        <f t="shared" si="3"/>
        <v>0</v>
      </c>
      <c r="AN34" s="277" t="str">
        <f t="shared" si="4"/>
        <v>WA.2378.CAN.001.301.A.532111</v>
      </c>
      <c r="AO34" s="277" t="str">
        <f>IF(ISNUMBER(SEARCH("COVID",Table7[[#This Row],[Akun]])),"COVID","Non COVID")</f>
        <v>Non COVID</v>
      </c>
      <c r="AP3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MODAL</v>
      </c>
      <c r="AQ34" s="277" t="str">
        <f>IF(AND(ISNUMBER(SEARCH("OPERASIONAL",Table7[[#This Row],[Komponen]])),ISNUMBER(SEARCH("LAYANAN PERKANTORAN",Table7[[#This Row],[SubOutput]]))),"Belanja Barang Operasional",IF(LEFT(Table7[[#This Row],[kdakun]],2)="53","Belanja Modal",IF(LEFT(Table7[[#This Row],[kdakun]],2)="51","Belanja Pegawai","Belanja Barang Non Operasional")))</f>
        <v>Belanja Modal</v>
      </c>
      <c r="AR34" s="292">
        <f>SUM('PER BULAN'!AY66)</f>
        <v>0</v>
      </c>
      <c r="AS34" s="292">
        <f>SUM('PER BULAN'!AZ66)</f>
        <v>0</v>
      </c>
      <c r="AT34" s="292">
        <f>SUM('PER BULAN'!BA66)</f>
        <v>0</v>
      </c>
      <c r="AU34" s="292">
        <f>SUM('PER BULAN'!BB66)</f>
        <v>0</v>
      </c>
      <c r="AV34" s="292">
        <f>SUM('PER BULAN'!BC66)</f>
        <v>0</v>
      </c>
      <c r="AW34" s="292">
        <f>SUM('PER BULAN'!BD66)</f>
        <v>0</v>
      </c>
      <c r="AX34" s="292">
        <f>SUM('PER BULAN'!BE66)</f>
        <v>0</v>
      </c>
      <c r="AY34" s="292">
        <f>SUM('PER BULAN'!BF66)</f>
        <v>0</v>
      </c>
    </row>
    <row r="35" spans="1:51" s="278" customFormat="1" hidden="1" x14ac:dyDescent="0.3">
      <c r="A35" s="277" t="s">
        <v>4693</v>
      </c>
      <c r="B35" s="277" t="s">
        <v>4694</v>
      </c>
      <c r="C35" s="277" t="s">
        <v>4720</v>
      </c>
      <c r="D35" s="277" t="s">
        <v>4721</v>
      </c>
      <c r="E35" s="277" t="s">
        <v>197</v>
      </c>
      <c r="F35" s="277" t="s">
        <v>4722</v>
      </c>
      <c r="G35" s="277" t="s">
        <v>4737</v>
      </c>
      <c r="H35" s="277" t="s">
        <v>4738</v>
      </c>
      <c r="I35" s="277">
        <v>958</v>
      </c>
      <c r="J35" s="277" t="s">
        <v>4741</v>
      </c>
      <c r="K35" s="277">
        <v>311</v>
      </c>
      <c r="L35" s="277" t="s">
        <v>4740</v>
      </c>
      <c r="M35" s="277" t="s">
        <v>8</v>
      </c>
      <c r="N35" s="277" t="s">
        <v>4739</v>
      </c>
      <c r="O35" s="277">
        <v>521211</v>
      </c>
      <c r="P35" s="277" t="s">
        <v>4698</v>
      </c>
      <c r="Q35" s="307" cm="1">
        <f t="array" ref="Q35">SUM(_xlfn._xlws.FILTER(#REF!,#REF!=SP2D!AN35,0))</f>
        <v>12400000</v>
      </c>
      <c r="R35" s="278">
        <v>14400000</v>
      </c>
      <c r="S35" s="292">
        <f>SUM('PER BULAN'!H71:J71)</f>
        <v>0</v>
      </c>
      <c r="T35" s="292">
        <f>SUM('PER BULAN'!K71:M71)</f>
        <v>0</v>
      </c>
      <c r="U35" s="292">
        <f>SUM('PER BULAN'!N71:P71)</f>
        <v>2876000</v>
      </c>
      <c r="V35" s="292">
        <f>SUM('PER BULAN'!Q71:S71)</f>
        <v>0</v>
      </c>
      <c r="W35" s="292">
        <f>SUM('PER BULAN'!T71:V71)</f>
        <v>3071500</v>
      </c>
      <c r="X35" s="292">
        <f>SUM('PER BULAN'!W71:Y71)</f>
        <v>0</v>
      </c>
      <c r="Y35" s="292">
        <f>SUM('PER BULAN'!Z71:AB71)</f>
        <v>0</v>
      </c>
      <c r="Z35" s="292">
        <f>SUM('PER BULAN'!AC71:AE71)</f>
        <v>0</v>
      </c>
      <c r="AA35" s="292">
        <f>SUM('PER BULAN'!AF71:AH71)</f>
        <v>0</v>
      </c>
      <c r="AB35" s="292">
        <f>SUM('PER BULAN'!AI71:AK71)</f>
        <v>0</v>
      </c>
      <c r="AC35" s="292">
        <f>SUM('PER BULAN'!AL71:AN71)</f>
        <v>0</v>
      </c>
      <c r="AD35" s="292">
        <f>SUM('PER BULAN'!AO71:AQ71)</f>
        <v>0</v>
      </c>
      <c r="AE35" s="277" t="s">
        <v>530</v>
      </c>
      <c r="AF35" s="277" t="s">
        <v>542</v>
      </c>
      <c r="AG35" s="277" t="s">
        <v>543</v>
      </c>
      <c r="AH35" s="277" t="s">
        <v>4699</v>
      </c>
      <c r="AI35" s="277" t="s">
        <v>4700</v>
      </c>
      <c r="AJ35" s="277">
        <f t="shared" si="0"/>
        <v>5947500</v>
      </c>
      <c r="AK35" s="291">
        <f t="shared" si="1"/>
        <v>47.963709677419352</v>
      </c>
      <c r="AL35" s="277">
        <f t="shared" si="2"/>
        <v>6452500</v>
      </c>
      <c r="AM35" s="291">
        <f t="shared" si="3"/>
        <v>52.036290322580648</v>
      </c>
      <c r="AN35" s="277" t="str">
        <f t="shared" si="4"/>
        <v>WA.2378.EBA.958.311.A.521211</v>
      </c>
      <c r="AO35" s="277" t="str">
        <f>IF(ISNUMBER(SEARCH("COVID",Table7[[#This Row],[Akun]])),"COVID","Non COVID")</f>
        <v>Non COVID</v>
      </c>
      <c r="AP3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3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5" s="292">
        <f>SUM('PER BULAN'!AY71)</f>
        <v>0</v>
      </c>
      <c r="AS35" s="292">
        <f>SUM('PER BULAN'!AZ71)</f>
        <v>986000</v>
      </c>
      <c r="AT35" s="292">
        <f>SUM('PER BULAN'!BA71)</f>
        <v>1890000</v>
      </c>
      <c r="AU35" s="292">
        <f>SUM('PER BULAN'!BB71)</f>
        <v>0</v>
      </c>
      <c r="AV35" s="292">
        <f>SUM('PER BULAN'!BC71)</f>
        <v>0</v>
      </c>
      <c r="AW35" s="292">
        <f>SUM('PER BULAN'!BD71)</f>
        <v>0</v>
      </c>
      <c r="AX35" s="292">
        <f>SUM('PER BULAN'!BE71)</f>
        <v>3071500</v>
      </c>
      <c r="AY35" s="292">
        <f>SUM('PER BULAN'!BF71)</f>
        <v>0</v>
      </c>
    </row>
    <row r="36" spans="1:51" s="278" customFormat="1" hidden="1" x14ac:dyDescent="0.3">
      <c r="A36" s="277" t="s">
        <v>4693</v>
      </c>
      <c r="B36" s="277" t="s">
        <v>4694</v>
      </c>
      <c r="C36" s="277" t="s">
        <v>4720</v>
      </c>
      <c r="D36" s="277" t="s">
        <v>4721</v>
      </c>
      <c r="E36" s="277" t="s">
        <v>197</v>
      </c>
      <c r="F36" s="277" t="s">
        <v>4722</v>
      </c>
      <c r="G36" s="277" t="s">
        <v>4737</v>
      </c>
      <c r="H36" s="277" t="s">
        <v>4738</v>
      </c>
      <c r="I36" s="277">
        <v>958</v>
      </c>
      <c r="J36" s="277" t="s">
        <v>4741</v>
      </c>
      <c r="K36" s="277">
        <v>311</v>
      </c>
      <c r="L36" s="277" t="s">
        <v>4740</v>
      </c>
      <c r="M36" s="277" t="s">
        <v>8</v>
      </c>
      <c r="N36" s="277" t="s">
        <v>4739</v>
      </c>
      <c r="O36" s="277">
        <v>521219</v>
      </c>
      <c r="P36" s="277" t="s">
        <v>4711</v>
      </c>
      <c r="Q36" s="307" cm="1">
        <f t="array" ref="Q36">SUM(_xlfn._xlws.FILTER(#REF!,#REF!=SP2D!AN36,0))</f>
        <v>0</v>
      </c>
      <c r="R36" s="278">
        <v>8000000</v>
      </c>
      <c r="S36" s="292">
        <f>SUM('PER BULAN'!H72:J72)</f>
        <v>0</v>
      </c>
      <c r="T36" s="292">
        <f>SUM('PER BULAN'!K72:M72)</f>
        <v>0</v>
      </c>
      <c r="U36" s="292">
        <f>SUM('PER BULAN'!N72:P72)</f>
        <v>0</v>
      </c>
      <c r="V36" s="292">
        <f>SUM('PER BULAN'!Q72:S72)</f>
        <v>0</v>
      </c>
      <c r="W36" s="292">
        <f>SUM('PER BULAN'!T72:V72)</f>
        <v>0</v>
      </c>
      <c r="X36" s="292">
        <f>SUM('PER BULAN'!W72:Y72)</f>
        <v>0</v>
      </c>
      <c r="Y36" s="292">
        <f>SUM('PER BULAN'!Z72:AB72)</f>
        <v>0</v>
      </c>
      <c r="Z36" s="292">
        <f>SUM('PER BULAN'!AC72:AE72)</f>
        <v>0</v>
      </c>
      <c r="AA36" s="292">
        <f>SUM('PER BULAN'!AF72:AH72)</f>
        <v>0</v>
      </c>
      <c r="AB36" s="292">
        <f>SUM('PER BULAN'!AI72:AK72)</f>
        <v>0</v>
      </c>
      <c r="AC36" s="292">
        <f>SUM('PER BULAN'!AL72:AN72)</f>
        <v>0</v>
      </c>
      <c r="AD36" s="292">
        <f>SUM('PER BULAN'!AO72:AQ72)</f>
        <v>0</v>
      </c>
      <c r="AE36" s="277" t="s">
        <v>530</v>
      </c>
      <c r="AF36" s="277" t="s">
        <v>542</v>
      </c>
      <c r="AG36" s="277" t="s">
        <v>543</v>
      </c>
      <c r="AH36" s="277" t="s">
        <v>4699</v>
      </c>
      <c r="AI36" s="277" t="s">
        <v>4700</v>
      </c>
      <c r="AJ36" s="277">
        <f t="shared" si="0"/>
        <v>0</v>
      </c>
      <c r="AK36" s="291">
        <f t="shared" si="1"/>
        <v>0</v>
      </c>
      <c r="AL36" s="277">
        <f t="shared" si="2"/>
        <v>0</v>
      </c>
      <c r="AM36" s="291">
        <f t="shared" si="3"/>
        <v>0</v>
      </c>
      <c r="AN36" s="277" t="str">
        <f t="shared" si="4"/>
        <v>WA.2378.EBA.958.311.A.521219</v>
      </c>
      <c r="AO36" s="277" t="str">
        <f>IF(ISNUMBER(SEARCH("COVID",Table7[[#This Row],[Akun]])),"COVID","Non COVID")</f>
        <v>Non COVID</v>
      </c>
      <c r="AP3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3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6" s="292">
        <f>SUM('PER BULAN'!AY72)</f>
        <v>0</v>
      </c>
      <c r="AS36" s="292">
        <f>SUM('PER BULAN'!AZ72)</f>
        <v>0</v>
      </c>
      <c r="AT36" s="292">
        <f>SUM('PER BULAN'!BA72)</f>
        <v>0</v>
      </c>
      <c r="AU36" s="292">
        <f>SUM('PER BULAN'!BB72)</f>
        <v>0</v>
      </c>
      <c r="AV36" s="292">
        <f>SUM('PER BULAN'!BC72)</f>
        <v>0</v>
      </c>
      <c r="AW36" s="292">
        <f>SUM('PER BULAN'!BD72)</f>
        <v>0</v>
      </c>
      <c r="AX36" s="292">
        <f>SUM('PER BULAN'!BE72)</f>
        <v>0</v>
      </c>
      <c r="AY36" s="292">
        <f>SUM('PER BULAN'!BF72)</f>
        <v>0</v>
      </c>
    </row>
    <row r="37" spans="1:51" s="278" customFormat="1" hidden="1" x14ac:dyDescent="0.3">
      <c r="A37" s="277" t="s">
        <v>4693</v>
      </c>
      <c r="B37" s="277" t="s">
        <v>4694</v>
      </c>
      <c r="C37" s="277" t="s">
        <v>4720</v>
      </c>
      <c r="D37" s="277" t="s">
        <v>4721</v>
      </c>
      <c r="E37" s="277" t="s">
        <v>197</v>
      </c>
      <c r="F37" s="277" t="s">
        <v>4722</v>
      </c>
      <c r="G37" s="277" t="s">
        <v>4737</v>
      </c>
      <c r="H37" s="277" t="s">
        <v>4738</v>
      </c>
      <c r="I37" s="277">
        <v>958</v>
      </c>
      <c r="J37" s="277" t="s">
        <v>4741</v>
      </c>
      <c r="K37" s="277">
        <v>311</v>
      </c>
      <c r="L37" s="277" t="s">
        <v>4740</v>
      </c>
      <c r="M37" s="277" t="s">
        <v>8</v>
      </c>
      <c r="N37" s="277" t="s">
        <v>4739</v>
      </c>
      <c r="O37" s="277">
        <v>521811</v>
      </c>
      <c r="P37" s="277" t="s">
        <v>4716</v>
      </c>
      <c r="Q37" s="307" cm="1">
        <f t="array" ref="Q37">SUM(_xlfn._xlws.FILTER(#REF!,#REF!=SP2D!AN37,0))</f>
        <v>10000000</v>
      </c>
      <c r="R37" s="278">
        <v>12000000</v>
      </c>
      <c r="S37" s="292">
        <f>SUM('PER BULAN'!H73:J73)</f>
        <v>0</v>
      </c>
      <c r="T37" s="292">
        <f>SUM('PER BULAN'!K73:M73)</f>
        <v>0</v>
      </c>
      <c r="U37" s="292">
        <f>SUM('PER BULAN'!N73:P73)</f>
        <v>2450750</v>
      </c>
      <c r="V37" s="292">
        <f>SUM('PER BULAN'!Q73:S73)</f>
        <v>0</v>
      </c>
      <c r="W37" s="292">
        <f>SUM('PER BULAN'!T73:V73)</f>
        <v>1929000</v>
      </c>
      <c r="X37" s="292">
        <f>SUM('PER BULAN'!W73:Y73)</f>
        <v>0</v>
      </c>
      <c r="Y37" s="292">
        <f>SUM('PER BULAN'!Z73:AB73)</f>
        <v>0</v>
      </c>
      <c r="Z37" s="292">
        <f>SUM('PER BULAN'!AC73:AE73)</f>
        <v>0</v>
      </c>
      <c r="AA37" s="292">
        <f>SUM('PER BULAN'!AF73:AH73)</f>
        <v>0</v>
      </c>
      <c r="AB37" s="292">
        <f>SUM('PER BULAN'!AI73:AK73)</f>
        <v>0</v>
      </c>
      <c r="AC37" s="292">
        <f>SUM('PER BULAN'!AL73:AN73)</f>
        <v>0</v>
      </c>
      <c r="AD37" s="292">
        <f>SUM('PER BULAN'!AO73:AQ73)</f>
        <v>0</v>
      </c>
      <c r="AE37" s="277" t="s">
        <v>530</v>
      </c>
      <c r="AF37" s="277" t="s">
        <v>542</v>
      </c>
      <c r="AG37" s="277" t="s">
        <v>543</v>
      </c>
      <c r="AH37" s="277" t="s">
        <v>4699</v>
      </c>
      <c r="AI37" s="277" t="s">
        <v>4700</v>
      </c>
      <c r="AJ37" s="277">
        <f t="shared" si="0"/>
        <v>4379750</v>
      </c>
      <c r="AK37" s="291">
        <f t="shared" si="1"/>
        <v>43.797499999999999</v>
      </c>
      <c r="AL37" s="277">
        <f t="shared" si="2"/>
        <v>5620250</v>
      </c>
      <c r="AM37" s="291">
        <f t="shared" si="3"/>
        <v>56.202500000000001</v>
      </c>
      <c r="AN37" s="277" t="str">
        <f t="shared" si="4"/>
        <v>WA.2378.EBA.958.311.A.521811</v>
      </c>
      <c r="AO37" s="277" t="str">
        <f>IF(ISNUMBER(SEARCH("COVID",Table7[[#This Row],[Akun]])),"COVID","Non COVID")</f>
        <v>Non COVID</v>
      </c>
      <c r="AP3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3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7" s="292">
        <f>SUM('PER BULAN'!AY73)</f>
        <v>0</v>
      </c>
      <c r="AS37" s="292">
        <f>SUM('PER BULAN'!AZ73)</f>
        <v>2450750</v>
      </c>
      <c r="AT37" s="292">
        <f>SUM('PER BULAN'!BA73)</f>
        <v>0</v>
      </c>
      <c r="AU37" s="292">
        <f>SUM('PER BULAN'!BB73)</f>
        <v>0</v>
      </c>
      <c r="AV37" s="292">
        <f>SUM('PER BULAN'!BC73)</f>
        <v>0</v>
      </c>
      <c r="AW37" s="292">
        <f>SUM('PER BULAN'!BD73)</f>
        <v>0</v>
      </c>
      <c r="AX37" s="292">
        <f>SUM('PER BULAN'!BE73)</f>
        <v>1929000</v>
      </c>
      <c r="AY37" s="292">
        <f>SUM('PER BULAN'!BF73)</f>
        <v>0</v>
      </c>
    </row>
    <row r="38" spans="1:51" s="278" customFormat="1" hidden="1" x14ac:dyDescent="0.3">
      <c r="A38" s="277" t="s">
        <v>4693</v>
      </c>
      <c r="B38" s="277" t="s">
        <v>4694</v>
      </c>
      <c r="C38" s="277" t="s">
        <v>4720</v>
      </c>
      <c r="D38" s="277" t="s">
        <v>4721</v>
      </c>
      <c r="E38" s="277" t="s">
        <v>197</v>
      </c>
      <c r="F38" s="277" t="s">
        <v>4722</v>
      </c>
      <c r="G38" s="277" t="s">
        <v>4737</v>
      </c>
      <c r="H38" s="277" t="s">
        <v>4738</v>
      </c>
      <c r="I38" s="277">
        <v>958</v>
      </c>
      <c r="J38" s="277" t="s">
        <v>4741</v>
      </c>
      <c r="K38" s="277">
        <v>311</v>
      </c>
      <c r="L38" s="277" t="s">
        <v>4740</v>
      </c>
      <c r="M38" s="277" t="s">
        <v>8</v>
      </c>
      <c r="N38" s="277" t="s">
        <v>4739</v>
      </c>
      <c r="O38" s="277">
        <v>522151</v>
      </c>
      <c r="P38" s="277" t="s">
        <v>4701</v>
      </c>
      <c r="Q38" s="307" cm="1">
        <f t="array" ref="Q38">SUM(_xlfn._xlws.FILTER(#REF!,#REF!=SP2D!AN38,0))</f>
        <v>0</v>
      </c>
      <c r="R38" s="278">
        <v>4000000</v>
      </c>
      <c r="S38" s="292">
        <f>SUM('PER BULAN'!H74:J74)</f>
        <v>0</v>
      </c>
      <c r="T38" s="292">
        <f>SUM('PER BULAN'!K74:M74)</f>
        <v>0</v>
      </c>
      <c r="U38" s="292">
        <f>SUM('PER BULAN'!N74:P74)</f>
        <v>0</v>
      </c>
      <c r="V38" s="292">
        <f>SUM('PER BULAN'!Q74:S74)</f>
        <v>0</v>
      </c>
      <c r="W38" s="292">
        <f>SUM('PER BULAN'!T74:V74)</f>
        <v>0</v>
      </c>
      <c r="X38" s="292">
        <f>SUM('PER BULAN'!W74:Y74)</f>
        <v>0</v>
      </c>
      <c r="Y38" s="292">
        <f>SUM('PER BULAN'!Z74:AB74)</f>
        <v>0</v>
      </c>
      <c r="Z38" s="292">
        <f>SUM('PER BULAN'!AC74:AE74)</f>
        <v>0</v>
      </c>
      <c r="AA38" s="292">
        <f>SUM('PER BULAN'!AF74:AH74)</f>
        <v>0</v>
      </c>
      <c r="AB38" s="292">
        <f>SUM('PER BULAN'!AI74:AK74)</f>
        <v>0</v>
      </c>
      <c r="AC38" s="292">
        <f>SUM('PER BULAN'!AL74:AN74)</f>
        <v>0</v>
      </c>
      <c r="AD38" s="292">
        <f>SUM('PER BULAN'!AO74:AQ74)</f>
        <v>0</v>
      </c>
      <c r="AE38" s="277" t="s">
        <v>530</v>
      </c>
      <c r="AF38" s="277" t="s">
        <v>542</v>
      </c>
      <c r="AG38" s="277" t="s">
        <v>543</v>
      </c>
      <c r="AH38" s="277" t="s">
        <v>4699</v>
      </c>
      <c r="AI38" s="277" t="s">
        <v>4700</v>
      </c>
      <c r="AJ38" s="277">
        <f t="shared" si="0"/>
        <v>0</v>
      </c>
      <c r="AK38" s="291">
        <f t="shared" si="1"/>
        <v>0</v>
      </c>
      <c r="AL38" s="277">
        <f t="shared" si="2"/>
        <v>0</v>
      </c>
      <c r="AM38" s="291">
        <f t="shared" si="3"/>
        <v>0</v>
      </c>
      <c r="AN38" s="277" t="str">
        <f t="shared" si="4"/>
        <v>WA.2378.EBA.958.311.A.522151</v>
      </c>
      <c r="AO38" s="277" t="str">
        <f>IF(ISNUMBER(SEARCH("COVID",Table7[[#This Row],[Akun]])),"COVID","Non COVID")</f>
        <v>Non COVID</v>
      </c>
      <c r="AP3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8" s="292">
        <f>SUM('PER BULAN'!AY74)</f>
        <v>0</v>
      </c>
      <c r="AS38" s="292">
        <f>SUM('PER BULAN'!AZ74)</f>
        <v>0</v>
      </c>
      <c r="AT38" s="292">
        <f>SUM('PER BULAN'!BA74)</f>
        <v>0</v>
      </c>
      <c r="AU38" s="292">
        <f>SUM('PER BULAN'!BB74)</f>
        <v>0</v>
      </c>
      <c r="AV38" s="292">
        <f>SUM('PER BULAN'!BC74)</f>
        <v>0</v>
      </c>
      <c r="AW38" s="292">
        <f>SUM('PER BULAN'!BD74)</f>
        <v>0</v>
      </c>
      <c r="AX38" s="292">
        <f>SUM('PER BULAN'!BE74)</f>
        <v>0</v>
      </c>
      <c r="AY38" s="292">
        <f>SUM('PER BULAN'!BF74)</f>
        <v>0</v>
      </c>
    </row>
    <row r="39" spans="1:51" s="278" customFormat="1" hidden="1" x14ac:dyDescent="0.3">
      <c r="A39" s="277" t="s">
        <v>4693</v>
      </c>
      <c r="B39" s="277" t="s">
        <v>4694</v>
      </c>
      <c r="C39" s="277" t="s">
        <v>4720</v>
      </c>
      <c r="D39" s="277" t="s">
        <v>4721</v>
      </c>
      <c r="E39" s="277" t="s">
        <v>197</v>
      </c>
      <c r="F39" s="277" t="s">
        <v>4722</v>
      </c>
      <c r="G39" s="277" t="s">
        <v>4737</v>
      </c>
      <c r="H39" s="277" t="s">
        <v>4738</v>
      </c>
      <c r="I39" s="277">
        <v>958</v>
      </c>
      <c r="J39" s="277" t="s">
        <v>4741</v>
      </c>
      <c r="K39" s="277">
        <v>311</v>
      </c>
      <c r="L39" s="277" t="s">
        <v>4740</v>
      </c>
      <c r="M39" s="277" t="s">
        <v>8</v>
      </c>
      <c r="N39" s="277" t="s">
        <v>4739</v>
      </c>
      <c r="O39" s="277" t="s">
        <v>513</v>
      </c>
      <c r="P39" s="277" t="s">
        <v>4702</v>
      </c>
      <c r="Q39" s="307" cm="1">
        <f t="array" ref="Q39">SUM(_xlfn._xlws.FILTER(#REF!,#REF!=SP2D!AN39,0))</f>
        <v>90946000</v>
      </c>
      <c r="R39" s="278">
        <v>115380000</v>
      </c>
      <c r="S39" s="292">
        <f>SUM('PER BULAN'!H75:J75)</f>
        <v>0</v>
      </c>
      <c r="T39" s="292">
        <f>SUM('PER BULAN'!K75:M75)</f>
        <v>0</v>
      </c>
      <c r="U39" s="292">
        <f>SUM('PER BULAN'!N75:P75)</f>
        <v>0</v>
      </c>
      <c r="V39" s="292">
        <f>SUM('PER BULAN'!Q75:S75)</f>
        <v>3570000</v>
      </c>
      <c r="W39" s="292">
        <f>SUM('PER BULAN'!T75:V75)</f>
        <v>10960600</v>
      </c>
      <c r="X39" s="292">
        <f>SUM('PER BULAN'!W75:Y75)</f>
        <v>3840000</v>
      </c>
      <c r="Y39" s="292">
        <f>SUM('PER BULAN'!Z75:AB75)</f>
        <v>0</v>
      </c>
      <c r="Z39" s="292">
        <f>SUM('PER BULAN'!AC75:AE75)</f>
        <v>0</v>
      </c>
      <c r="AA39" s="292">
        <f>SUM('PER BULAN'!AF75:AH75)</f>
        <v>0</v>
      </c>
      <c r="AB39" s="292">
        <f>SUM('PER BULAN'!AI75:AK75)</f>
        <v>0</v>
      </c>
      <c r="AC39" s="292">
        <f>SUM('PER BULAN'!AL75:AN75)</f>
        <v>0</v>
      </c>
      <c r="AD39" s="292">
        <f>SUM('PER BULAN'!AO75:AQ75)</f>
        <v>0</v>
      </c>
      <c r="AE39" s="277" t="s">
        <v>530</v>
      </c>
      <c r="AF39" s="277" t="s">
        <v>542</v>
      </c>
      <c r="AG39" s="277" t="s">
        <v>543</v>
      </c>
      <c r="AH39" s="277" t="s">
        <v>4699</v>
      </c>
      <c r="AI39" s="277" t="s">
        <v>4700</v>
      </c>
      <c r="AJ39" s="277">
        <f t="shared" si="0"/>
        <v>18370600</v>
      </c>
      <c r="AK39" s="291">
        <f t="shared" si="1"/>
        <v>20.199459019638027</v>
      </c>
      <c r="AL39" s="277">
        <f t="shared" si="2"/>
        <v>72575400</v>
      </c>
      <c r="AM39" s="291">
        <f t="shared" si="3"/>
        <v>79.800540980361973</v>
      </c>
      <c r="AN39" s="277" t="str">
        <f t="shared" si="4"/>
        <v>WA.2378.EBA.958.311.A.524111</v>
      </c>
      <c r="AO39" s="277" t="str">
        <f>IF(ISNUMBER(SEARCH("COVID",Table7[[#This Row],[Akun]])),"COVID","Non COVID")</f>
        <v>Non COVID</v>
      </c>
      <c r="AP3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3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9" s="292">
        <f>SUM('PER BULAN'!AY75)</f>
        <v>0</v>
      </c>
      <c r="AS39" s="292">
        <f>SUM('PER BULAN'!AZ75)</f>
        <v>0</v>
      </c>
      <c r="AT39" s="292">
        <f>SUM('PER BULAN'!BA75)</f>
        <v>0</v>
      </c>
      <c r="AU39" s="292">
        <f>SUM('PER BULAN'!BB75)</f>
        <v>0</v>
      </c>
      <c r="AV39" s="292">
        <f>SUM('PER BULAN'!BC75)</f>
        <v>0</v>
      </c>
      <c r="AW39" s="292">
        <f>SUM('PER BULAN'!BD75)</f>
        <v>0</v>
      </c>
      <c r="AX39" s="292">
        <f>SUM('PER BULAN'!BE75)</f>
        <v>0</v>
      </c>
      <c r="AY39" s="292">
        <f>SUM('PER BULAN'!BF75)</f>
        <v>0</v>
      </c>
    </row>
    <row r="40" spans="1:51" s="278" customFormat="1" hidden="1" x14ac:dyDescent="0.3">
      <c r="A40" s="277" t="s">
        <v>4693</v>
      </c>
      <c r="B40" s="277" t="s">
        <v>4694</v>
      </c>
      <c r="C40" s="277" t="s">
        <v>4720</v>
      </c>
      <c r="D40" s="277" t="s">
        <v>4721</v>
      </c>
      <c r="E40" s="277" t="s">
        <v>197</v>
      </c>
      <c r="F40" s="277" t="s">
        <v>4722</v>
      </c>
      <c r="G40" s="277" t="s">
        <v>4737</v>
      </c>
      <c r="H40" s="277" t="s">
        <v>4738</v>
      </c>
      <c r="I40" s="277">
        <v>962</v>
      </c>
      <c r="J40" s="277" t="s">
        <v>4743</v>
      </c>
      <c r="K40" s="277">
        <v>301</v>
      </c>
      <c r="L40" s="277" t="s">
        <v>4742</v>
      </c>
      <c r="M40" s="277" t="s">
        <v>8</v>
      </c>
      <c r="N40" s="277" t="s">
        <v>4723</v>
      </c>
      <c r="O40" s="277">
        <v>521211</v>
      </c>
      <c r="P40" s="277" t="s">
        <v>4698</v>
      </c>
      <c r="Q40" s="307" cm="1">
        <f t="array" ref="Q40">SUM(_xlfn._xlws.FILTER(#REF!,#REF!=SP2D!AN40,0))</f>
        <v>5000000</v>
      </c>
      <c r="R40" s="278">
        <v>22000000</v>
      </c>
      <c r="S40" s="292">
        <f>SUM('PER BULAN'!H79:J79)</f>
        <v>0</v>
      </c>
      <c r="T40" s="292">
        <f>SUM('PER BULAN'!K79:M79)</f>
        <v>0</v>
      </c>
      <c r="U40" s="292">
        <f>SUM('PER BULAN'!N79:P79)</f>
        <v>3998800</v>
      </c>
      <c r="V40" s="292">
        <f>SUM('PER BULAN'!Q79:S79)</f>
        <v>0</v>
      </c>
      <c r="W40" s="292">
        <f>SUM('PER BULAN'!T79:V79)</f>
        <v>0</v>
      </c>
      <c r="X40" s="292">
        <f>SUM('PER BULAN'!W79:Y79)</f>
        <v>0</v>
      </c>
      <c r="Y40" s="292">
        <f>SUM('PER BULAN'!Z79:AB79)</f>
        <v>0</v>
      </c>
      <c r="Z40" s="292">
        <f>SUM('PER BULAN'!AC79:AE79)</f>
        <v>0</v>
      </c>
      <c r="AA40" s="292">
        <f>SUM('PER BULAN'!AF79:AH79)</f>
        <v>0</v>
      </c>
      <c r="AB40" s="292">
        <f>SUM('PER BULAN'!AI79:AK79)</f>
        <v>0</v>
      </c>
      <c r="AC40" s="292">
        <f>SUM('PER BULAN'!AL79:AN79)</f>
        <v>0</v>
      </c>
      <c r="AD40" s="292">
        <f>SUM('PER BULAN'!AO79:AQ79)</f>
        <v>0</v>
      </c>
      <c r="AE40" s="277" t="s">
        <v>530</v>
      </c>
      <c r="AF40" s="277" t="s">
        <v>576</v>
      </c>
      <c r="AG40" s="277" t="s">
        <v>560</v>
      </c>
      <c r="AH40" s="277" t="s">
        <v>4699</v>
      </c>
      <c r="AI40" s="277" t="s">
        <v>4700</v>
      </c>
      <c r="AJ40" s="277">
        <f t="shared" si="0"/>
        <v>3998800</v>
      </c>
      <c r="AK40" s="291">
        <f t="shared" si="1"/>
        <v>79.975999999999999</v>
      </c>
      <c r="AL40" s="277">
        <f t="shared" si="2"/>
        <v>1001200</v>
      </c>
      <c r="AM40" s="291">
        <f t="shared" si="3"/>
        <v>20.024000000000001</v>
      </c>
      <c r="AN40" s="277" t="str">
        <f t="shared" si="4"/>
        <v>WA.2378.EBA.962.301.A.521211</v>
      </c>
      <c r="AO40" s="277" t="str">
        <f>IF(ISNUMBER(SEARCH("COVID",Table7[[#This Row],[Akun]])),"COVID","Non COVID")</f>
        <v>Non COVID</v>
      </c>
      <c r="AP4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0" s="292">
        <f>SUM('PER BULAN'!AY79)</f>
        <v>0</v>
      </c>
      <c r="AS40" s="292">
        <f>SUM('PER BULAN'!AZ79)</f>
        <v>3998800</v>
      </c>
      <c r="AT40" s="292">
        <f>SUM('PER BULAN'!BA79)</f>
        <v>0</v>
      </c>
      <c r="AU40" s="292">
        <f>SUM('PER BULAN'!BB79)</f>
        <v>0</v>
      </c>
      <c r="AV40" s="292">
        <f>SUM('PER BULAN'!BC79)</f>
        <v>0</v>
      </c>
      <c r="AW40" s="292">
        <f>SUM('PER BULAN'!BD79)</f>
        <v>0</v>
      </c>
      <c r="AX40" s="292">
        <f>SUM('PER BULAN'!BE79)</f>
        <v>0</v>
      </c>
      <c r="AY40" s="292">
        <f>SUM('PER BULAN'!BF79)</f>
        <v>0</v>
      </c>
    </row>
    <row r="41" spans="1:51" s="278" customFormat="1" hidden="1" x14ac:dyDescent="0.3">
      <c r="A41" s="277" t="s">
        <v>4693</v>
      </c>
      <c r="B41" s="277" t="s">
        <v>4694</v>
      </c>
      <c r="C41" s="277" t="s">
        <v>4720</v>
      </c>
      <c r="D41" s="277" t="s">
        <v>4721</v>
      </c>
      <c r="E41" s="277" t="s">
        <v>197</v>
      </c>
      <c r="F41" s="277" t="s">
        <v>4722</v>
      </c>
      <c r="G41" s="277" t="s">
        <v>4737</v>
      </c>
      <c r="H41" s="277" t="s">
        <v>4738</v>
      </c>
      <c r="I41" s="277">
        <v>962</v>
      </c>
      <c r="J41" s="277" t="s">
        <v>4743</v>
      </c>
      <c r="K41" s="277">
        <v>301</v>
      </c>
      <c r="L41" s="277" t="s">
        <v>4742</v>
      </c>
      <c r="M41" s="277" t="s">
        <v>8</v>
      </c>
      <c r="N41" s="277" t="s">
        <v>4723</v>
      </c>
      <c r="O41" s="277" t="s">
        <v>513</v>
      </c>
      <c r="P41" s="277" t="s">
        <v>4702</v>
      </c>
      <c r="Q41" s="307" cm="1">
        <f t="array" ref="Q41">SUM(_xlfn._xlws.FILTER(#REF!,#REF!=SP2D!AN41,0))</f>
        <v>12989000</v>
      </c>
      <c r="R41" s="278">
        <v>27000000</v>
      </c>
      <c r="S41" s="292">
        <f>SUM('PER BULAN'!H80:J80)</f>
        <v>0</v>
      </c>
      <c r="T41" s="292">
        <f>SUM('PER BULAN'!K80:M80)</f>
        <v>0</v>
      </c>
      <c r="U41" s="292">
        <f>SUM('PER BULAN'!N80:P80)</f>
        <v>4335000</v>
      </c>
      <c r="V41" s="292">
        <f>SUM('PER BULAN'!Q80:S80)</f>
        <v>3960000</v>
      </c>
      <c r="W41" s="292">
        <f>SUM('PER BULAN'!T80:V80)</f>
        <v>3043500</v>
      </c>
      <c r="X41" s="292">
        <f>SUM('PER BULAN'!W80:Y80)</f>
        <v>0</v>
      </c>
      <c r="Y41" s="292">
        <f>SUM('PER BULAN'!Z80:AB80)</f>
        <v>0</v>
      </c>
      <c r="Z41" s="292">
        <f>SUM('PER BULAN'!AC80:AE80)</f>
        <v>0</v>
      </c>
      <c r="AA41" s="292">
        <f>SUM('PER BULAN'!AF80:AH80)</f>
        <v>0</v>
      </c>
      <c r="AB41" s="292">
        <f>SUM('PER BULAN'!AI80:AK80)</f>
        <v>0</v>
      </c>
      <c r="AC41" s="292">
        <f>SUM('PER BULAN'!AL80:AN80)</f>
        <v>0</v>
      </c>
      <c r="AD41" s="292">
        <f>SUM('PER BULAN'!AO80:AQ80)</f>
        <v>0</v>
      </c>
      <c r="AE41" s="277" t="s">
        <v>530</v>
      </c>
      <c r="AF41" s="277" t="s">
        <v>576</v>
      </c>
      <c r="AG41" s="277" t="s">
        <v>560</v>
      </c>
      <c r="AH41" s="277" t="s">
        <v>4699</v>
      </c>
      <c r="AI41" s="277" t="s">
        <v>4700</v>
      </c>
      <c r="AJ41" s="277">
        <f t="shared" si="0"/>
        <v>11338500</v>
      </c>
      <c r="AK41" s="291">
        <f t="shared" si="1"/>
        <v>87.293094156594037</v>
      </c>
      <c r="AL41" s="277">
        <f t="shared" si="2"/>
        <v>1650500</v>
      </c>
      <c r="AM41" s="291">
        <f t="shared" si="3"/>
        <v>12.706905843405957</v>
      </c>
      <c r="AN41" s="277" t="str">
        <f t="shared" si="4"/>
        <v>WA.2378.EBA.962.301.A.524111</v>
      </c>
      <c r="AO41" s="277" t="str">
        <f>IF(ISNUMBER(SEARCH("COVID",Table7[[#This Row],[Akun]])),"COVID","Non COVID")</f>
        <v>Non COVID</v>
      </c>
      <c r="AP4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1" s="292">
        <f>SUM('PER BULAN'!AY80)</f>
        <v>2685000</v>
      </c>
      <c r="AS41" s="292">
        <f>SUM('PER BULAN'!AZ80)</f>
        <v>1650000</v>
      </c>
      <c r="AT41" s="292">
        <f>SUM('PER BULAN'!BA80)</f>
        <v>0</v>
      </c>
      <c r="AU41" s="292">
        <f>SUM('PER BULAN'!BB80)</f>
        <v>3960000</v>
      </c>
      <c r="AV41" s="292">
        <f>SUM('PER BULAN'!BC80)</f>
        <v>0</v>
      </c>
      <c r="AW41" s="292">
        <f>SUM('PER BULAN'!BD80)</f>
        <v>3043500</v>
      </c>
      <c r="AX41" s="292">
        <f>SUM('PER BULAN'!BE80)</f>
        <v>0</v>
      </c>
      <c r="AY41" s="292">
        <f>SUM('PER BULAN'!BF80)</f>
        <v>0</v>
      </c>
    </row>
    <row r="42" spans="1:51" s="278" customFormat="1" hidden="1" x14ac:dyDescent="0.3">
      <c r="A42" s="277" t="s">
        <v>4693</v>
      </c>
      <c r="B42" s="277" t="s">
        <v>4694</v>
      </c>
      <c r="C42" s="277" t="s">
        <v>4720</v>
      </c>
      <c r="D42" s="277" t="s">
        <v>4721</v>
      </c>
      <c r="E42" s="277" t="s">
        <v>197</v>
      </c>
      <c r="F42" s="277" t="s">
        <v>4722</v>
      </c>
      <c r="G42" s="277" t="s">
        <v>4737</v>
      </c>
      <c r="H42" s="277" t="s">
        <v>4738</v>
      </c>
      <c r="I42" s="277">
        <v>962</v>
      </c>
      <c r="J42" s="277" t="s">
        <v>4743</v>
      </c>
      <c r="K42" s="277">
        <v>301</v>
      </c>
      <c r="L42" s="277" t="s">
        <v>4742</v>
      </c>
      <c r="M42" s="277" t="s">
        <v>8</v>
      </c>
      <c r="N42" s="277" t="s">
        <v>4723</v>
      </c>
      <c r="O42" s="277" t="s">
        <v>507</v>
      </c>
      <c r="P42" s="277" t="s">
        <v>508</v>
      </c>
      <c r="Q42" s="307" cm="1">
        <f t="array" ref="Q42">SUM(_xlfn._xlws.FILTER(#REF!,#REF!=SP2D!AN42,0))</f>
        <v>750000</v>
      </c>
      <c r="R42" s="278">
        <v>2100000</v>
      </c>
      <c r="S42" s="292">
        <f>SUM('PER BULAN'!H81:J81)</f>
        <v>0</v>
      </c>
      <c r="T42" s="292">
        <f>SUM('PER BULAN'!K81:M81)</f>
        <v>0</v>
      </c>
      <c r="U42" s="292">
        <f>SUM('PER BULAN'!N81:P81)</f>
        <v>750000</v>
      </c>
      <c r="V42" s="292">
        <f>SUM('PER BULAN'!Q81:S81)</f>
        <v>0</v>
      </c>
      <c r="W42" s="292">
        <f>SUM('PER BULAN'!T81:V81)</f>
        <v>0</v>
      </c>
      <c r="X42" s="292">
        <f>SUM('PER BULAN'!W81:Y81)</f>
        <v>0</v>
      </c>
      <c r="Y42" s="292">
        <f>SUM('PER BULAN'!Z81:AB81)</f>
        <v>0</v>
      </c>
      <c r="Z42" s="292">
        <f>SUM('PER BULAN'!AC81:AE81)</f>
        <v>0</v>
      </c>
      <c r="AA42" s="292">
        <f>SUM('PER BULAN'!AF81:AH81)</f>
        <v>0</v>
      </c>
      <c r="AB42" s="292">
        <f>SUM('PER BULAN'!AI81:AK81)</f>
        <v>0</v>
      </c>
      <c r="AC42" s="292">
        <f>SUM('PER BULAN'!AL81:AN81)</f>
        <v>0</v>
      </c>
      <c r="AD42" s="292">
        <f>SUM('PER BULAN'!AO81:AQ81)</f>
        <v>0</v>
      </c>
      <c r="AE42" s="277" t="s">
        <v>530</v>
      </c>
      <c r="AF42" s="277" t="s">
        <v>576</v>
      </c>
      <c r="AG42" s="277" t="s">
        <v>560</v>
      </c>
      <c r="AH42" s="277" t="s">
        <v>4699</v>
      </c>
      <c r="AI42" s="277" t="s">
        <v>4700</v>
      </c>
      <c r="AJ42" s="277">
        <f t="shared" si="0"/>
        <v>750000</v>
      </c>
      <c r="AK42" s="291">
        <f t="shared" si="1"/>
        <v>100</v>
      </c>
      <c r="AL42" s="277">
        <f t="shared" si="2"/>
        <v>0</v>
      </c>
      <c r="AM42" s="291">
        <f t="shared" si="3"/>
        <v>0</v>
      </c>
      <c r="AN42" s="277" t="str">
        <f t="shared" si="4"/>
        <v>WA.2378.EBA.962.301.A.524113</v>
      </c>
      <c r="AO42" s="277" t="str">
        <f>IF(ISNUMBER(SEARCH("COVID",Table7[[#This Row],[Akun]])),"COVID","Non COVID")</f>
        <v>Non COVID</v>
      </c>
      <c r="AP4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4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2" s="292">
        <f>SUM('PER BULAN'!AY81)</f>
        <v>450000</v>
      </c>
      <c r="AS42" s="292">
        <f>SUM('PER BULAN'!AZ81)</f>
        <v>300000</v>
      </c>
      <c r="AT42" s="292">
        <f>SUM('PER BULAN'!BA81)</f>
        <v>0</v>
      </c>
      <c r="AU42" s="292">
        <f>SUM('PER BULAN'!BB81)</f>
        <v>0</v>
      </c>
      <c r="AV42" s="292">
        <f>SUM('PER BULAN'!BC81)</f>
        <v>0</v>
      </c>
      <c r="AW42" s="292">
        <f>SUM('PER BULAN'!BD81)</f>
        <v>0</v>
      </c>
      <c r="AX42" s="292">
        <f>SUM('PER BULAN'!BE81)</f>
        <v>0</v>
      </c>
      <c r="AY42" s="292">
        <f>SUM('PER BULAN'!BF81)</f>
        <v>0</v>
      </c>
    </row>
    <row r="43" spans="1:51" s="278" customFormat="1" hidden="1" x14ac:dyDescent="0.3">
      <c r="A43" s="277" t="s">
        <v>4693</v>
      </c>
      <c r="B43" s="277" t="s">
        <v>4694</v>
      </c>
      <c r="C43" s="277" t="s">
        <v>4720</v>
      </c>
      <c r="D43" s="277" t="s">
        <v>4721</v>
      </c>
      <c r="E43" s="277" t="s">
        <v>197</v>
      </c>
      <c r="F43" s="277" t="s">
        <v>4722</v>
      </c>
      <c r="G43" s="277" t="s">
        <v>4737</v>
      </c>
      <c r="H43" s="277" t="s">
        <v>4738</v>
      </c>
      <c r="I43" s="277">
        <v>962</v>
      </c>
      <c r="J43" s="277" t="s">
        <v>4743</v>
      </c>
      <c r="K43" s="277">
        <v>301</v>
      </c>
      <c r="L43" s="277" t="s">
        <v>4742</v>
      </c>
      <c r="M43" s="277" t="s">
        <v>511</v>
      </c>
      <c r="N43" s="277" t="s">
        <v>4724</v>
      </c>
      <c r="O43" s="277">
        <v>521211</v>
      </c>
      <c r="P43" s="277" t="s">
        <v>4698</v>
      </c>
      <c r="Q43" s="307" cm="1">
        <f t="array" ref="Q43">SUM(_xlfn._xlws.FILTER(#REF!,#REF!=SP2D!AN43,0))</f>
        <v>10000000</v>
      </c>
      <c r="R43" s="278">
        <v>10000000</v>
      </c>
      <c r="S43" s="292">
        <f>SUM('PER BULAN'!H83:J83)</f>
        <v>0</v>
      </c>
      <c r="T43" s="292">
        <f>SUM('PER BULAN'!K83:M83)</f>
        <v>0</v>
      </c>
      <c r="U43" s="292">
        <f>SUM('PER BULAN'!N83:P83)</f>
        <v>2485000</v>
      </c>
      <c r="V43" s="292">
        <f>SUM('PER BULAN'!Q83:S83)</f>
        <v>0</v>
      </c>
      <c r="W43" s="292">
        <f>SUM('PER BULAN'!T83:V83)</f>
        <v>2485000</v>
      </c>
      <c r="X43" s="292">
        <f>SUM('PER BULAN'!W83:Y83)</f>
        <v>0</v>
      </c>
      <c r="Y43" s="292">
        <f>SUM('PER BULAN'!Z83:AB83)</f>
        <v>0</v>
      </c>
      <c r="Z43" s="292">
        <f>SUM('PER BULAN'!AC83:AE83)</f>
        <v>0</v>
      </c>
      <c r="AA43" s="292">
        <f>SUM('PER BULAN'!AF83:AH83)</f>
        <v>0</v>
      </c>
      <c r="AB43" s="292">
        <f>SUM('PER BULAN'!AI83:AK83)</f>
        <v>0</v>
      </c>
      <c r="AC43" s="292">
        <f>SUM('PER BULAN'!AL83:AN83)</f>
        <v>0</v>
      </c>
      <c r="AD43" s="292">
        <f>SUM('PER BULAN'!AO83:AQ83)</f>
        <v>0</v>
      </c>
      <c r="AE43" s="277" t="s">
        <v>530</v>
      </c>
      <c r="AF43" s="277" t="s">
        <v>576</v>
      </c>
      <c r="AG43" s="277" t="s">
        <v>560</v>
      </c>
      <c r="AH43" s="277" t="s">
        <v>4699</v>
      </c>
      <c r="AI43" s="277" t="s">
        <v>4700</v>
      </c>
      <c r="AJ43" s="277">
        <f t="shared" si="0"/>
        <v>4970000</v>
      </c>
      <c r="AK43" s="291">
        <f t="shared" si="1"/>
        <v>49.7</v>
      </c>
      <c r="AL43" s="277">
        <f t="shared" si="2"/>
        <v>5030000</v>
      </c>
      <c r="AM43" s="291">
        <f t="shared" si="3"/>
        <v>50.3</v>
      </c>
      <c r="AN43" s="277" t="str">
        <f t="shared" si="4"/>
        <v>WA.2378.EBA.962.301.B.521211</v>
      </c>
      <c r="AO43" s="277" t="str">
        <f>IF(ISNUMBER(SEARCH("COVID",Table7[[#This Row],[Akun]])),"COVID","Non COVID")</f>
        <v>Non COVID</v>
      </c>
      <c r="AP4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3" s="292">
        <f>SUM('PER BULAN'!AY83)</f>
        <v>2485000</v>
      </c>
      <c r="AS43" s="292">
        <f>SUM('PER BULAN'!AZ83)</f>
        <v>0</v>
      </c>
      <c r="AT43" s="292">
        <f>SUM('PER BULAN'!BA83)</f>
        <v>0</v>
      </c>
      <c r="AU43" s="292">
        <f>SUM('PER BULAN'!BB83)</f>
        <v>0</v>
      </c>
      <c r="AV43" s="292">
        <f>SUM('PER BULAN'!BC83)</f>
        <v>0</v>
      </c>
      <c r="AW43" s="292">
        <f>SUM('PER BULAN'!BD83)</f>
        <v>0</v>
      </c>
      <c r="AX43" s="292">
        <f>SUM('PER BULAN'!BE83)</f>
        <v>2485000</v>
      </c>
      <c r="AY43" s="292">
        <f>SUM('PER BULAN'!BF83)</f>
        <v>0</v>
      </c>
    </row>
    <row r="44" spans="1:51" s="278" customFormat="1" x14ac:dyDescent="0.3">
      <c r="A44" s="277" t="s">
        <v>4693</v>
      </c>
      <c r="B44" s="277" t="s">
        <v>4694</v>
      </c>
      <c r="C44" s="277" t="s">
        <v>4720</v>
      </c>
      <c r="D44" s="277" t="s">
        <v>4721</v>
      </c>
      <c r="E44" s="277" t="s">
        <v>197</v>
      </c>
      <c r="F44" s="277" t="s">
        <v>4722</v>
      </c>
      <c r="G44" s="277" t="s">
        <v>4737</v>
      </c>
      <c r="H44" s="277" t="s">
        <v>4738</v>
      </c>
      <c r="I44" s="277">
        <v>962</v>
      </c>
      <c r="J44" s="277" t="s">
        <v>4743</v>
      </c>
      <c r="K44" s="277">
        <v>301</v>
      </c>
      <c r="L44" s="277" t="s">
        <v>4742</v>
      </c>
      <c r="M44" s="277" t="s">
        <v>511</v>
      </c>
      <c r="N44" s="277" t="s">
        <v>4724</v>
      </c>
      <c r="O44" s="277" t="s">
        <v>518</v>
      </c>
      <c r="P44" s="277" t="s">
        <v>4703</v>
      </c>
      <c r="Q44" s="307" cm="1">
        <f t="array" ref="Q44">SUM(_xlfn._xlws.FILTER(#REF!,#REF!=SP2D!AN44,0))</f>
        <v>2031000</v>
      </c>
      <c r="R44" s="278">
        <v>23680000</v>
      </c>
      <c r="S44" s="292">
        <f>SUM('PER BULAN'!H84:J84)</f>
        <v>0</v>
      </c>
      <c r="T44" s="292">
        <f>SUM('PER BULAN'!K84:M84)</f>
        <v>0</v>
      </c>
      <c r="U44" s="292">
        <f>SUM('PER BULAN'!N84:P84)</f>
        <v>2031000</v>
      </c>
      <c r="V44" s="292">
        <f>SUM('PER BULAN'!Q84:S84)</f>
        <v>0</v>
      </c>
      <c r="W44" s="292">
        <f>SUM('PER BULAN'!T84:V84)</f>
        <v>0</v>
      </c>
      <c r="X44" s="292">
        <f>SUM('PER BULAN'!W84:Y84)</f>
        <v>0</v>
      </c>
      <c r="Y44" s="292">
        <f>SUM('PER BULAN'!Z84:AB84)</f>
        <v>0</v>
      </c>
      <c r="Z44" s="292">
        <f>SUM('PER BULAN'!AC84:AE84)</f>
        <v>0</v>
      </c>
      <c r="AA44" s="292">
        <f>SUM('PER BULAN'!AF84:AH84)</f>
        <v>0</v>
      </c>
      <c r="AB44" s="292">
        <f>SUM('PER BULAN'!AI84:AK84)</f>
        <v>0</v>
      </c>
      <c r="AC44" s="292">
        <f>SUM('PER BULAN'!AL84:AN84)</f>
        <v>0</v>
      </c>
      <c r="AD44" s="292">
        <f>SUM('PER BULAN'!AO84:AQ84)</f>
        <v>0</v>
      </c>
      <c r="AE44" s="277" t="s">
        <v>530</v>
      </c>
      <c r="AF44" s="277" t="s">
        <v>576</v>
      </c>
      <c r="AG44" s="277" t="s">
        <v>560</v>
      </c>
      <c r="AH44" s="277" t="s">
        <v>4699</v>
      </c>
      <c r="AI44" s="277" t="s">
        <v>4700</v>
      </c>
      <c r="AJ44" s="277">
        <f t="shared" si="0"/>
        <v>2031000</v>
      </c>
      <c r="AK44" s="291">
        <f t="shared" si="1"/>
        <v>100</v>
      </c>
      <c r="AL44" s="277">
        <f t="shared" si="2"/>
        <v>0</v>
      </c>
      <c r="AM44" s="291">
        <f t="shared" si="3"/>
        <v>0</v>
      </c>
      <c r="AN44" s="277" t="str">
        <f t="shared" si="4"/>
        <v>WA.2378.EBA.962.301.B.522192</v>
      </c>
      <c r="AO44" s="277" t="str">
        <f>IF(ISNUMBER(SEARCH("COVID",Table7[[#This Row],[Akun]])),"COVID","Non COVID")</f>
        <v>COVID</v>
      </c>
      <c r="AP4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4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4" s="292">
        <f>SUM('PER BULAN'!AY84)</f>
        <v>1235000</v>
      </c>
      <c r="AS44" s="292">
        <f>SUM('PER BULAN'!AZ84)</f>
        <v>342000</v>
      </c>
      <c r="AT44" s="292">
        <f>SUM('PER BULAN'!BA84)</f>
        <v>454000</v>
      </c>
      <c r="AU44" s="292">
        <f>SUM('PER BULAN'!BB84)</f>
        <v>0</v>
      </c>
      <c r="AV44" s="292">
        <f>SUM('PER BULAN'!BC84)</f>
        <v>0</v>
      </c>
      <c r="AW44" s="292">
        <f>SUM('PER BULAN'!BD84)</f>
        <v>0</v>
      </c>
      <c r="AX44" s="292">
        <f>SUM('PER BULAN'!BE84)</f>
        <v>0</v>
      </c>
      <c r="AY44" s="292">
        <f>SUM('PER BULAN'!BF84)</f>
        <v>0</v>
      </c>
    </row>
    <row r="45" spans="1:51" s="278" customFormat="1" hidden="1" x14ac:dyDescent="0.3">
      <c r="A45" s="277" t="s">
        <v>4693</v>
      </c>
      <c r="B45" s="277" t="s">
        <v>4694</v>
      </c>
      <c r="C45" s="277" t="s">
        <v>4720</v>
      </c>
      <c r="D45" s="277" t="s">
        <v>4721</v>
      </c>
      <c r="E45" s="277" t="s">
        <v>197</v>
      </c>
      <c r="F45" s="277" t="s">
        <v>4722</v>
      </c>
      <c r="G45" s="277" t="s">
        <v>4737</v>
      </c>
      <c r="H45" s="277" t="s">
        <v>4738</v>
      </c>
      <c r="I45" s="277">
        <v>962</v>
      </c>
      <c r="J45" s="277" t="s">
        <v>4743</v>
      </c>
      <c r="K45" s="277">
        <v>301</v>
      </c>
      <c r="L45" s="277" t="s">
        <v>4742</v>
      </c>
      <c r="M45" s="277" t="s">
        <v>511</v>
      </c>
      <c r="N45" s="277" t="s">
        <v>4724</v>
      </c>
      <c r="O45" s="277" t="s">
        <v>513</v>
      </c>
      <c r="P45" s="277" t="s">
        <v>4702</v>
      </c>
      <c r="Q45" s="307" cm="1">
        <f t="array" ref="Q45">SUM(_xlfn._xlws.FILTER(#REF!,#REF!=SP2D!AN45,0))</f>
        <v>373634000</v>
      </c>
      <c r="R45" s="278">
        <v>514500000</v>
      </c>
      <c r="S45" s="292">
        <f>SUM('PER BULAN'!H85:J85)</f>
        <v>0</v>
      </c>
      <c r="T45" s="292">
        <f>SUM('PER BULAN'!K85:M85)</f>
        <v>0</v>
      </c>
      <c r="U45" s="292">
        <f>SUM('PER BULAN'!N85:P85)</f>
        <v>68815500</v>
      </c>
      <c r="V45" s="292">
        <f>SUM('PER BULAN'!Q85:S85)</f>
        <v>66565460</v>
      </c>
      <c r="W45" s="292">
        <f>SUM('PER BULAN'!T85:V85)</f>
        <v>25199501</v>
      </c>
      <c r="X45" s="292">
        <f>SUM('PER BULAN'!W85:Y85)</f>
        <v>0</v>
      </c>
      <c r="Y45" s="292">
        <f>SUM('PER BULAN'!Z85:AB85)</f>
        <v>0</v>
      </c>
      <c r="Z45" s="292">
        <f>SUM('PER BULAN'!AC85:AE85)</f>
        <v>0</v>
      </c>
      <c r="AA45" s="292">
        <f>SUM('PER BULAN'!AF85:AH85)</f>
        <v>0</v>
      </c>
      <c r="AB45" s="292">
        <f>SUM('PER BULAN'!AI85:AK85)</f>
        <v>0</v>
      </c>
      <c r="AC45" s="292">
        <f>SUM('PER BULAN'!AL85:AN85)</f>
        <v>0</v>
      </c>
      <c r="AD45" s="292">
        <f>SUM('PER BULAN'!AO85:AQ85)</f>
        <v>0</v>
      </c>
      <c r="AE45" s="277" t="s">
        <v>530</v>
      </c>
      <c r="AF45" s="277" t="s">
        <v>576</v>
      </c>
      <c r="AG45" s="277" t="s">
        <v>560</v>
      </c>
      <c r="AH45" s="277" t="s">
        <v>4699</v>
      </c>
      <c r="AI45" s="277" t="s">
        <v>4700</v>
      </c>
      <c r="AJ45" s="277">
        <f t="shared" si="0"/>
        <v>160580461</v>
      </c>
      <c r="AK45" s="291">
        <f t="shared" si="1"/>
        <v>42.978010834131794</v>
      </c>
      <c r="AL45" s="277">
        <f t="shared" si="2"/>
        <v>213053539</v>
      </c>
      <c r="AM45" s="291">
        <f t="shared" si="3"/>
        <v>57.021989165868206</v>
      </c>
      <c r="AN45" s="277" t="str">
        <f t="shared" si="4"/>
        <v>WA.2378.EBA.962.301.B.524111</v>
      </c>
      <c r="AO45" s="277" t="str">
        <f>IF(ISNUMBER(SEARCH("COVID",Table7[[#This Row],[Akun]])),"COVID","Non COVID")</f>
        <v>Non COVID</v>
      </c>
      <c r="AP4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5" s="292">
        <f>SUM('PER BULAN'!AY85)</f>
        <v>45385600</v>
      </c>
      <c r="AS45" s="292">
        <f>SUM('PER BULAN'!AZ85)</f>
        <v>23429900</v>
      </c>
      <c r="AT45" s="292">
        <f>SUM('PER BULAN'!BA85)</f>
        <v>0</v>
      </c>
      <c r="AU45" s="292">
        <f>SUM('PER BULAN'!BB85)</f>
        <v>31588000</v>
      </c>
      <c r="AV45" s="292">
        <f>SUM('PER BULAN'!BC85)</f>
        <v>10477701</v>
      </c>
      <c r="AW45" s="292">
        <f>SUM('PER BULAN'!BD85)</f>
        <v>4081050</v>
      </c>
      <c r="AX45" s="292">
        <f>SUM('PER BULAN'!BE85)</f>
        <v>10640750</v>
      </c>
      <c r="AY45" s="292">
        <f>SUM('PER BULAN'!BF85)</f>
        <v>0</v>
      </c>
    </row>
    <row r="46" spans="1:51" s="278" customFormat="1" hidden="1" x14ac:dyDescent="0.3">
      <c r="A46" s="277" t="s">
        <v>4693</v>
      </c>
      <c r="B46" s="277" t="s">
        <v>4694</v>
      </c>
      <c r="C46" s="277" t="s">
        <v>4720</v>
      </c>
      <c r="D46" s="277" t="s">
        <v>4721</v>
      </c>
      <c r="E46" s="277" t="s">
        <v>197</v>
      </c>
      <c r="F46" s="277" t="s">
        <v>4722</v>
      </c>
      <c r="G46" s="277" t="s">
        <v>4737</v>
      </c>
      <c r="H46" s="277" t="s">
        <v>4738</v>
      </c>
      <c r="I46" s="277">
        <v>962</v>
      </c>
      <c r="J46" s="277" t="s">
        <v>4743</v>
      </c>
      <c r="K46" s="277">
        <v>301</v>
      </c>
      <c r="L46" s="277" t="s">
        <v>4742</v>
      </c>
      <c r="M46" s="277" t="s">
        <v>512</v>
      </c>
      <c r="N46" s="277" t="s">
        <v>4744</v>
      </c>
      <c r="O46" s="277">
        <v>521211</v>
      </c>
      <c r="P46" s="277" t="s">
        <v>4698</v>
      </c>
      <c r="Q46" s="307" cm="1">
        <f t="array" ref="Q46">SUM(_xlfn._xlws.FILTER(#REF!,#REF!=SP2D!AN46,0))</f>
        <v>33500000</v>
      </c>
      <c r="R46" s="278">
        <v>46000000</v>
      </c>
      <c r="S46" s="292">
        <f>SUM('PER BULAN'!H87:J87)</f>
        <v>0</v>
      </c>
      <c r="T46" s="292">
        <f>SUM('PER BULAN'!K87:M87)</f>
        <v>0</v>
      </c>
      <c r="U46" s="292">
        <f>SUM('PER BULAN'!N87:P87)</f>
        <v>3987000</v>
      </c>
      <c r="V46" s="292">
        <f>SUM('PER BULAN'!Q87:S87)</f>
        <v>0</v>
      </c>
      <c r="W46" s="292">
        <f>SUM('PER BULAN'!T87:V87)</f>
        <v>29384740</v>
      </c>
      <c r="X46" s="292">
        <f>SUM('PER BULAN'!W87:Y87)</f>
        <v>0</v>
      </c>
      <c r="Y46" s="292">
        <f>SUM('PER BULAN'!Z87:AB87)</f>
        <v>0</v>
      </c>
      <c r="Z46" s="292">
        <f>SUM('PER BULAN'!AC87:AE87)</f>
        <v>0</v>
      </c>
      <c r="AA46" s="292">
        <f>SUM('PER BULAN'!AF87:AH87)</f>
        <v>0</v>
      </c>
      <c r="AB46" s="292">
        <f>SUM('PER BULAN'!AI87:AK87)</f>
        <v>0</v>
      </c>
      <c r="AC46" s="292">
        <f>SUM('PER BULAN'!AL87:AN87)</f>
        <v>0</v>
      </c>
      <c r="AD46" s="292">
        <f>SUM('PER BULAN'!AO87:AQ87)</f>
        <v>0</v>
      </c>
      <c r="AE46" s="277" t="s">
        <v>530</v>
      </c>
      <c r="AF46" s="277" t="s">
        <v>576</v>
      </c>
      <c r="AG46" s="277" t="s">
        <v>560</v>
      </c>
      <c r="AH46" s="277" t="s">
        <v>4699</v>
      </c>
      <c r="AI46" s="277" t="s">
        <v>4700</v>
      </c>
      <c r="AJ46" s="277">
        <f t="shared" si="0"/>
        <v>33371740</v>
      </c>
      <c r="AK46" s="291">
        <f t="shared" si="1"/>
        <v>99.617134328358219</v>
      </c>
      <c r="AL46" s="277">
        <f t="shared" si="2"/>
        <v>128260</v>
      </c>
      <c r="AM46" s="291">
        <f t="shared" si="3"/>
        <v>0.38286567164179103</v>
      </c>
      <c r="AN46" s="277" t="str">
        <f t="shared" si="4"/>
        <v>WA.2378.EBA.962.301.C.521211</v>
      </c>
      <c r="AO46" s="277" t="str">
        <f>IF(ISNUMBER(SEARCH("COVID",Table7[[#This Row],[Akun]])),"COVID","Non COVID")</f>
        <v>Non COVID</v>
      </c>
      <c r="AP4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6" s="292">
        <f>SUM('PER BULAN'!AY87)</f>
        <v>0</v>
      </c>
      <c r="AS46" s="292">
        <f>SUM('PER BULAN'!AZ87)</f>
        <v>3987000</v>
      </c>
      <c r="AT46" s="292">
        <f>SUM('PER BULAN'!BA87)</f>
        <v>0</v>
      </c>
      <c r="AU46" s="292">
        <f>SUM('PER BULAN'!BB87)</f>
        <v>0</v>
      </c>
      <c r="AV46" s="292">
        <f>SUM('PER BULAN'!BC87)</f>
        <v>0</v>
      </c>
      <c r="AW46" s="292">
        <f>SUM('PER BULAN'!BD87)</f>
        <v>0</v>
      </c>
      <c r="AX46" s="292">
        <f>SUM('PER BULAN'!BE87)</f>
        <v>29384740</v>
      </c>
      <c r="AY46" s="292">
        <f>SUM('PER BULAN'!BF87)</f>
        <v>0</v>
      </c>
    </row>
    <row r="47" spans="1:51" s="278" customFormat="1" hidden="1" x14ac:dyDescent="0.3">
      <c r="A47" s="277" t="s">
        <v>4693</v>
      </c>
      <c r="B47" s="277" t="s">
        <v>4694</v>
      </c>
      <c r="C47" s="277" t="s">
        <v>4720</v>
      </c>
      <c r="D47" s="277" t="s">
        <v>4721</v>
      </c>
      <c r="E47" s="277" t="s">
        <v>197</v>
      </c>
      <c r="F47" s="277" t="s">
        <v>4722</v>
      </c>
      <c r="G47" s="277" t="s">
        <v>4737</v>
      </c>
      <c r="H47" s="277" t="s">
        <v>4738</v>
      </c>
      <c r="I47" s="277">
        <v>962</v>
      </c>
      <c r="J47" s="277" t="s">
        <v>4743</v>
      </c>
      <c r="K47" s="277">
        <v>301</v>
      </c>
      <c r="L47" s="277" t="s">
        <v>4742</v>
      </c>
      <c r="M47" s="277" t="s">
        <v>512</v>
      </c>
      <c r="N47" s="277" t="s">
        <v>4744</v>
      </c>
      <c r="O47" s="277">
        <v>522141</v>
      </c>
      <c r="P47" s="277" t="s">
        <v>4704</v>
      </c>
      <c r="Q47" s="307" cm="1">
        <f t="array" ref="Q47">SUM(_xlfn._xlws.FILTER(#REF!,#REF!=SP2D!AN47,0))</f>
        <v>3000000</v>
      </c>
      <c r="R47" s="278">
        <v>6000000</v>
      </c>
      <c r="S47" s="292">
        <f>SUM('PER BULAN'!H88:J88)</f>
        <v>0</v>
      </c>
      <c r="T47" s="292">
        <f>SUM('PER BULAN'!K88:M88)</f>
        <v>0</v>
      </c>
      <c r="U47" s="292">
        <f>SUM('PER BULAN'!N88:P88)</f>
        <v>0</v>
      </c>
      <c r="V47" s="292">
        <f>SUM('PER BULAN'!Q88:S88)</f>
        <v>0</v>
      </c>
      <c r="W47" s="292">
        <f>SUM('PER BULAN'!T88:V88)</f>
        <v>0</v>
      </c>
      <c r="X47" s="292">
        <f>SUM('PER BULAN'!W88:Y88)</f>
        <v>0</v>
      </c>
      <c r="Y47" s="292">
        <f>SUM('PER BULAN'!Z88:AB88)</f>
        <v>0</v>
      </c>
      <c r="Z47" s="292">
        <f>SUM('PER BULAN'!AC88:AE88)</f>
        <v>0</v>
      </c>
      <c r="AA47" s="292">
        <f>SUM('PER BULAN'!AF88:AH88)</f>
        <v>0</v>
      </c>
      <c r="AB47" s="292">
        <f>SUM('PER BULAN'!AI88:AK88)</f>
        <v>0</v>
      </c>
      <c r="AC47" s="292">
        <f>SUM('PER BULAN'!AL88:AN88)</f>
        <v>0</v>
      </c>
      <c r="AD47" s="292">
        <f>SUM('PER BULAN'!AO88:AQ88)</f>
        <v>0</v>
      </c>
      <c r="AE47" s="277" t="s">
        <v>530</v>
      </c>
      <c r="AF47" s="277" t="s">
        <v>576</v>
      </c>
      <c r="AG47" s="277" t="s">
        <v>560</v>
      </c>
      <c r="AH47" s="277" t="s">
        <v>4699</v>
      </c>
      <c r="AI47" s="277" t="s">
        <v>4700</v>
      </c>
      <c r="AJ47" s="277">
        <f t="shared" si="0"/>
        <v>0</v>
      </c>
      <c r="AK47" s="291">
        <f t="shared" si="1"/>
        <v>0</v>
      </c>
      <c r="AL47" s="277">
        <f t="shared" si="2"/>
        <v>3000000</v>
      </c>
      <c r="AM47" s="291">
        <f t="shared" si="3"/>
        <v>100</v>
      </c>
      <c r="AN47" s="277" t="str">
        <f t="shared" si="4"/>
        <v>WA.2378.EBA.962.301.C.522141</v>
      </c>
      <c r="AO47" s="277" t="str">
        <f>IF(ISNUMBER(SEARCH("COVID",Table7[[#This Row],[Akun]])),"COVID","Non COVID")</f>
        <v>Non COVID</v>
      </c>
      <c r="AP4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4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7" s="292">
        <f>SUM('PER BULAN'!AY88)</f>
        <v>0</v>
      </c>
      <c r="AS47" s="292">
        <f>SUM('PER BULAN'!AZ88)</f>
        <v>0</v>
      </c>
      <c r="AT47" s="292">
        <f>SUM('PER BULAN'!BA88)</f>
        <v>0</v>
      </c>
      <c r="AU47" s="292">
        <f>SUM('PER BULAN'!BB88)</f>
        <v>0</v>
      </c>
      <c r="AV47" s="292">
        <f>SUM('PER BULAN'!BC88)</f>
        <v>0</v>
      </c>
      <c r="AW47" s="292">
        <f>SUM('PER BULAN'!BD88)</f>
        <v>0</v>
      </c>
      <c r="AX47" s="292">
        <f>SUM('PER BULAN'!BE88)</f>
        <v>0</v>
      </c>
      <c r="AY47" s="292">
        <f>SUM('PER BULAN'!BF88)</f>
        <v>0</v>
      </c>
    </row>
    <row r="48" spans="1:51" s="278" customFormat="1" hidden="1" x14ac:dyDescent="0.3">
      <c r="A48" s="277" t="s">
        <v>4693</v>
      </c>
      <c r="B48" s="277" t="s">
        <v>4694</v>
      </c>
      <c r="C48" s="277" t="s">
        <v>4720</v>
      </c>
      <c r="D48" s="277" t="s">
        <v>4721</v>
      </c>
      <c r="E48" s="277" t="s">
        <v>197</v>
      </c>
      <c r="F48" s="277" t="s">
        <v>4722</v>
      </c>
      <c r="G48" s="277" t="s">
        <v>4737</v>
      </c>
      <c r="H48" s="277" t="s">
        <v>4738</v>
      </c>
      <c r="I48" s="277">
        <v>962</v>
      </c>
      <c r="J48" s="277" t="s">
        <v>4743</v>
      </c>
      <c r="K48" s="277">
        <v>301</v>
      </c>
      <c r="L48" s="277" t="s">
        <v>4742</v>
      </c>
      <c r="M48" s="277" t="s">
        <v>512</v>
      </c>
      <c r="N48" s="277" t="s">
        <v>4744</v>
      </c>
      <c r="O48" s="277" t="s">
        <v>513</v>
      </c>
      <c r="P48" s="277" t="s">
        <v>4702</v>
      </c>
      <c r="Q48" s="307" cm="1">
        <f t="array" ref="Q48">SUM(_xlfn._xlws.FILTER(#REF!,#REF!=SP2D!AN48,0))</f>
        <v>18000000</v>
      </c>
      <c r="R48" s="278">
        <v>18000000</v>
      </c>
      <c r="S48" s="292">
        <f>SUM('PER BULAN'!H89:J89)</f>
        <v>0</v>
      </c>
      <c r="T48" s="292">
        <f>SUM('PER BULAN'!K89:M89)</f>
        <v>0</v>
      </c>
      <c r="U48" s="292">
        <f>SUM('PER BULAN'!N89:P89)</f>
        <v>1290000</v>
      </c>
      <c r="V48" s="292">
        <f>SUM('PER BULAN'!Q89:S89)</f>
        <v>0</v>
      </c>
      <c r="W48" s="292">
        <f>SUM('PER BULAN'!T89:V89)</f>
        <v>7020000</v>
      </c>
      <c r="X48" s="292">
        <f>SUM('PER BULAN'!W89:Y89)</f>
        <v>0</v>
      </c>
      <c r="Y48" s="292">
        <f>SUM('PER BULAN'!Z89:AB89)</f>
        <v>0</v>
      </c>
      <c r="Z48" s="292">
        <f>SUM('PER BULAN'!AC89:AE89)</f>
        <v>0</v>
      </c>
      <c r="AA48" s="292">
        <f>SUM('PER BULAN'!AF89:AH89)</f>
        <v>0</v>
      </c>
      <c r="AB48" s="292">
        <f>SUM('PER BULAN'!AI89:AK89)</f>
        <v>0</v>
      </c>
      <c r="AC48" s="292">
        <f>SUM('PER BULAN'!AL89:AN89)</f>
        <v>0</v>
      </c>
      <c r="AD48" s="292">
        <f>SUM('PER BULAN'!AO89:AQ89)</f>
        <v>0</v>
      </c>
      <c r="AE48" s="277" t="s">
        <v>530</v>
      </c>
      <c r="AF48" s="277" t="s">
        <v>576</v>
      </c>
      <c r="AG48" s="277" t="s">
        <v>560</v>
      </c>
      <c r="AH48" s="277" t="s">
        <v>4699</v>
      </c>
      <c r="AI48" s="277" t="s">
        <v>4700</v>
      </c>
      <c r="AJ48" s="277">
        <f t="shared" si="0"/>
        <v>8310000</v>
      </c>
      <c r="AK48" s="291">
        <f t="shared" si="1"/>
        <v>46.166666666666664</v>
      </c>
      <c r="AL48" s="277">
        <f t="shared" si="2"/>
        <v>9690000</v>
      </c>
      <c r="AM48" s="291">
        <f t="shared" si="3"/>
        <v>53.833333333333336</v>
      </c>
      <c r="AN48" s="277" t="str">
        <f t="shared" si="4"/>
        <v>WA.2378.EBA.962.301.C.524111</v>
      </c>
      <c r="AO48" s="277" t="str">
        <f>IF(ISNUMBER(SEARCH("COVID",Table7[[#This Row],[Akun]])),"COVID","Non COVID")</f>
        <v>Non COVID</v>
      </c>
      <c r="AP4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8" s="292">
        <f>SUM('PER BULAN'!AY89)</f>
        <v>0</v>
      </c>
      <c r="AS48" s="292">
        <f>SUM('PER BULAN'!AZ89)</f>
        <v>1290000</v>
      </c>
      <c r="AT48" s="292">
        <f>SUM('PER BULAN'!BA89)</f>
        <v>0</v>
      </c>
      <c r="AU48" s="292">
        <f>SUM('PER BULAN'!BB89)</f>
        <v>0</v>
      </c>
      <c r="AV48" s="292">
        <f>SUM('PER BULAN'!BC89)</f>
        <v>3300000</v>
      </c>
      <c r="AW48" s="292">
        <f>SUM('PER BULAN'!BD89)</f>
        <v>3720000</v>
      </c>
      <c r="AX48" s="292">
        <f>SUM('PER BULAN'!BE89)</f>
        <v>0</v>
      </c>
      <c r="AY48" s="292">
        <f>SUM('PER BULAN'!BF89)</f>
        <v>0</v>
      </c>
    </row>
    <row r="49" spans="1:51" s="278" customFormat="1" hidden="1" x14ac:dyDescent="0.3">
      <c r="A49" s="277" t="s">
        <v>4693</v>
      </c>
      <c r="B49" s="277" t="s">
        <v>4694</v>
      </c>
      <c r="C49" s="277" t="s">
        <v>4720</v>
      </c>
      <c r="D49" s="277" t="s">
        <v>4721</v>
      </c>
      <c r="E49" s="277" t="s">
        <v>197</v>
      </c>
      <c r="F49" s="277" t="s">
        <v>4722</v>
      </c>
      <c r="G49" s="277" t="s">
        <v>4737</v>
      </c>
      <c r="H49" s="277" t="s">
        <v>4738</v>
      </c>
      <c r="I49" s="277">
        <v>962</v>
      </c>
      <c r="J49" s="277" t="s">
        <v>4743</v>
      </c>
      <c r="K49" s="277">
        <v>301</v>
      </c>
      <c r="L49" s="277" t="s">
        <v>4742</v>
      </c>
      <c r="M49" s="277" t="s">
        <v>512</v>
      </c>
      <c r="N49" s="277" t="s">
        <v>4744</v>
      </c>
      <c r="O49" s="277" t="s">
        <v>507</v>
      </c>
      <c r="P49" s="277" t="s">
        <v>508</v>
      </c>
      <c r="Q49" s="307" cm="1">
        <f t="array" ref="Q49">SUM(_xlfn._xlws.FILTER(#REF!,#REF!=SP2D!AN49,0))</f>
        <v>2250000</v>
      </c>
      <c r="R49" s="278">
        <v>4500000</v>
      </c>
      <c r="S49" s="292">
        <f>SUM('PER BULAN'!H90:J90)</f>
        <v>0</v>
      </c>
      <c r="T49" s="292">
        <f>SUM('PER BULAN'!K90:M90)</f>
        <v>0</v>
      </c>
      <c r="U49" s="292">
        <f>SUM('PER BULAN'!N90:P90)</f>
        <v>600000</v>
      </c>
      <c r="V49" s="292">
        <f>SUM('PER BULAN'!Q90:S90)</f>
        <v>0</v>
      </c>
      <c r="W49" s="292">
        <f>SUM('PER BULAN'!T90:V90)</f>
        <v>0</v>
      </c>
      <c r="X49" s="292">
        <f>SUM('PER BULAN'!W90:Y90)</f>
        <v>0</v>
      </c>
      <c r="Y49" s="292">
        <f>SUM('PER BULAN'!Z90:AB90)</f>
        <v>0</v>
      </c>
      <c r="Z49" s="292">
        <f>SUM('PER BULAN'!AC90:AE90)</f>
        <v>0</v>
      </c>
      <c r="AA49" s="292">
        <f>SUM('PER BULAN'!AF90:AH90)</f>
        <v>0</v>
      </c>
      <c r="AB49" s="292">
        <f>SUM('PER BULAN'!AI90:AK90)</f>
        <v>0</v>
      </c>
      <c r="AC49" s="292">
        <f>SUM('PER BULAN'!AL90:AN90)</f>
        <v>0</v>
      </c>
      <c r="AD49" s="292">
        <f>SUM('PER BULAN'!AO90:AQ90)</f>
        <v>0</v>
      </c>
      <c r="AE49" s="277" t="s">
        <v>530</v>
      </c>
      <c r="AF49" s="277" t="s">
        <v>576</v>
      </c>
      <c r="AG49" s="277" t="s">
        <v>560</v>
      </c>
      <c r="AH49" s="277" t="s">
        <v>4699</v>
      </c>
      <c r="AI49" s="277" t="s">
        <v>4700</v>
      </c>
      <c r="AJ49" s="277">
        <f t="shared" si="0"/>
        <v>600000</v>
      </c>
      <c r="AK49" s="291">
        <f t="shared" si="1"/>
        <v>26.666666666666668</v>
      </c>
      <c r="AL49" s="277">
        <f t="shared" si="2"/>
        <v>1650000</v>
      </c>
      <c r="AM49" s="291">
        <f t="shared" si="3"/>
        <v>73.333333333333329</v>
      </c>
      <c r="AN49" s="277" t="str">
        <f t="shared" si="4"/>
        <v>WA.2378.EBA.962.301.C.524113</v>
      </c>
      <c r="AO49" s="277" t="str">
        <f>IF(ISNUMBER(SEARCH("COVID",Table7[[#This Row],[Akun]])),"COVID","Non COVID")</f>
        <v>Non COVID</v>
      </c>
      <c r="AP4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4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9" s="292">
        <f>SUM('PER BULAN'!AY90)</f>
        <v>600000</v>
      </c>
      <c r="AS49" s="292">
        <f>SUM('PER BULAN'!AZ90)</f>
        <v>0</v>
      </c>
      <c r="AT49" s="292">
        <f>SUM('PER BULAN'!BA90)</f>
        <v>0</v>
      </c>
      <c r="AU49" s="292">
        <f>SUM('PER BULAN'!BB90)</f>
        <v>0</v>
      </c>
      <c r="AV49" s="292">
        <f>SUM('PER BULAN'!BC90)</f>
        <v>0</v>
      </c>
      <c r="AW49" s="292">
        <f>SUM('PER BULAN'!BD90)</f>
        <v>0</v>
      </c>
      <c r="AX49" s="292">
        <f>SUM('PER BULAN'!BE90)</f>
        <v>0</v>
      </c>
      <c r="AY49" s="292">
        <f>SUM('PER BULAN'!BF90)</f>
        <v>0</v>
      </c>
    </row>
    <row r="50" spans="1:51" s="278" customFormat="1" hidden="1" x14ac:dyDescent="0.3">
      <c r="A50" s="277" t="s">
        <v>4693</v>
      </c>
      <c r="B50" s="277" t="s">
        <v>4694</v>
      </c>
      <c r="C50" s="277" t="s">
        <v>4720</v>
      </c>
      <c r="D50" s="277" t="s">
        <v>4721</v>
      </c>
      <c r="E50" s="277" t="s">
        <v>197</v>
      </c>
      <c r="F50" s="277" t="s">
        <v>4722</v>
      </c>
      <c r="G50" s="277" t="s">
        <v>4737</v>
      </c>
      <c r="H50" s="277" t="s">
        <v>4738</v>
      </c>
      <c r="I50" s="277">
        <v>962</v>
      </c>
      <c r="J50" s="277" t="s">
        <v>4743</v>
      </c>
      <c r="K50" s="277">
        <v>301</v>
      </c>
      <c r="L50" s="277" t="s">
        <v>4742</v>
      </c>
      <c r="M50" s="277" t="s">
        <v>514</v>
      </c>
      <c r="N50" s="277" t="s">
        <v>4725</v>
      </c>
      <c r="O50" s="277">
        <v>521211</v>
      </c>
      <c r="P50" s="277" t="s">
        <v>4698</v>
      </c>
      <c r="Q50" s="307" cm="1">
        <f t="array" ref="Q50">SUM(_xlfn._xlws.FILTER(#REF!,#REF!=SP2D!AN50,0))</f>
        <v>13500000</v>
      </c>
      <c r="R50" s="278">
        <v>28000000</v>
      </c>
      <c r="S50" s="292">
        <f>SUM('PER BULAN'!H92:J92)</f>
        <v>0</v>
      </c>
      <c r="T50" s="292">
        <f>SUM('PER BULAN'!K92:M92)</f>
        <v>0</v>
      </c>
      <c r="U50" s="292">
        <f>SUM('PER BULAN'!N92:P92)</f>
        <v>5459000</v>
      </c>
      <c r="V50" s="292">
        <f>SUM('PER BULAN'!Q92:S92)</f>
        <v>0</v>
      </c>
      <c r="W50" s="292">
        <f>SUM('PER BULAN'!T92:V92)</f>
        <v>0</v>
      </c>
      <c r="X50" s="292">
        <f>SUM('PER BULAN'!W92:Y92)</f>
        <v>0</v>
      </c>
      <c r="Y50" s="292">
        <f>SUM('PER BULAN'!Z92:AB92)</f>
        <v>0</v>
      </c>
      <c r="Z50" s="292">
        <f>SUM('PER BULAN'!AC92:AE92)</f>
        <v>0</v>
      </c>
      <c r="AA50" s="292">
        <f>SUM('PER BULAN'!AF92:AH92)</f>
        <v>0</v>
      </c>
      <c r="AB50" s="292">
        <f>SUM('PER BULAN'!AI92:AK92)</f>
        <v>0</v>
      </c>
      <c r="AC50" s="292">
        <f>SUM('PER BULAN'!AL92:AN92)</f>
        <v>0</v>
      </c>
      <c r="AD50" s="292">
        <f>SUM('PER BULAN'!AO92:AQ92)</f>
        <v>0</v>
      </c>
      <c r="AE50" s="277" t="s">
        <v>530</v>
      </c>
      <c r="AF50" s="277" t="s">
        <v>576</v>
      </c>
      <c r="AG50" s="277" t="s">
        <v>560</v>
      </c>
      <c r="AH50" s="277" t="s">
        <v>4699</v>
      </c>
      <c r="AI50" s="277" t="s">
        <v>4700</v>
      </c>
      <c r="AJ50" s="277">
        <f t="shared" si="0"/>
        <v>5459000</v>
      </c>
      <c r="AK50" s="291">
        <f t="shared" si="1"/>
        <v>40.437037037037037</v>
      </c>
      <c r="AL50" s="277">
        <f t="shared" si="2"/>
        <v>8041000</v>
      </c>
      <c r="AM50" s="291">
        <f t="shared" si="3"/>
        <v>59.562962962962963</v>
      </c>
      <c r="AN50" s="277" t="str">
        <f t="shared" si="4"/>
        <v>WA.2378.EBA.962.301.D.521211</v>
      </c>
      <c r="AO50" s="277" t="str">
        <f>IF(ISNUMBER(SEARCH("COVID",Table7[[#This Row],[Akun]])),"COVID","Non COVID")</f>
        <v>Non COVID</v>
      </c>
      <c r="AP5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0" s="292">
        <f>SUM('PER BULAN'!AY92)</f>
        <v>0</v>
      </c>
      <c r="AS50" s="292">
        <f>SUM('PER BULAN'!AZ92)</f>
        <v>5459000</v>
      </c>
      <c r="AT50" s="292">
        <f>SUM('PER BULAN'!BA92)</f>
        <v>0</v>
      </c>
      <c r="AU50" s="292">
        <f>SUM('PER BULAN'!BB92)</f>
        <v>0</v>
      </c>
      <c r="AV50" s="292">
        <f>SUM('PER BULAN'!BC92)</f>
        <v>0</v>
      </c>
      <c r="AW50" s="292">
        <f>SUM('PER BULAN'!BD92)</f>
        <v>0</v>
      </c>
      <c r="AX50" s="292">
        <f>SUM('PER BULAN'!BE92)</f>
        <v>0</v>
      </c>
      <c r="AY50" s="292">
        <f>SUM('PER BULAN'!BF92)</f>
        <v>0</v>
      </c>
    </row>
    <row r="51" spans="1:51" s="278" customFormat="1" hidden="1" x14ac:dyDescent="0.3">
      <c r="A51" s="277" t="s">
        <v>4693</v>
      </c>
      <c r="B51" s="277" t="s">
        <v>4694</v>
      </c>
      <c r="C51" s="277" t="s">
        <v>4720</v>
      </c>
      <c r="D51" s="277" t="s">
        <v>4721</v>
      </c>
      <c r="E51" s="277" t="s">
        <v>197</v>
      </c>
      <c r="F51" s="277" t="s">
        <v>4722</v>
      </c>
      <c r="G51" s="277" t="s">
        <v>4737</v>
      </c>
      <c r="H51" s="277" t="s">
        <v>4738</v>
      </c>
      <c r="I51" s="277">
        <v>962</v>
      </c>
      <c r="J51" s="277" t="s">
        <v>4743</v>
      </c>
      <c r="K51" s="277">
        <v>301</v>
      </c>
      <c r="L51" s="277" t="s">
        <v>4742</v>
      </c>
      <c r="M51" s="277" t="s">
        <v>514</v>
      </c>
      <c r="N51" s="277" t="s">
        <v>4725</v>
      </c>
      <c r="O51" s="277" t="s">
        <v>513</v>
      </c>
      <c r="P51" s="277" t="s">
        <v>4702</v>
      </c>
      <c r="Q51" s="307" cm="1">
        <f t="array" ref="Q51">SUM(_xlfn._xlws.FILTER(#REF!,#REF!=SP2D!AN51,0))</f>
        <v>47693000</v>
      </c>
      <c r="R51" s="278">
        <v>71250000</v>
      </c>
      <c r="S51" s="292">
        <f>SUM('PER BULAN'!H93:J93)</f>
        <v>0</v>
      </c>
      <c r="T51" s="292">
        <f>SUM('PER BULAN'!K93:M93)</f>
        <v>0</v>
      </c>
      <c r="U51" s="292">
        <f>SUM('PER BULAN'!N93:P93)</f>
        <v>8227400</v>
      </c>
      <c r="V51" s="292">
        <f>SUM('PER BULAN'!Q93:S93)</f>
        <v>15762838</v>
      </c>
      <c r="W51" s="292">
        <f>SUM('PER BULAN'!T93:V93)</f>
        <v>3691500</v>
      </c>
      <c r="X51" s="292">
        <f>SUM('PER BULAN'!W93:Y93)</f>
        <v>0</v>
      </c>
      <c r="Y51" s="292">
        <f>SUM('PER BULAN'!Z93:AB93)</f>
        <v>0</v>
      </c>
      <c r="Z51" s="292">
        <f>SUM('PER BULAN'!AC93:AE93)</f>
        <v>0</v>
      </c>
      <c r="AA51" s="292">
        <f>SUM('PER BULAN'!AF93:AH93)</f>
        <v>0</v>
      </c>
      <c r="AB51" s="292">
        <f>SUM('PER BULAN'!AI93:AK93)</f>
        <v>0</v>
      </c>
      <c r="AC51" s="292">
        <f>SUM('PER BULAN'!AL93:AN93)</f>
        <v>0</v>
      </c>
      <c r="AD51" s="292">
        <f>SUM('PER BULAN'!AO93:AQ93)</f>
        <v>0</v>
      </c>
      <c r="AE51" s="277" t="s">
        <v>530</v>
      </c>
      <c r="AF51" s="277" t="s">
        <v>576</v>
      </c>
      <c r="AG51" s="277" t="s">
        <v>560</v>
      </c>
      <c r="AH51" s="277" t="s">
        <v>4699</v>
      </c>
      <c r="AI51" s="277" t="s">
        <v>4700</v>
      </c>
      <c r="AJ51" s="277">
        <f t="shared" si="0"/>
        <v>27681738</v>
      </c>
      <c r="AK51" s="291">
        <f t="shared" si="1"/>
        <v>58.041511332900008</v>
      </c>
      <c r="AL51" s="277">
        <f t="shared" si="2"/>
        <v>20011262</v>
      </c>
      <c r="AM51" s="291">
        <f t="shared" si="3"/>
        <v>41.958488667099992</v>
      </c>
      <c r="AN51" s="277" t="str">
        <f t="shared" si="4"/>
        <v>WA.2378.EBA.962.301.D.524111</v>
      </c>
      <c r="AO51" s="277" t="str">
        <f>IF(ISNUMBER(SEARCH("COVID",Table7[[#This Row],[Akun]])),"COVID","Non COVID")</f>
        <v>Non COVID</v>
      </c>
      <c r="AP5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5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1" s="292">
        <f>SUM('PER BULAN'!AY93)</f>
        <v>4907400</v>
      </c>
      <c r="AS51" s="292">
        <f>SUM('PER BULAN'!AZ93)</f>
        <v>3320000</v>
      </c>
      <c r="AT51" s="292">
        <f>SUM('PER BULAN'!BA93)</f>
        <v>0</v>
      </c>
      <c r="AU51" s="292">
        <f>SUM('PER BULAN'!BB93)</f>
        <v>1410000</v>
      </c>
      <c r="AV51" s="292">
        <f>SUM('PER BULAN'!BC93)</f>
        <v>0</v>
      </c>
      <c r="AW51" s="292">
        <f>SUM('PER BULAN'!BD93)</f>
        <v>0</v>
      </c>
      <c r="AX51" s="292">
        <f>SUM('PER BULAN'!BE93)</f>
        <v>3691500</v>
      </c>
      <c r="AY51" s="292">
        <f>SUM('PER BULAN'!BF93)</f>
        <v>0</v>
      </c>
    </row>
    <row r="52" spans="1:51" s="278" customFormat="1" hidden="1" x14ac:dyDescent="0.3">
      <c r="A52" s="277" t="s">
        <v>4693</v>
      </c>
      <c r="B52" s="277" t="s">
        <v>4694</v>
      </c>
      <c r="C52" s="277" t="s">
        <v>4720</v>
      </c>
      <c r="D52" s="277" t="s">
        <v>4721</v>
      </c>
      <c r="E52" s="277" t="s">
        <v>197</v>
      </c>
      <c r="F52" s="277" t="s">
        <v>4722</v>
      </c>
      <c r="G52" s="277" t="s">
        <v>4737</v>
      </c>
      <c r="H52" s="277" t="s">
        <v>4738</v>
      </c>
      <c r="I52" s="277">
        <v>962</v>
      </c>
      <c r="J52" s="277" t="s">
        <v>4743</v>
      </c>
      <c r="K52" s="277">
        <v>301</v>
      </c>
      <c r="L52" s="277" t="s">
        <v>4742</v>
      </c>
      <c r="M52" s="277" t="s">
        <v>514</v>
      </c>
      <c r="N52" s="277" t="s">
        <v>4725</v>
      </c>
      <c r="O52" s="277" t="s">
        <v>507</v>
      </c>
      <c r="P52" s="277" t="s">
        <v>508</v>
      </c>
      <c r="Q52" s="307" cm="1">
        <f t="array" ref="Q52">SUM(_xlfn._xlws.FILTER(#REF!,#REF!=SP2D!AN52,0))</f>
        <v>0</v>
      </c>
      <c r="R52" s="278">
        <v>1800000</v>
      </c>
      <c r="S52" s="292">
        <f>SUM('PER BULAN'!H94:J94)</f>
        <v>0</v>
      </c>
      <c r="T52" s="292">
        <f>SUM('PER BULAN'!K94:M94)</f>
        <v>0</v>
      </c>
      <c r="U52" s="292">
        <f>SUM('PER BULAN'!N94:P94)</f>
        <v>0</v>
      </c>
      <c r="V52" s="292">
        <f>SUM('PER BULAN'!Q94:S94)</f>
        <v>0</v>
      </c>
      <c r="W52" s="292">
        <f>SUM('PER BULAN'!T94:V94)</f>
        <v>0</v>
      </c>
      <c r="X52" s="292">
        <f>SUM('PER BULAN'!W94:Y94)</f>
        <v>0</v>
      </c>
      <c r="Y52" s="292">
        <f>SUM('PER BULAN'!Z94:AB94)</f>
        <v>0</v>
      </c>
      <c r="Z52" s="292">
        <f>SUM('PER BULAN'!AC94:AE94)</f>
        <v>0</v>
      </c>
      <c r="AA52" s="292">
        <f>SUM('PER BULAN'!AF94:AH94)</f>
        <v>0</v>
      </c>
      <c r="AB52" s="292">
        <f>SUM('PER BULAN'!AI94:AK94)</f>
        <v>0</v>
      </c>
      <c r="AC52" s="292">
        <f>SUM('PER BULAN'!AL94:AN94)</f>
        <v>0</v>
      </c>
      <c r="AD52" s="292">
        <f>SUM('PER BULAN'!AO94:AQ94)</f>
        <v>0</v>
      </c>
      <c r="AE52" s="277" t="s">
        <v>530</v>
      </c>
      <c r="AF52" s="277" t="s">
        <v>576</v>
      </c>
      <c r="AG52" s="277" t="s">
        <v>560</v>
      </c>
      <c r="AH52" s="277" t="s">
        <v>4699</v>
      </c>
      <c r="AI52" s="277" t="s">
        <v>4700</v>
      </c>
      <c r="AJ52" s="277">
        <f t="shared" si="0"/>
        <v>0</v>
      </c>
      <c r="AK52" s="291">
        <f t="shared" si="1"/>
        <v>0</v>
      </c>
      <c r="AL52" s="277">
        <f t="shared" si="2"/>
        <v>0</v>
      </c>
      <c r="AM52" s="291">
        <f t="shared" si="3"/>
        <v>0</v>
      </c>
      <c r="AN52" s="277" t="str">
        <f t="shared" si="4"/>
        <v>WA.2378.EBA.962.301.D.524113</v>
      </c>
      <c r="AO52" s="277" t="str">
        <f>IF(ISNUMBER(SEARCH("COVID",Table7[[#This Row],[Akun]])),"COVID","Non COVID")</f>
        <v>Non COVID</v>
      </c>
      <c r="AP5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5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2" s="292">
        <f>SUM('PER BULAN'!AY94)</f>
        <v>0</v>
      </c>
      <c r="AS52" s="292">
        <f>SUM('PER BULAN'!AZ94)</f>
        <v>0</v>
      </c>
      <c r="AT52" s="292">
        <f>SUM('PER BULAN'!BA94)</f>
        <v>0</v>
      </c>
      <c r="AU52" s="292">
        <f>SUM('PER BULAN'!BB94)</f>
        <v>0</v>
      </c>
      <c r="AV52" s="292">
        <f>SUM('PER BULAN'!BC94)</f>
        <v>0</v>
      </c>
      <c r="AW52" s="292">
        <f>SUM('PER BULAN'!BD94)</f>
        <v>0</v>
      </c>
      <c r="AX52" s="292">
        <f>SUM('PER BULAN'!BE94)</f>
        <v>0</v>
      </c>
      <c r="AY52" s="292">
        <f>SUM('PER BULAN'!BF94)</f>
        <v>0</v>
      </c>
    </row>
    <row r="53" spans="1:51" s="278" customFormat="1" hidden="1" x14ac:dyDescent="0.3">
      <c r="A53" s="277" t="s">
        <v>4693</v>
      </c>
      <c r="B53" s="277" t="s">
        <v>4694</v>
      </c>
      <c r="C53" s="277" t="s">
        <v>4720</v>
      </c>
      <c r="D53" s="277" t="s">
        <v>4721</v>
      </c>
      <c r="E53" s="277" t="s">
        <v>197</v>
      </c>
      <c r="F53" s="277" t="s">
        <v>4722</v>
      </c>
      <c r="G53" s="277" t="s">
        <v>4737</v>
      </c>
      <c r="H53" s="277" t="s">
        <v>4738</v>
      </c>
      <c r="I53" s="277">
        <v>962</v>
      </c>
      <c r="J53" s="277" t="s">
        <v>4743</v>
      </c>
      <c r="K53" s="277">
        <v>301</v>
      </c>
      <c r="L53" s="277" t="s">
        <v>4742</v>
      </c>
      <c r="M53" s="277" t="s">
        <v>519</v>
      </c>
      <c r="N53" s="277" t="s">
        <v>4745</v>
      </c>
      <c r="O53" s="277">
        <v>521211</v>
      </c>
      <c r="P53" s="277" t="s">
        <v>4698</v>
      </c>
      <c r="Q53" s="307" cm="1">
        <f t="array" ref="Q53">SUM(_xlfn._xlws.FILTER(#REF!,#REF!=SP2D!AN53,0))</f>
        <v>38100000</v>
      </c>
      <c r="R53" s="278">
        <v>57600000</v>
      </c>
      <c r="S53" s="292">
        <f>SUM('PER BULAN'!H87:J87)</f>
        <v>0</v>
      </c>
      <c r="T53" s="292">
        <f>SUM('PER BULAN'!K87:M87)</f>
        <v>0</v>
      </c>
      <c r="U53" s="292">
        <f>SUM('PER BULAN'!N96:P96)</f>
        <v>31495000</v>
      </c>
      <c r="V53" s="292">
        <f>SUM('PER BULAN'!Q96:S96)</f>
        <v>0</v>
      </c>
      <c r="W53" s="292">
        <f>SUM('PER BULAN'!T96:V96)</f>
        <v>6600000</v>
      </c>
      <c r="X53" s="292">
        <f>SUM('PER BULAN'!W96:Y96)</f>
        <v>0</v>
      </c>
      <c r="Y53" s="292">
        <f>SUM('PER BULAN'!Z96:AB96)</f>
        <v>0</v>
      </c>
      <c r="Z53" s="292">
        <f>SUM('PER BULAN'!AC96:AE96)</f>
        <v>0</v>
      </c>
      <c r="AA53" s="292">
        <f>SUM('PER BULAN'!AF96:AH96)</f>
        <v>0</v>
      </c>
      <c r="AB53" s="292">
        <f>SUM('PER BULAN'!AI96:AK96)</f>
        <v>0</v>
      </c>
      <c r="AC53" s="292">
        <f>SUM('PER BULAN'!AL96:AN96)</f>
        <v>0</v>
      </c>
      <c r="AD53" s="292">
        <f>SUM('PER BULAN'!AO96:AQ96)</f>
        <v>0</v>
      </c>
      <c r="AE53" s="277" t="s">
        <v>530</v>
      </c>
      <c r="AF53" s="277" t="s">
        <v>576</v>
      </c>
      <c r="AG53" s="277" t="s">
        <v>560</v>
      </c>
      <c r="AH53" s="277" t="s">
        <v>4699</v>
      </c>
      <c r="AI53" s="277" t="s">
        <v>4700</v>
      </c>
      <c r="AJ53" s="277">
        <f t="shared" si="0"/>
        <v>38095000</v>
      </c>
      <c r="AK53" s="291">
        <f t="shared" si="1"/>
        <v>99.98687664041995</v>
      </c>
      <c r="AL53" s="277">
        <f t="shared" si="2"/>
        <v>5000</v>
      </c>
      <c r="AM53" s="291">
        <f t="shared" si="3"/>
        <v>1.3123359580052493E-2</v>
      </c>
      <c r="AN53" s="277" t="str">
        <f t="shared" si="4"/>
        <v>WA.2378.EBA.962.301.E.521211</v>
      </c>
      <c r="AO53" s="277" t="str">
        <f>IF(ISNUMBER(SEARCH("COVID",Table7[[#This Row],[Akun]])),"COVID","Non COVID")</f>
        <v>Non COVID</v>
      </c>
      <c r="AP5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3" s="292">
        <f>SUM('PER BULAN'!AY96)</f>
        <v>0</v>
      </c>
      <c r="AS53" s="292">
        <f>SUM('PER BULAN'!AZ96)</f>
        <v>31495000</v>
      </c>
      <c r="AT53" s="292">
        <f>SUM('PER BULAN'!BA96)</f>
        <v>0</v>
      </c>
      <c r="AU53" s="292">
        <f>SUM('PER BULAN'!BB96)</f>
        <v>0</v>
      </c>
      <c r="AV53" s="292">
        <f>SUM('PER BULAN'!BC96)</f>
        <v>0</v>
      </c>
      <c r="AW53" s="292">
        <f>SUM('PER BULAN'!BD96)</f>
        <v>0</v>
      </c>
      <c r="AX53" s="292">
        <f>SUM('PER BULAN'!BE96)</f>
        <v>6600000</v>
      </c>
      <c r="AY53" s="292">
        <f>SUM('PER BULAN'!BF96)</f>
        <v>0</v>
      </c>
    </row>
    <row r="54" spans="1:51" s="278" customFormat="1" x14ac:dyDescent="0.3">
      <c r="A54" s="277" t="s">
        <v>4693</v>
      </c>
      <c r="B54" s="277" t="s">
        <v>4694</v>
      </c>
      <c r="C54" s="277" t="s">
        <v>4720</v>
      </c>
      <c r="D54" s="277" t="s">
        <v>4721</v>
      </c>
      <c r="E54" s="277" t="s">
        <v>197</v>
      </c>
      <c r="F54" s="277" t="s">
        <v>4722</v>
      </c>
      <c r="G54" s="277" t="s">
        <v>4737</v>
      </c>
      <c r="H54" s="277" t="s">
        <v>4738</v>
      </c>
      <c r="I54" s="277">
        <v>962</v>
      </c>
      <c r="J54" s="277" t="s">
        <v>4743</v>
      </c>
      <c r="K54" s="277">
        <v>301</v>
      </c>
      <c r="L54" s="277" t="s">
        <v>4742</v>
      </c>
      <c r="M54" s="277" t="s">
        <v>519</v>
      </c>
      <c r="N54" s="277" t="s">
        <v>4745</v>
      </c>
      <c r="O54" s="277">
        <v>521241</v>
      </c>
      <c r="P54" s="277" t="s">
        <v>4746</v>
      </c>
      <c r="Q54" s="307" cm="1">
        <f t="array" ref="Q54">SUM(_xlfn._xlws.FILTER(#REF!,#REF!=SP2D!AN54,0))</f>
        <v>82534000</v>
      </c>
      <c r="R54" s="278">
        <v>226200000</v>
      </c>
      <c r="S54" s="292">
        <f>SUM('PER BULAN'!H97:J97)</f>
        <v>0</v>
      </c>
      <c r="T54" s="292">
        <f>SUM('PER BULAN'!K97:M97)</f>
        <v>0</v>
      </c>
      <c r="U54" s="292">
        <f>SUM('PER BULAN'!N97:P97)</f>
        <v>47132450</v>
      </c>
      <c r="V54" s="292">
        <f>SUM('PER BULAN'!Q97:S97)</f>
        <v>0</v>
      </c>
      <c r="W54" s="292">
        <f>SUM('PER BULAN'!T97:V97)</f>
        <v>20031830</v>
      </c>
      <c r="X54" s="292">
        <f>SUM('PER BULAN'!W97:Y97)</f>
        <v>0</v>
      </c>
      <c r="Y54" s="292">
        <f>SUM('PER BULAN'!Z97:AB97)</f>
        <v>0</v>
      </c>
      <c r="Z54" s="292">
        <f>SUM('PER BULAN'!AC97:AE97)</f>
        <v>0</v>
      </c>
      <c r="AA54" s="292">
        <f>SUM('PER BULAN'!AF97:AH97)</f>
        <v>0</v>
      </c>
      <c r="AB54" s="292">
        <f>SUM('PER BULAN'!AI97:AK97)</f>
        <v>0</v>
      </c>
      <c r="AC54" s="292">
        <f>SUM('PER BULAN'!AL97:AN97)</f>
        <v>0</v>
      </c>
      <c r="AD54" s="292">
        <f>SUM('PER BULAN'!AO97:AQ97)</f>
        <v>0</v>
      </c>
      <c r="AE54" s="277" t="s">
        <v>530</v>
      </c>
      <c r="AF54" s="277" t="s">
        <v>576</v>
      </c>
      <c r="AG54" s="277" t="s">
        <v>560</v>
      </c>
      <c r="AH54" s="277" t="s">
        <v>4699</v>
      </c>
      <c r="AI54" s="277" t="s">
        <v>4700</v>
      </c>
      <c r="AJ54" s="277">
        <f t="shared" si="0"/>
        <v>67164280</v>
      </c>
      <c r="AK54" s="291">
        <f t="shared" si="1"/>
        <v>81.377711003949884</v>
      </c>
      <c r="AL54" s="277">
        <f t="shared" si="2"/>
        <v>15369720</v>
      </c>
      <c r="AM54" s="291">
        <f t="shared" si="3"/>
        <v>18.622288996050113</v>
      </c>
      <c r="AN54" s="277" t="str">
        <f t="shared" si="4"/>
        <v>WA.2378.EBA.962.301.E.521241</v>
      </c>
      <c r="AO54" s="277" t="str">
        <f>IF(ISNUMBER(SEARCH("COVID",Table7[[#This Row],[Akun]])),"COVID","Non COVID")</f>
        <v>COVID</v>
      </c>
      <c r="AP5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5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4" s="292">
        <f>SUM('PER BULAN'!AY97)</f>
        <v>0</v>
      </c>
      <c r="AS54" s="292">
        <f>SUM('PER BULAN'!AZ97)</f>
        <v>35332450</v>
      </c>
      <c r="AT54" s="292">
        <f>SUM('PER BULAN'!BA97)</f>
        <v>11800000</v>
      </c>
      <c r="AU54" s="292">
        <f>SUM('PER BULAN'!BB97)</f>
        <v>0</v>
      </c>
      <c r="AV54" s="292">
        <f>SUM('PER BULAN'!BC97)</f>
        <v>0</v>
      </c>
      <c r="AW54" s="292">
        <f>SUM('PER BULAN'!BD97)</f>
        <v>0</v>
      </c>
      <c r="AX54" s="292">
        <f>SUM('PER BULAN'!BE97)</f>
        <v>20031830</v>
      </c>
      <c r="AY54" s="292">
        <f>SUM('PER BULAN'!BF97)</f>
        <v>0</v>
      </c>
    </row>
    <row r="55" spans="1:51" s="278" customFormat="1" hidden="1" x14ac:dyDescent="0.3">
      <c r="A55" s="277" t="s">
        <v>4693</v>
      </c>
      <c r="B55" s="277" t="s">
        <v>4694</v>
      </c>
      <c r="C55" s="277" t="s">
        <v>4720</v>
      </c>
      <c r="D55" s="277" t="s">
        <v>4721</v>
      </c>
      <c r="E55" s="277" t="s">
        <v>197</v>
      </c>
      <c r="F55" s="277" t="s">
        <v>4722</v>
      </c>
      <c r="G55" s="277" t="s">
        <v>4737</v>
      </c>
      <c r="H55" s="277" t="s">
        <v>4738</v>
      </c>
      <c r="I55" s="277">
        <v>962</v>
      </c>
      <c r="J55" s="277" t="s">
        <v>4743</v>
      </c>
      <c r="K55" s="277">
        <v>301</v>
      </c>
      <c r="L55" s="277" t="s">
        <v>4742</v>
      </c>
      <c r="M55" s="277" t="s">
        <v>519</v>
      </c>
      <c r="N55" s="277" t="s">
        <v>4745</v>
      </c>
      <c r="O55" s="277">
        <v>522191</v>
      </c>
      <c r="P55" s="277" t="s">
        <v>4791</v>
      </c>
      <c r="Q55" s="307" cm="1">
        <f t="array" ref="Q55">SUM(_xlfn._xlws.FILTER(#REF!,#REF!=SP2D!AN55,0))</f>
        <v>1606000</v>
      </c>
      <c r="R55" s="278">
        <v>35000000</v>
      </c>
      <c r="S55" s="292">
        <f>SUM('PER BULAN'!H98:J98)</f>
        <v>0</v>
      </c>
      <c r="T55" s="292">
        <f>SUM('PER BULAN'!K98:M98)</f>
        <v>0</v>
      </c>
      <c r="U55" s="292">
        <f>SUM('PER BULAN'!N98:P98)</f>
        <v>0</v>
      </c>
      <c r="V55" s="292">
        <f>SUM('PER BULAN'!Q98:S98)</f>
        <v>0</v>
      </c>
      <c r="W55" s="292">
        <f>SUM('PER BULAN'!T98:V98)</f>
        <v>0</v>
      </c>
      <c r="X55" s="292">
        <f>SUM('PER BULAN'!W98:Y98)</f>
        <v>0</v>
      </c>
      <c r="Y55" s="292">
        <f>SUM('PER BULAN'!Z98:AB98)</f>
        <v>0</v>
      </c>
      <c r="Z55" s="292">
        <f>SUM('PER BULAN'!AC98:AE98)</f>
        <v>0</v>
      </c>
      <c r="AA55" s="292">
        <f>SUM('PER BULAN'!AF98:AH98)</f>
        <v>0</v>
      </c>
      <c r="AB55" s="292">
        <f>SUM('PER BULAN'!AI98:AK98)</f>
        <v>0</v>
      </c>
      <c r="AC55" s="292">
        <f>SUM('PER BULAN'!AL98:AN98)</f>
        <v>0</v>
      </c>
      <c r="AD55" s="292">
        <f>SUM('PER BULAN'!AO98:AQ98)</f>
        <v>0</v>
      </c>
      <c r="AE55" s="277" t="s">
        <v>530</v>
      </c>
      <c r="AF55" s="277" t="s">
        <v>576</v>
      </c>
      <c r="AG55" s="277" t="s">
        <v>560</v>
      </c>
      <c r="AH55" s="277">
        <v>52</v>
      </c>
      <c r="AI55" s="277" t="s">
        <v>4700</v>
      </c>
      <c r="AJ55" s="277">
        <f t="shared" ref="AJ55" si="5">SUM(S55:AD55)</f>
        <v>0</v>
      </c>
      <c r="AK55" s="291">
        <f t="shared" si="1"/>
        <v>0</v>
      </c>
      <c r="AL55" s="277">
        <f t="shared" ref="AL55" si="6">Q55-AJ55</f>
        <v>1606000</v>
      </c>
      <c r="AM55" s="291">
        <f t="shared" si="3"/>
        <v>100</v>
      </c>
      <c r="AN55" s="277" t="str">
        <f t="shared" si="4"/>
        <v>WA.2378.EBA.962.301.E.522191</v>
      </c>
      <c r="AO55" s="277" t="str">
        <f>IF(ISNUMBER(SEARCH("COVID",Table7[[#This Row],[Akun]])),"COVID","Non COVID")</f>
        <v>Non COVID</v>
      </c>
      <c r="AP5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5" s="292"/>
      <c r="AS55" s="292"/>
      <c r="AT55" s="292"/>
      <c r="AU55" s="292"/>
      <c r="AV55" s="292"/>
      <c r="AW55" s="292"/>
      <c r="AX55" s="292"/>
      <c r="AY55" s="292"/>
    </row>
    <row r="56" spans="1:51" s="278" customFormat="1" x14ac:dyDescent="0.3">
      <c r="A56" s="277" t="s">
        <v>4693</v>
      </c>
      <c r="B56" s="277" t="s">
        <v>4694</v>
      </c>
      <c r="C56" s="277" t="s">
        <v>4720</v>
      </c>
      <c r="D56" s="277" t="s">
        <v>4721</v>
      </c>
      <c r="E56" s="277" t="s">
        <v>197</v>
      </c>
      <c r="F56" s="277" t="s">
        <v>4722</v>
      </c>
      <c r="G56" s="277" t="s">
        <v>4737</v>
      </c>
      <c r="H56" s="277" t="s">
        <v>4738</v>
      </c>
      <c r="I56" s="277">
        <v>962</v>
      </c>
      <c r="J56" s="277" t="s">
        <v>4743</v>
      </c>
      <c r="K56" s="277">
        <v>301</v>
      </c>
      <c r="L56" s="277" t="s">
        <v>4742</v>
      </c>
      <c r="M56" s="277" t="s">
        <v>519</v>
      </c>
      <c r="N56" s="277" t="s">
        <v>4745</v>
      </c>
      <c r="O56" s="277" t="s">
        <v>518</v>
      </c>
      <c r="P56" s="277" t="s">
        <v>4703</v>
      </c>
      <c r="Q56" s="307" cm="1">
        <f t="array" ref="Q56">SUM(_xlfn._xlws.FILTER(#REF!,#REF!=SP2D!AN56,0))</f>
        <v>4246000</v>
      </c>
      <c r="R56" s="278">
        <v>48000000</v>
      </c>
      <c r="S56" s="292">
        <f>SUM('PER BULAN'!H99:J99)</f>
        <v>0</v>
      </c>
      <c r="T56" s="292">
        <f>SUM('PER BULAN'!K89:M89)</f>
        <v>0</v>
      </c>
      <c r="U56" s="292">
        <f>SUM('PER BULAN'!N99:P99)</f>
        <v>802000</v>
      </c>
      <c r="V56" s="292">
        <f>SUM('PER BULAN'!Q99:S99)</f>
        <v>3229000</v>
      </c>
      <c r="W56" s="292">
        <f>SUM('PER BULAN'!T99:V99)</f>
        <v>215000</v>
      </c>
      <c r="X56" s="292">
        <f>SUM('PER BULAN'!W99:Y99)</f>
        <v>0</v>
      </c>
      <c r="Y56" s="292">
        <f>SUM('PER BULAN'!Z99:AB99)</f>
        <v>0</v>
      </c>
      <c r="Z56" s="292">
        <f>SUM('PER BULAN'!AC99:AE99)</f>
        <v>0</v>
      </c>
      <c r="AA56" s="292">
        <f>SUM('PER BULAN'!AF99:AH99)</f>
        <v>0</v>
      </c>
      <c r="AB56" s="292">
        <f>SUM('PER BULAN'!AI99:AK99)</f>
        <v>0</v>
      </c>
      <c r="AC56" s="292">
        <f>SUM('PER BULAN'!AL99:AN99)</f>
        <v>0</v>
      </c>
      <c r="AD56" s="292">
        <f>SUM('PER BULAN'!AO99:AQ99)</f>
        <v>0</v>
      </c>
      <c r="AE56" s="277" t="s">
        <v>530</v>
      </c>
      <c r="AF56" s="277" t="s">
        <v>576</v>
      </c>
      <c r="AG56" s="277" t="s">
        <v>560</v>
      </c>
      <c r="AH56" s="277" t="s">
        <v>4699</v>
      </c>
      <c r="AI56" s="277" t="s">
        <v>4700</v>
      </c>
      <c r="AJ56" s="277">
        <f t="shared" si="0"/>
        <v>4246000</v>
      </c>
      <c r="AK56" s="291">
        <f t="shared" si="1"/>
        <v>100</v>
      </c>
      <c r="AL56" s="277">
        <f t="shared" si="2"/>
        <v>0</v>
      </c>
      <c r="AM56" s="291">
        <f t="shared" si="3"/>
        <v>0</v>
      </c>
      <c r="AN56" s="277" t="str">
        <f t="shared" si="4"/>
        <v>WA.2378.EBA.962.301.E.522192</v>
      </c>
      <c r="AO56" s="277" t="str">
        <f>IF(ISNUMBER(SEARCH("COVID",Table7[[#This Row],[Akun]])),"COVID","Non COVID")</f>
        <v>COVID</v>
      </c>
      <c r="AP5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6" s="292">
        <f>SUM('PER BULAN'!AY99)</f>
        <v>0</v>
      </c>
      <c r="AS56" s="292">
        <f>SUM('PER BULAN'!AZ99)</f>
        <v>802000</v>
      </c>
      <c r="AT56" s="292">
        <f>SUM('PER BULAN'!BA99)</f>
        <v>0</v>
      </c>
      <c r="AU56" s="292">
        <f>SUM('PER BULAN'!BB99)</f>
        <v>3229000</v>
      </c>
      <c r="AV56" s="292">
        <f>SUM('PER BULAN'!BC99)</f>
        <v>0</v>
      </c>
      <c r="AW56" s="292">
        <f>SUM('PER BULAN'!BD99)</f>
        <v>0</v>
      </c>
      <c r="AX56" s="292">
        <f>SUM('PER BULAN'!BE99)</f>
        <v>215000</v>
      </c>
      <c r="AY56" s="292">
        <f>SUM('PER BULAN'!BF99)</f>
        <v>0</v>
      </c>
    </row>
    <row r="57" spans="1:51" s="278" customFormat="1" hidden="1" x14ac:dyDescent="0.3">
      <c r="A57" s="277" t="s">
        <v>4693</v>
      </c>
      <c r="B57" s="277" t="s">
        <v>4694</v>
      </c>
      <c r="C57" s="277" t="s">
        <v>4720</v>
      </c>
      <c r="D57" s="277" t="s">
        <v>4721</v>
      </c>
      <c r="E57" s="277" t="s">
        <v>197</v>
      </c>
      <c r="F57" s="277" t="s">
        <v>4722</v>
      </c>
      <c r="G57" s="277" t="s">
        <v>4737</v>
      </c>
      <c r="H57" s="277" t="s">
        <v>4738</v>
      </c>
      <c r="I57" s="277">
        <v>962</v>
      </c>
      <c r="J57" s="277" t="s">
        <v>4743</v>
      </c>
      <c r="K57" s="277">
        <v>301</v>
      </c>
      <c r="L57" s="277" t="s">
        <v>4742</v>
      </c>
      <c r="M57" s="277" t="s">
        <v>519</v>
      </c>
      <c r="N57" s="277" t="s">
        <v>4745</v>
      </c>
      <c r="O57" s="277" t="s">
        <v>513</v>
      </c>
      <c r="P57" s="277" t="s">
        <v>4702</v>
      </c>
      <c r="Q57" s="307" cm="1">
        <f t="array" ref="Q57">SUM(_xlfn._xlws.FILTER(#REF!,#REF!=SP2D!AN57,0))</f>
        <v>21851000</v>
      </c>
      <c r="R57" s="278">
        <v>42772000</v>
      </c>
      <c r="S57" s="292">
        <f>SUM('PER BULAN'!H101:J101)</f>
        <v>0</v>
      </c>
      <c r="T57" s="292">
        <f>SUM('PER BULAN'!K100:M100)</f>
        <v>0</v>
      </c>
      <c r="U57" s="292">
        <f>SUM('PER BULAN'!N100:P100)</f>
        <v>8250000</v>
      </c>
      <c r="V57" s="292">
        <f>SUM('PER BULAN'!Q100:S100)</f>
        <v>3712700</v>
      </c>
      <c r="W57" s="292">
        <f>SUM('PER BULAN'!T100:V100)</f>
        <v>9888000</v>
      </c>
      <c r="X57" s="292">
        <f>SUM('PER BULAN'!W100:Y100)</f>
        <v>0</v>
      </c>
      <c r="Y57" s="292">
        <f>SUM('PER BULAN'!Z100:AB100)</f>
        <v>0</v>
      </c>
      <c r="Z57" s="292">
        <f>SUM('PER BULAN'!AC100:AE100)</f>
        <v>0</v>
      </c>
      <c r="AA57" s="292">
        <f>SUM('PER BULAN'!AF100:AH100)</f>
        <v>0</v>
      </c>
      <c r="AB57" s="292">
        <f>SUM('PER BULAN'!AI100:AK100)</f>
        <v>0</v>
      </c>
      <c r="AC57" s="292">
        <f>SUM('PER BULAN'!AL100:AN100)</f>
        <v>0</v>
      </c>
      <c r="AD57" s="292">
        <f>SUM('PER BULAN'!AO100:AQ100)</f>
        <v>0</v>
      </c>
      <c r="AE57" s="277" t="s">
        <v>530</v>
      </c>
      <c r="AF57" s="277" t="s">
        <v>576</v>
      </c>
      <c r="AG57" s="277" t="s">
        <v>560</v>
      </c>
      <c r="AH57" s="277" t="s">
        <v>4699</v>
      </c>
      <c r="AI57" s="277" t="s">
        <v>4700</v>
      </c>
      <c r="AJ57" s="277">
        <f t="shared" si="0"/>
        <v>21850700</v>
      </c>
      <c r="AK57" s="291">
        <f t="shared" si="1"/>
        <v>99.998627065122875</v>
      </c>
      <c r="AL57" s="277">
        <f t="shared" si="2"/>
        <v>300</v>
      </c>
      <c r="AM57" s="291">
        <f t="shared" si="3"/>
        <v>1.3729348771223285E-3</v>
      </c>
      <c r="AN57" s="277" t="str">
        <f t="shared" si="4"/>
        <v>WA.2378.EBA.962.301.E.524111</v>
      </c>
      <c r="AO57" s="277" t="str">
        <f>IF(ISNUMBER(SEARCH("COVID",Table7[[#This Row],[Akun]])),"COVID","Non COVID")</f>
        <v>Non COVID</v>
      </c>
      <c r="AP5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5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7" s="292">
        <f>SUM('PER BULAN'!AY100)</f>
        <v>1560000</v>
      </c>
      <c r="AS57" s="292">
        <f>SUM('PER BULAN'!AZ100)</f>
        <v>6690000</v>
      </c>
      <c r="AT57" s="292">
        <f>SUM('PER BULAN'!BA100)</f>
        <v>0</v>
      </c>
      <c r="AU57" s="292">
        <f>SUM('PER BULAN'!BB100)</f>
        <v>0</v>
      </c>
      <c r="AV57" s="292">
        <f>SUM('PER BULAN'!BC100)</f>
        <v>1860000</v>
      </c>
      <c r="AW57" s="292">
        <f>SUM('PER BULAN'!BD100)</f>
        <v>3748000</v>
      </c>
      <c r="AX57" s="292">
        <f>SUM('PER BULAN'!BE100)</f>
        <v>4280000</v>
      </c>
      <c r="AY57" s="292">
        <f>SUM('PER BULAN'!BF100)</f>
        <v>0</v>
      </c>
    </row>
    <row r="58" spans="1:51" s="278" customFormat="1" hidden="1" x14ac:dyDescent="0.3">
      <c r="A58" s="277" t="s">
        <v>4693</v>
      </c>
      <c r="B58" s="277" t="s">
        <v>4694</v>
      </c>
      <c r="C58" s="277" t="s">
        <v>4720</v>
      </c>
      <c r="D58" s="277" t="s">
        <v>4721</v>
      </c>
      <c r="E58" s="277" t="s">
        <v>197</v>
      </c>
      <c r="F58" s="277" t="s">
        <v>4722</v>
      </c>
      <c r="G58" s="277" t="s">
        <v>4737</v>
      </c>
      <c r="H58" s="277" t="s">
        <v>4738</v>
      </c>
      <c r="I58" s="277">
        <v>962</v>
      </c>
      <c r="J58" s="277" t="s">
        <v>4743</v>
      </c>
      <c r="K58" s="277">
        <v>301</v>
      </c>
      <c r="L58" s="277" t="s">
        <v>4742</v>
      </c>
      <c r="M58" s="277" t="s">
        <v>519</v>
      </c>
      <c r="N58" s="277" t="s">
        <v>4745</v>
      </c>
      <c r="O58" s="277" t="s">
        <v>507</v>
      </c>
      <c r="P58" s="277" t="s">
        <v>508</v>
      </c>
      <c r="Q58" s="307" cm="1">
        <f t="array" ref="Q58">SUM(_xlfn._xlws.FILTER(#REF!,#REF!=SP2D!AN58,0))</f>
        <v>0</v>
      </c>
      <c r="R58" s="278">
        <v>2100000</v>
      </c>
      <c r="S58" s="292">
        <f>SUM('PER BULAN'!H102:J102)</f>
        <v>0</v>
      </c>
      <c r="T58" s="292">
        <f>SUM('PER BULAN'!K102:M102)</f>
        <v>0</v>
      </c>
      <c r="U58" s="292">
        <f>SUM('PER BULAN'!N101:P101)</f>
        <v>0</v>
      </c>
      <c r="V58" s="292">
        <f>SUM('PER BULAN'!Q101:S101)</f>
        <v>0</v>
      </c>
      <c r="W58" s="292">
        <f>SUM('PER BULAN'!T101:V101)</f>
        <v>0</v>
      </c>
      <c r="X58" s="292">
        <f>SUM('PER BULAN'!W101:Y101)</f>
        <v>0</v>
      </c>
      <c r="Y58" s="292">
        <f>SUM('PER BULAN'!Z101:AB101)</f>
        <v>0</v>
      </c>
      <c r="Z58" s="292">
        <f>SUM('PER BULAN'!AC101:AE101)</f>
        <v>0</v>
      </c>
      <c r="AA58" s="292">
        <f>SUM('PER BULAN'!AF101:AH101)</f>
        <v>0</v>
      </c>
      <c r="AB58" s="292">
        <f>SUM('PER BULAN'!AI101:AK101)</f>
        <v>0</v>
      </c>
      <c r="AC58" s="292">
        <f>SUM('PER BULAN'!AL101:AN101)</f>
        <v>0</v>
      </c>
      <c r="AD58" s="292">
        <f>SUM('PER BULAN'!AO101:AQ101)</f>
        <v>0</v>
      </c>
      <c r="AE58" s="277" t="s">
        <v>530</v>
      </c>
      <c r="AF58" s="277" t="s">
        <v>576</v>
      </c>
      <c r="AG58" s="277" t="s">
        <v>560</v>
      </c>
      <c r="AH58" s="277" t="s">
        <v>4699</v>
      </c>
      <c r="AI58" s="277" t="s">
        <v>4700</v>
      </c>
      <c r="AJ58" s="277">
        <f t="shared" si="0"/>
        <v>0</v>
      </c>
      <c r="AK58" s="291">
        <f t="shared" si="1"/>
        <v>0</v>
      </c>
      <c r="AL58" s="277">
        <f t="shared" si="2"/>
        <v>0</v>
      </c>
      <c r="AM58" s="291">
        <f t="shared" si="3"/>
        <v>0</v>
      </c>
      <c r="AN58" s="277" t="str">
        <f t="shared" si="4"/>
        <v>WA.2378.EBA.962.301.E.524113</v>
      </c>
      <c r="AO58" s="277" t="str">
        <f>IF(ISNUMBER(SEARCH("COVID",Table7[[#This Row],[Akun]])),"COVID","Non COVID")</f>
        <v>Non COVID</v>
      </c>
      <c r="AP5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5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8" s="292">
        <f>SUM('PER BULAN'!AY101)</f>
        <v>0</v>
      </c>
      <c r="AS58" s="292">
        <f>SUM('PER BULAN'!AZ101)</f>
        <v>0</v>
      </c>
      <c r="AT58" s="292">
        <f>SUM('PER BULAN'!BA101)</f>
        <v>0</v>
      </c>
      <c r="AU58" s="292">
        <f>SUM('PER BULAN'!BB101)</f>
        <v>0</v>
      </c>
      <c r="AV58" s="292">
        <f>SUM('PER BULAN'!BC101)</f>
        <v>0</v>
      </c>
      <c r="AW58" s="292">
        <f>SUM('PER BULAN'!BD101)</f>
        <v>0</v>
      </c>
      <c r="AX58" s="292">
        <f>SUM('PER BULAN'!BE101)</f>
        <v>0</v>
      </c>
      <c r="AY58" s="292">
        <f>SUM('PER BULAN'!BF101)</f>
        <v>0</v>
      </c>
    </row>
    <row r="59" spans="1:51" s="278" customFormat="1" hidden="1" x14ac:dyDescent="0.3">
      <c r="A59" s="277" t="s">
        <v>4693</v>
      </c>
      <c r="B59" s="277" t="s">
        <v>4694</v>
      </c>
      <c r="C59" s="277" t="s">
        <v>4720</v>
      </c>
      <c r="D59" s="277" t="s">
        <v>4721</v>
      </c>
      <c r="E59" s="277" t="s">
        <v>197</v>
      </c>
      <c r="F59" s="277" t="s">
        <v>4722</v>
      </c>
      <c r="G59" s="277" t="s">
        <v>4737</v>
      </c>
      <c r="H59" s="277" t="s">
        <v>4738</v>
      </c>
      <c r="I59" s="277">
        <v>962</v>
      </c>
      <c r="J59" s="277" t="s">
        <v>4743</v>
      </c>
      <c r="K59" s="277">
        <v>301</v>
      </c>
      <c r="L59" s="277" t="s">
        <v>4742</v>
      </c>
      <c r="M59" s="277" t="s">
        <v>578</v>
      </c>
      <c r="N59" s="277" t="s">
        <v>4747</v>
      </c>
      <c r="O59" s="277">
        <v>521211</v>
      </c>
      <c r="P59" s="277" t="s">
        <v>4698</v>
      </c>
      <c r="Q59" s="307" cm="1">
        <f t="array" ref="Q59">SUM(_xlfn._xlws.FILTER(#REF!,#REF!=SP2D!AN59,0))</f>
        <v>4000000</v>
      </c>
      <c r="R59" s="278">
        <v>32000000</v>
      </c>
      <c r="S59" s="292">
        <f>SUM('PER BULAN'!H103:J103)</f>
        <v>0</v>
      </c>
      <c r="T59" s="292">
        <f>SUM('PER BULAN'!K103:M103)</f>
        <v>0</v>
      </c>
      <c r="U59" s="292">
        <f>SUM('PER BULAN'!N103:P103)</f>
        <v>3999200</v>
      </c>
      <c r="V59" s="292">
        <f>SUM('PER BULAN'!Q103:S103)</f>
        <v>0</v>
      </c>
      <c r="W59" s="292">
        <f>SUM('PER BULAN'!T103:V103)</f>
        <v>0</v>
      </c>
      <c r="X59" s="292">
        <f>SUM('PER BULAN'!W103:Y103)</f>
        <v>0</v>
      </c>
      <c r="Y59" s="292">
        <f>SUM('PER BULAN'!Z103:AB103)</f>
        <v>0</v>
      </c>
      <c r="Z59" s="292">
        <f>SUM('PER BULAN'!AC103:AE103)</f>
        <v>0</v>
      </c>
      <c r="AA59" s="292">
        <f>SUM('PER BULAN'!AF103:AH103)</f>
        <v>0</v>
      </c>
      <c r="AB59" s="292">
        <f>SUM('PER BULAN'!AI103:AK103)</f>
        <v>0</v>
      </c>
      <c r="AC59" s="292">
        <f>SUM('PER BULAN'!AL103:AN103)</f>
        <v>0</v>
      </c>
      <c r="AD59" s="292">
        <f>SUM('PER BULAN'!AO103:AQ103)</f>
        <v>0</v>
      </c>
      <c r="AE59" s="277" t="s">
        <v>530</v>
      </c>
      <c r="AF59" s="277" t="s">
        <v>535</v>
      </c>
      <c r="AG59" s="277" t="s">
        <v>538</v>
      </c>
      <c r="AH59" s="277" t="s">
        <v>4699</v>
      </c>
      <c r="AI59" s="277" t="s">
        <v>4700</v>
      </c>
      <c r="AJ59" s="277">
        <f t="shared" si="0"/>
        <v>3999200</v>
      </c>
      <c r="AK59" s="291">
        <f t="shared" si="1"/>
        <v>99.98</v>
      </c>
      <c r="AL59" s="277">
        <f t="shared" si="2"/>
        <v>800</v>
      </c>
      <c r="AM59" s="291">
        <f t="shared" si="3"/>
        <v>0.02</v>
      </c>
      <c r="AN59" s="277" t="str">
        <f t="shared" si="4"/>
        <v>WA.2378.EBA.962.301.F.521211</v>
      </c>
      <c r="AO59" s="277" t="str">
        <f>IF(ISNUMBER(SEARCH("COVID",Table7[[#This Row],[Akun]])),"COVID","Non COVID")</f>
        <v>Non COVID</v>
      </c>
      <c r="AP5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9" s="292">
        <f>SUM('PER BULAN'!AY103)</f>
        <v>0</v>
      </c>
      <c r="AS59" s="292">
        <f>SUM('PER BULAN'!AZ103)</f>
        <v>2499500</v>
      </c>
      <c r="AT59" s="292">
        <f>SUM('PER BULAN'!BA103)</f>
        <v>1499700</v>
      </c>
      <c r="AU59" s="292">
        <f>SUM('PER BULAN'!BB103)</f>
        <v>0</v>
      </c>
      <c r="AV59" s="292">
        <f>SUM('PER BULAN'!BC103)</f>
        <v>0</v>
      </c>
      <c r="AW59" s="292">
        <f>SUM('PER BULAN'!BD103)</f>
        <v>0</v>
      </c>
      <c r="AX59" s="292">
        <f>SUM('PER BULAN'!BE103)</f>
        <v>0</v>
      </c>
      <c r="AY59" s="292">
        <f>SUM('PER BULAN'!BF103)</f>
        <v>0</v>
      </c>
    </row>
    <row r="60" spans="1:51" s="278" customFormat="1" hidden="1" x14ac:dyDescent="0.3">
      <c r="A60" s="277" t="s">
        <v>4693</v>
      </c>
      <c r="B60" s="277" t="s">
        <v>4694</v>
      </c>
      <c r="C60" s="277" t="s">
        <v>4720</v>
      </c>
      <c r="D60" s="277" t="s">
        <v>4721</v>
      </c>
      <c r="E60" s="277" t="s">
        <v>197</v>
      </c>
      <c r="F60" s="277" t="s">
        <v>4722</v>
      </c>
      <c r="G60" s="277" t="s">
        <v>4737</v>
      </c>
      <c r="H60" s="277" t="s">
        <v>4738</v>
      </c>
      <c r="I60" s="277">
        <v>962</v>
      </c>
      <c r="J60" s="277" t="s">
        <v>4743</v>
      </c>
      <c r="K60" s="277">
        <v>301</v>
      </c>
      <c r="L60" s="277" t="s">
        <v>4742</v>
      </c>
      <c r="M60" s="277" t="s">
        <v>578</v>
      </c>
      <c r="N60" s="277" t="s">
        <v>4747</v>
      </c>
      <c r="O60" s="277">
        <v>521219</v>
      </c>
      <c r="P60" s="277" t="s">
        <v>4711</v>
      </c>
      <c r="Q60" s="307" cm="1">
        <f t="array" ref="Q60">SUM(_xlfn._xlws.FILTER(#REF!,#REF!=SP2D!AN60,0))</f>
        <v>4298000</v>
      </c>
      <c r="R60" s="278">
        <v>298141000</v>
      </c>
      <c r="S60" s="292">
        <f>SUM('PER BULAN'!H104:J104)</f>
        <v>0</v>
      </c>
      <c r="T60" s="292">
        <f>SUM('PER BULAN'!K104:M104)</f>
        <v>0</v>
      </c>
      <c r="U60" s="292">
        <f>SUM('PER BULAN'!N104:P104)</f>
        <v>694240</v>
      </c>
      <c r="V60" s="292">
        <f>SUM('PER BULAN'!Q104:S104)</f>
        <v>0</v>
      </c>
      <c r="W60" s="292">
        <f>SUM('PER BULAN'!T104:V104)</f>
        <v>3603218</v>
      </c>
      <c r="X60" s="292">
        <f>SUM('PER BULAN'!W104:Y104)</f>
        <v>0</v>
      </c>
      <c r="Y60" s="292">
        <f>SUM('PER BULAN'!Z104:AB104)</f>
        <v>0</v>
      </c>
      <c r="Z60" s="292">
        <f>SUM('PER BULAN'!AC104:AE104)</f>
        <v>0</v>
      </c>
      <c r="AA60" s="292">
        <f>SUM('PER BULAN'!AF104:AH104)</f>
        <v>0</v>
      </c>
      <c r="AB60" s="292">
        <f>SUM('PER BULAN'!AI104:AK104)</f>
        <v>0</v>
      </c>
      <c r="AC60" s="292">
        <f>SUM('PER BULAN'!AL104:AN104)</f>
        <v>0</v>
      </c>
      <c r="AD60" s="292">
        <f>SUM('PER BULAN'!AO104:AQ104)</f>
        <v>0</v>
      </c>
      <c r="AE60" s="277" t="s">
        <v>530</v>
      </c>
      <c r="AF60" s="277" t="s">
        <v>535</v>
      </c>
      <c r="AG60" s="277" t="s">
        <v>538</v>
      </c>
      <c r="AH60" s="277" t="s">
        <v>4699</v>
      </c>
      <c r="AI60" s="277" t="s">
        <v>4700</v>
      </c>
      <c r="AJ60" s="277">
        <f t="shared" si="0"/>
        <v>4297458</v>
      </c>
      <c r="AK60" s="291">
        <f t="shared" si="1"/>
        <v>99.987389483480698</v>
      </c>
      <c r="AL60" s="277">
        <f t="shared" si="2"/>
        <v>542</v>
      </c>
      <c r="AM60" s="291">
        <f t="shared" si="3"/>
        <v>1.2610516519311306E-2</v>
      </c>
      <c r="AN60" s="277" t="str">
        <f t="shared" si="4"/>
        <v>WA.2378.EBA.962.301.F.521219</v>
      </c>
      <c r="AO60" s="277" t="str">
        <f>IF(ISNUMBER(SEARCH("COVID",Table7[[#This Row],[Akun]])),"COVID","Non COVID")</f>
        <v>Non COVID</v>
      </c>
      <c r="AP6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0" s="292">
        <f>SUM('PER BULAN'!AY104)</f>
        <v>0</v>
      </c>
      <c r="AS60" s="292">
        <f>SUM('PER BULAN'!AZ104)</f>
        <v>450000</v>
      </c>
      <c r="AT60" s="292">
        <f>SUM('PER BULAN'!BA104)</f>
        <v>244240</v>
      </c>
      <c r="AU60" s="292">
        <f>SUM('PER BULAN'!BB104)</f>
        <v>0</v>
      </c>
      <c r="AV60" s="292">
        <f>SUM('PER BULAN'!BC104)</f>
        <v>3351204</v>
      </c>
      <c r="AW60" s="292">
        <f>SUM('PER BULAN'!BD104)</f>
        <v>252014</v>
      </c>
      <c r="AX60" s="292">
        <f>SUM('PER BULAN'!BE104)</f>
        <v>0</v>
      </c>
      <c r="AY60" s="292">
        <f>SUM('PER BULAN'!BF104)</f>
        <v>0</v>
      </c>
    </row>
    <row r="61" spans="1:51" s="278" customFormat="1" hidden="1" x14ac:dyDescent="0.3">
      <c r="A61" s="277" t="s">
        <v>4693</v>
      </c>
      <c r="B61" s="277" t="s">
        <v>4694</v>
      </c>
      <c r="C61" s="277" t="s">
        <v>4720</v>
      </c>
      <c r="D61" s="277" t="s">
        <v>4721</v>
      </c>
      <c r="E61" s="277" t="s">
        <v>197</v>
      </c>
      <c r="F61" s="277" t="s">
        <v>4722</v>
      </c>
      <c r="G61" s="277" t="s">
        <v>4737</v>
      </c>
      <c r="H61" s="277" t="s">
        <v>4738</v>
      </c>
      <c r="I61" s="277">
        <v>962</v>
      </c>
      <c r="J61" s="277" t="s">
        <v>4743</v>
      </c>
      <c r="K61" s="277">
        <v>301</v>
      </c>
      <c r="L61" s="277" t="s">
        <v>4742</v>
      </c>
      <c r="M61" s="277" t="s">
        <v>578</v>
      </c>
      <c r="N61" s="277" t="s">
        <v>4747</v>
      </c>
      <c r="O61" s="277">
        <v>522151</v>
      </c>
      <c r="P61" s="277" t="s">
        <v>4701</v>
      </c>
      <c r="Q61" s="307" cm="1">
        <f t="array" ref="Q61">SUM(_xlfn._xlws.FILTER(#REF!,#REF!=SP2D!AN61,0))</f>
        <v>0</v>
      </c>
      <c r="R61" s="278">
        <v>30000000</v>
      </c>
      <c r="S61" s="292">
        <f>SUM('PER BULAN'!H105:J105)</f>
        <v>0</v>
      </c>
      <c r="T61" s="292">
        <f>SUM('PER BULAN'!K105:M105)</f>
        <v>0</v>
      </c>
      <c r="U61" s="292">
        <f>SUM('PER BULAN'!N105:P105)</f>
        <v>0</v>
      </c>
      <c r="V61" s="292">
        <f>SUM('PER BULAN'!Q105:S105)</f>
        <v>0</v>
      </c>
      <c r="W61" s="292">
        <f>SUM('PER BULAN'!T105:V105)</f>
        <v>0</v>
      </c>
      <c r="X61" s="292">
        <f>SUM('PER BULAN'!W105:Y105)</f>
        <v>0</v>
      </c>
      <c r="Y61" s="292">
        <f>SUM('PER BULAN'!Z105:AB105)</f>
        <v>0</v>
      </c>
      <c r="Z61" s="292">
        <f>SUM('PER BULAN'!AC105:AE105)</f>
        <v>0</v>
      </c>
      <c r="AA61" s="292">
        <f>SUM('PER BULAN'!AF105:AH105)</f>
        <v>0</v>
      </c>
      <c r="AB61" s="292">
        <f>SUM('PER BULAN'!AI105:AK105)</f>
        <v>0</v>
      </c>
      <c r="AC61" s="292">
        <f>SUM('PER BULAN'!AL105:AN105)</f>
        <v>0</v>
      </c>
      <c r="AD61" s="292">
        <f>SUM('PER BULAN'!AO105:AQ105)</f>
        <v>0</v>
      </c>
      <c r="AE61" s="277" t="s">
        <v>530</v>
      </c>
      <c r="AF61" s="277" t="s">
        <v>535</v>
      </c>
      <c r="AG61" s="277" t="s">
        <v>538</v>
      </c>
      <c r="AH61" s="277" t="s">
        <v>4699</v>
      </c>
      <c r="AI61" s="277" t="s">
        <v>4700</v>
      </c>
      <c r="AJ61" s="277">
        <f t="shared" si="0"/>
        <v>0</v>
      </c>
      <c r="AK61" s="291">
        <f t="shared" si="1"/>
        <v>0</v>
      </c>
      <c r="AL61" s="277">
        <f t="shared" si="2"/>
        <v>0</v>
      </c>
      <c r="AM61" s="291">
        <f t="shared" si="3"/>
        <v>0</v>
      </c>
      <c r="AN61" s="277" t="str">
        <f t="shared" si="4"/>
        <v>WA.2378.EBA.962.301.F.522151</v>
      </c>
      <c r="AO61" s="277" t="str">
        <f>IF(ISNUMBER(SEARCH("COVID",Table7[[#This Row],[Akun]])),"COVID","Non COVID")</f>
        <v>Non COVID</v>
      </c>
      <c r="AP6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1" s="292">
        <f>SUM('PER BULAN'!AY105)</f>
        <v>0</v>
      </c>
      <c r="AS61" s="292">
        <f>SUM('PER BULAN'!AZ105)</f>
        <v>0</v>
      </c>
      <c r="AT61" s="292">
        <f>SUM('PER BULAN'!BA105)</f>
        <v>0</v>
      </c>
      <c r="AU61" s="292">
        <f>SUM('PER BULAN'!BB105)</f>
        <v>0</v>
      </c>
      <c r="AV61" s="292">
        <f>SUM('PER BULAN'!BC105)</f>
        <v>0</v>
      </c>
      <c r="AW61" s="292">
        <f>SUM('PER BULAN'!BD105)</f>
        <v>0</v>
      </c>
      <c r="AX61" s="292">
        <f>SUM('PER BULAN'!BE105)</f>
        <v>0</v>
      </c>
      <c r="AY61" s="292">
        <f>SUM('PER BULAN'!BF105)</f>
        <v>0</v>
      </c>
    </row>
    <row r="62" spans="1:51" s="278" customFormat="1" x14ac:dyDescent="0.3">
      <c r="A62" s="277" t="s">
        <v>4693</v>
      </c>
      <c r="B62" s="277" t="s">
        <v>4694</v>
      </c>
      <c r="C62" s="277" t="s">
        <v>4720</v>
      </c>
      <c r="D62" s="277" t="s">
        <v>4721</v>
      </c>
      <c r="E62" s="277" t="s">
        <v>197</v>
      </c>
      <c r="F62" s="277" t="s">
        <v>4722</v>
      </c>
      <c r="G62" s="277" t="s">
        <v>4737</v>
      </c>
      <c r="H62" s="277" t="s">
        <v>4738</v>
      </c>
      <c r="I62" s="277">
        <v>962</v>
      </c>
      <c r="J62" s="277" t="s">
        <v>4743</v>
      </c>
      <c r="K62" s="277">
        <v>301</v>
      </c>
      <c r="L62" s="277" t="s">
        <v>4742</v>
      </c>
      <c r="M62" s="277" t="s">
        <v>578</v>
      </c>
      <c r="N62" s="277" t="s">
        <v>4747</v>
      </c>
      <c r="O62" s="277" t="s">
        <v>518</v>
      </c>
      <c r="P62" s="277" t="s">
        <v>4703</v>
      </c>
      <c r="Q62" s="307" cm="1">
        <f t="array" ref="Q62">SUM(_xlfn._xlws.FILTER(#REF!,#REF!=SP2D!AN62,0))</f>
        <v>0</v>
      </c>
      <c r="R62" s="278">
        <v>8000000</v>
      </c>
      <c r="S62" s="292">
        <f>SUM('PER BULAN'!H106:J106)</f>
        <v>0</v>
      </c>
      <c r="T62" s="292">
        <f>SUM('PER BULAN'!K106:M106)</f>
        <v>0</v>
      </c>
      <c r="U62" s="292">
        <f>SUM('PER BULAN'!N106:P106)</f>
        <v>0</v>
      </c>
      <c r="V62" s="292">
        <f>SUM('PER BULAN'!Q106:S106)</f>
        <v>0</v>
      </c>
      <c r="W62" s="292">
        <f>SUM('PER BULAN'!T106:V106)</f>
        <v>0</v>
      </c>
      <c r="X62" s="292">
        <f>SUM('PER BULAN'!W106:Y106)</f>
        <v>0</v>
      </c>
      <c r="Y62" s="292">
        <f>SUM('PER BULAN'!Z106:AB106)</f>
        <v>0</v>
      </c>
      <c r="Z62" s="292">
        <f>SUM('PER BULAN'!AC106:AE106)</f>
        <v>0</v>
      </c>
      <c r="AA62" s="292">
        <f>SUM('PER BULAN'!AF106:AH106)</f>
        <v>0</v>
      </c>
      <c r="AB62" s="292">
        <f>SUM('PER BULAN'!AI106:AK106)</f>
        <v>0</v>
      </c>
      <c r="AC62" s="292">
        <f>SUM('PER BULAN'!AL106:AN106)</f>
        <v>0</v>
      </c>
      <c r="AD62" s="292">
        <f>SUM('PER BULAN'!AO106:AQ106)</f>
        <v>0</v>
      </c>
      <c r="AE62" s="277" t="s">
        <v>530</v>
      </c>
      <c r="AF62" s="277" t="s">
        <v>535</v>
      </c>
      <c r="AG62" s="277" t="s">
        <v>538</v>
      </c>
      <c r="AH62" s="277" t="s">
        <v>4699</v>
      </c>
      <c r="AI62" s="277" t="s">
        <v>4700</v>
      </c>
      <c r="AJ62" s="277">
        <f t="shared" si="0"/>
        <v>0</v>
      </c>
      <c r="AK62" s="291">
        <f t="shared" si="1"/>
        <v>0</v>
      </c>
      <c r="AL62" s="277">
        <f t="shared" si="2"/>
        <v>0</v>
      </c>
      <c r="AM62" s="291">
        <f t="shared" si="3"/>
        <v>0</v>
      </c>
      <c r="AN62" s="277" t="str">
        <f t="shared" si="4"/>
        <v>WA.2378.EBA.962.301.F.522192</v>
      </c>
      <c r="AO62" s="277" t="str">
        <f>IF(ISNUMBER(SEARCH("COVID",Table7[[#This Row],[Akun]])),"COVID","Non COVID")</f>
        <v>COVID</v>
      </c>
      <c r="AP6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2" s="292">
        <f>SUM('PER BULAN'!AY106)</f>
        <v>0</v>
      </c>
      <c r="AS62" s="292">
        <f>SUM('PER BULAN'!AZ106)</f>
        <v>0</v>
      </c>
      <c r="AT62" s="292">
        <f>SUM('PER BULAN'!BA106)</f>
        <v>0</v>
      </c>
      <c r="AU62" s="292">
        <f>SUM('PER BULAN'!BB106)</f>
        <v>0</v>
      </c>
      <c r="AV62" s="292">
        <f>SUM('PER BULAN'!BC106)</f>
        <v>0</v>
      </c>
      <c r="AW62" s="292">
        <f>SUM('PER BULAN'!BD106)</f>
        <v>0</v>
      </c>
      <c r="AX62" s="292">
        <f>SUM('PER BULAN'!BE106)</f>
        <v>0</v>
      </c>
      <c r="AY62" s="292">
        <f>SUM('PER BULAN'!BF106)</f>
        <v>0</v>
      </c>
    </row>
    <row r="63" spans="1:51" s="278" customFormat="1" hidden="1" x14ac:dyDescent="0.3">
      <c r="A63" s="277" t="s">
        <v>4693</v>
      </c>
      <c r="B63" s="277" t="s">
        <v>4694</v>
      </c>
      <c r="C63" s="277" t="s">
        <v>4720</v>
      </c>
      <c r="D63" s="277" t="s">
        <v>4721</v>
      </c>
      <c r="E63" s="277" t="s">
        <v>197</v>
      </c>
      <c r="F63" s="277" t="s">
        <v>4722</v>
      </c>
      <c r="G63" s="277" t="s">
        <v>4737</v>
      </c>
      <c r="H63" s="277" t="s">
        <v>4738</v>
      </c>
      <c r="I63" s="277">
        <v>962</v>
      </c>
      <c r="J63" s="277" t="s">
        <v>4743</v>
      </c>
      <c r="K63" s="277">
        <v>301</v>
      </c>
      <c r="L63" s="277" t="s">
        <v>4742</v>
      </c>
      <c r="M63" s="277" t="s">
        <v>578</v>
      </c>
      <c r="N63" s="277" t="s">
        <v>4747</v>
      </c>
      <c r="O63" s="277" t="s">
        <v>513</v>
      </c>
      <c r="P63" s="277" t="s">
        <v>4702</v>
      </c>
      <c r="Q63" s="307" cm="1">
        <f t="array" ref="Q63">SUM(_xlfn._xlws.FILTER(#REF!,#REF!=SP2D!AN63,0))</f>
        <v>9059000</v>
      </c>
      <c r="R63" s="278">
        <v>81859000</v>
      </c>
      <c r="S63" s="292">
        <f>SUM('PER BULAN'!H108:J108)</f>
        <v>0</v>
      </c>
      <c r="T63" s="292">
        <f>SUM('PER BULAN'!K107:M107)</f>
        <v>0</v>
      </c>
      <c r="U63" s="292">
        <f>SUM('PER BULAN'!N107:P107)</f>
        <v>0</v>
      </c>
      <c r="V63" s="292">
        <f>SUM('PER BULAN'!Q107:S107)</f>
        <v>0</v>
      </c>
      <c r="W63" s="292">
        <f>SUM('PER BULAN'!T107:V107)</f>
        <v>0</v>
      </c>
      <c r="X63" s="292">
        <f>SUM('PER BULAN'!W107:Y107)</f>
        <v>5350700</v>
      </c>
      <c r="Y63" s="292">
        <f>SUM('PER BULAN'!Z107:AB107)</f>
        <v>0</v>
      </c>
      <c r="Z63" s="292">
        <f>SUM('PER BULAN'!AC107:AE107)</f>
        <v>0</v>
      </c>
      <c r="AA63" s="292">
        <f>SUM('PER BULAN'!AF107:AH107)</f>
        <v>0</v>
      </c>
      <c r="AB63" s="292">
        <f>SUM('PER BULAN'!AI107:AK107)</f>
        <v>0</v>
      </c>
      <c r="AC63" s="292">
        <f>SUM('PER BULAN'!AL107:AN107)</f>
        <v>0</v>
      </c>
      <c r="AD63" s="292">
        <f>SUM('PER BULAN'!AO107:AQ107)</f>
        <v>0</v>
      </c>
      <c r="AE63" s="277" t="s">
        <v>530</v>
      </c>
      <c r="AF63" s="277" t="s">
        <v>535</v>
      </c>
      <c r="AG63" s="277" t="s">
        <v>538</v>
      </c>
      <c r="AH63" s="277" t="s">
        <v>4699</v>
      </c>
      <c r="AI63" s="277" t="s">
        <v>4700</v>
      </c>
      <c r="AJ63" s="277">
        <f t="shared" si="0"/>
        <v>5350700</v>
      </c>
      <c r="AK63" s="291">
        <f t="shared" si="1"/>
        <v>59.065018213930898</v>
      </c>
      <c r="AL63" s="277">
        <f t="shared" si="2"/>
        <v>3708300</v>
      </c>
      <c r="AM63" s="291">
        <f t="shared" si="3"/>
        <v>40.934981786069102</v>
      </c>
      <c r="AN63" s="277" t="str">
        <f t="shared" si="4"/>
        <v>WA.2378.EBA.962.301.F.524111</v>
      </c>
      <c r="AO63" s="277" t="str">
        <f>IF(ISNUMBER(SEARCH("COVID",Table7[[#This Row],[Akun]])),"COVID","Non COVID")</f>
        <v>Non COVID</v>
      </c>
      <c r="AP6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3" s="292">
        <f>SUM('PER BULAN'!AY107)</f>
        <v>0</v>
      </c>
      <c r="AS63" s="292">
        <f>SUM('PER BULAN'!AZ107)</f>
        <v>0</v>
      </c>
      <c r="AT63" s="292">
        <f>SUM('PER BULAN'!BA107)</f>
        <v>0</v>
      </c>
      <c r="AU63" s="292">
        <f>SUM('PER BULAN'!BB107)</f>
        <v>0</v>
      </c>
      <c r="AV63" s="292">
        <f>SUM('PER BULAN'!BC107)</f>
        <v>0</v>
      </c>
      <c r="AW63" s="292">
        <f>SUM('PER BULAN'!BD107)</f>
        <v>0</v>
      </c>
      <c r="AX63" s="292">
        <f>SUM('PER BULAN'!BE107)</f>
        <v>0</v>
      </c>
      <c r="AY63" s="292">
        <f>SUM('PER BULAN'!BF107)</f>
        <v>0</v>
      </c>
    </row>
    <row r="64" spans="1:51" s="278" customFormat="1" hidden="1" x14ac:dyDescent="0.3">
      <c r="A64" s="277" t="s">
        <v>4693</v>
      </c>
      <c r="B64" s="277" t="s">
        <v>4694</v>
      </c>
      <c r="C64" s="277" t="s">
        <v>4720</v>
      </c>
      <c r="D64" s="277" t="s">
        <v>4721</v>
      </c>
      <c r="E64" s="277" t="s">
        <v>197</v>
      </c>
      <c r="F64" s="277" t="s">
        <v>4722</v>
      </c>
      <c r="G64" s="277" t="s">
        <v>4737</v>
      </c>
      <c r="H64" s="277" t="s">
        <v>4738</v>
      </c>
      <c r="I64" s="277">
        <v>962</v>
      </c>
      <c r="J64" s="277" t="s">
        <v>4743</v>
      </c>
      <c r="K64" s="277">
        <v>301</v>
      </c>
      <c r="L64" s="277" t="s">
        <v>4742</v>
      </c>
      <c r="M64" s="277" t="s">
        <v>579</v>
      </c>
      <c r="N64" s="277" t="s">
        <v>4748</v>
      </c>
      <c r="O64" s="277">
        <v>521211</v>
      </c>
      <c r="P64" s="277" t="s">
        <v>4698</v>
      </c>
      <c r="Q64" s="307" cm="1">
        <f t="array" ref="Q64">SUM(_xlfn._xlws.FILTER(#REF!,#REF!=SP2D!AN64,0))</f>
        <v>12550000</v>
      </c>
      <c r="R64" s="278">
        <v>31000000</v>
      </c>
      <c r="S64" s="292">
        <f>SUM('PER BULAN'!H109:J109)</f>
        <v>0</v>
      </c>
      <c r="T64" s="292">
        <f>SUM('PER BULAN'!K109:M109)</f>
        <v>0</v>
      </c>
      <c r="U64" s="292">
        <f>SUM('PER BULAN'!N109:P109)</f>
        <v>1200000</v>
      </c>
      <c r="V64" s="292">
        <f>SUM('PER BULAN'!Q109:S109)</f>
        <v>0</v>
      </c>
      <c r="W64" s="292">
        <f>SUM('PER BULAN'!T109:V109)</f>
        <v>10342500</v>
      </c>
      <c r="X64" s="292">
        <f>SUM('PER BULAN'!W109:Y109)</f>
        <v>0</v>
      </c>
      <c r="Y64" s="292">
        <f>SUM('PER BULAN'!Z109:AB109)</f>
        <v>0</v>
      </c>
      <c r="Z64" s="292">
        <f>SUM('PER BULAN'!AC109:AE109)</f>
        <v>0</v>
      </c>
      <c r="AA64" s="292">
        <f>SUM('PER BULAN'!AF109:AH109)</f>
        <v>0</v>
      </c>
      <c r="AB64" s="292">
        <f>SUM('PER BULAN'!AI109:AK109)</f>
        <v>0</v>
      </c>
      <c r="AC64" s="292">
        <f>SUM('PER BULAN'!AL109:AN109)</f>
        <v>0</v>
      </c>
      <c r="AD64" s="292">
        <f>SUM('PER BULAN'!AO109:AQ109)</f>
        <v>0</v>
      </c>
      <c r="AE64" s="277" t="s">
        <v>530</v>
      </c>
      <c r="AF64" s="277" t="s">
        <v>531</v>
      </c>
      <c r="AG64" s="277" t="s">
        <v>532</v>
      </c>
      <c r="AH64" s="277" t="s">
        <v>4699</v>
      </c>
      <c r="AI64" s="277" t="s">
        <v>4700</v>
      </c>
      <c r="AJ64" s="277">
        <f t="shared" si="0"/>
        <v>11542500</v>
      </c>
      <c r="AK64" s="291">
        <f t="shared" si="1"/>
        <v>91.972111553784856</v>
      </c>
      <c r="AL64" s="277">
        <f t="shared" si="2"/>
        <v>1007500</v>
      </c>
      <c r="AM64" s="291">
        <f t="shared" si="3"/>
        <v>8.0278884462151403</v>
      </c>
      <c r="AN64" s="277" t="str">
        <f t="shared" si="4"/>
        <v>WA.2378.EBA.962.301.G.521211</v>
      </c>
      <c r="AO64" s="277" t="str">
        <f>IF(ISNUMBER(SEARCH("COVID",Table7[[#This Row],[Akun]])),"COVID","Non COVID")</f>
        <v>Non COVID</v>
      </c>
      <c r="AP6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6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4" s="292">
        <f>SUM('PER BULAN'!AY109)</f>
        <v>0</v>
      </c>
      <c r="AS64" s="292">
        <f>SUM('PER BULAN'!AZ109)</f>
        <v>1200000</v>
      </c>
      <c r="AT64" s="292">
        <f>SUM('PER BULAN'!BA109)</f>
        <v>0</v>
      </c>
      <c r="AU64" s="292">
        <f>SUM('PER BULAN'!BB109)</f>
        <v>0</v>
      </c>
      <c r="AV64" s="292">
        <f>SUM('PER BULAN'!BC109)</f>
        <v>0</v>
      </c>
      <c r="AW64" s="292">
        <f>SUM('PER BULAN'!BD109)</f>
        <v>7854000</v>
      </c>
      <c r="AX64" s="292">
        <f>SUM('PER BULAN'!BE109)</f>
        <v>2488500</v>
      </c>
      <c r="AY64" s="292">
        <f>SUM('PER BULAN'!BF109)</f>
        <v>0</v>
      </c>
    </row>
    <row r="65" spans="1:51" s="278" customFormat="1" hidden="1" x14ac:dyDescent="0.3">
      <c r="A65" s="277" t="s">
        <v>4693</v>
      </c>
      <c r="B65" s="277" t="s">
        <v>4694</v>
      </c>
      <c r="C65" s="277" t="s">
        <v>4720</v>
      </c>
      <c r="D65" s="277" t="s">
        <v>4721</v>
      </c>
      <c r="E65" s="277" t="s">
        <v>197</v>
      </c>
      <c r="F65" s="277" t="s">
        <v>4722</v>
      </c>
      <c r="G65" s="277" t="s">
        <v>4737</v>
      </c>
      <c r="H65" s="277" t="s">
        <v>4738</v>
      </c>
      <c r="I65" s="277">
        <v>962</v>
      </c>
      <c r="J65" s="277" t="s">
        <v>4743</v>
      </c>
      <c r="K65" s="277">
        <v>301</v>
      </c>
      <c r="L65" s="277" t="s">
        <v>4742</v>
      </c>
      <c r="M65" s="277" t="s">
        <v>579</v>
      </c>
      <c r="N65" s="277" t="s">
        <v>4748</v>
      </c>
      <c r="O65" s="277">
        <v>521219</v>
      </c>
      <c r="P65" s="277" t="s">
        <v>4711</v>
      </c>
      <c r="Q65" s="307" cm="1">
        <f t="array" ref="Q65">SUM(_xlfn._xlws.FILTER(#REF!,#REF!=SP2D!AN65,0))</f>
        <v>1192000</v>
      </c>
      <c r="R65" s="278">
        <v>3000000</v>
      </c>
      <c r="S65" s="292">
        <f>SUM('PER BULAN'!H110:J110)</f>
        <v>0</v>
      </c>
      <c r="T65" s="292">
        <f>SUM('PER BULAN'!K110:M110)</f>
        <v>0</v>
      </c>
      <c r="U65" s="292">
        <f>SUM('PER BULAN'!N110:P110)</f>
        <v>710207</v>
      </c>
      <c r="V65" s="292">
        <f>SUM('PER BULAN'!Q110:S110)</f>
        <v>0</v>
      </c>
      <c r="W65" s="292">
        <f>SUM('PER BULAN'!T110:V110)</f>
        <v>481211</v>
      </c>
      <c r="X65" s="292">
        <f>SUM('PER BULAN'!W110:Y110)</f>
        <v>0</v>
      </c>
      <c r="Y65" s="292">
        <f>SUM('PER BULAN'!Z110:AB110)</f>
        <v>0</v>
      </c>
      <c r="Z65" s="292">
        <f>SUM('PER BULAN'!AC110:AE110)</f>
        <v>0</v>
      </c>
      <c r="AA65" s="292">
        <f>SUM('PER BULAN'!AF110:AH110)</f>
        <v>0</v>
      </c>
      <c r="AB65" s="292">
        <f>SUM('PER BULAN'!AI110:AK110)</f>
        <v>0</v>
      </c>
      <c r="AC65" s="292">
        <f>SUM('PER BULAN'!AL110:AN110)</f>
        <v>0</v>
      </c>
      <c r="AD65" s="292">
        <f>SUM('PER BULAN'!AO110:AQ110)</f>
        <v>0</v>
      </c>
      <c r="AE65" s="277" t="s">
        <v>530</v>
      </c>
      <c r="AF65" s="277" t="s">
        <v>531</v>
      </c>
      <c r="AG65" s="277" t="s">
        <v>532</v>
      </c>
      <c r="AH65" s="277" t="s">
        <v>4699</v>
      </c>
      <c r="AI65" s="277" t="s">
        <v>4700</v>
      </c>
      <c r="AJ65" s="277">
        <f t="shared" si="0"/>
        <v>1191418</v>
      </c>
      <c r="AK65" s="291">
        <f t="shared" si="1"/>
        <v>99.951174496644285</v>
      </c>
      <c r="AL65" s="277">
        <f t="shared" si="2"/>
        <v>582</v>
      </c>
      <c r="AM65" s="291">
        <f t="shared" si="3"/>
        <v>4.8825503355704701E-2</v>
      </c>
      <c r="AN65" s="277" t="str">
        <f t="shared" si="4"/>
        <v>WA.2378.EBA.962.301.G.521219</v>
      </c>
      <c r="AO65" s="277" t="str">
        <f>IF(ISNUMBER(SEARCH("COVID",Table7[[#This Row],[Akun]])),"COVID","Non COVID")</f>
        <v>Non COVID</v>
      </c>
      <c r="AP6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5" s="292">
        <f>SUM('PER BULAN'!AY110)</f>
        <v>0</v>
      </c>
      <c r="AS65" s="292">
        <f>SUM('PER BULAN'!AZ110)</f>
        <v>236994</v>
      </c>
      <c r="AT65" s="292">
        <f>SUM('PER BULAN'!BA110)</f>
        <v>473213</v>
      </c>
      <c r="AU65" s="292">
        <f>SUM('PER BULAN'!BB110)</f>
        <v>0</v>
      </c>
      <c r="AV65" s="292">
        <f>SUM('PER BULAN'!BC110)</f>
        <v>0</v>
      </c>
      <c r="AW65" s="292">
        <f>SUM('PER BULAN'!BD110)</f>
        <v>238833</v>
      </c>
      <c r="AX65" s="292">
        <f>SUM('PER BULAN'!BE110)</f>
        <v>242378</v>
      </c>
      <c r="AY65" s="292">
        <f>SUM('PER BULAN'!BF110)</f>
        <v>0</v>
      </c>
    </row>
    <row r="66" spans="1:51" s="278" customFormat="1" hidden="1" x14ac:dyDescent="0.3">
      <c r="A66" s="277" t="s">
        <v>4693</v>
      </c>
      <c r="B66" s="277" t="s">
        <v>4694</v>
      </c>
      <c r="C66" s="277" t="s">
        <v>4720</v>
      </c>
      <c r="D66" s="277" t="s">
        <v>4721</v>
      </c>
      <c r="E66" s="277" t="s">
        <v>197</v>
      </c>
      <c r="F66" s="277" t="s">
        <v>4722</v>
      </c>
      <c r="G66" s="277" t="s">
        <v>4737</v>
      </c>
      <c r="H66" s="277" t="s">
        <v>4738</v>
      </c>
      <c r="I66" s="277">
        <v>962</v>
      </c>
      <c r="J66" s="277" t="s">
        <v>4743</v>
      </c>
      <c r="K66" s="277">
        <v>301</v>
      </c>
      <c r="L66" s="277" t="s">
        <v>4742</v>
      </c>
      <c r="M66" s="277" t="s">
        <v>579</v>
      </c>
      <c r="N66" s="277" t="s">
        <v>4748</v>
      </c>
      <c r="O66" s="277">
        <v>522151</v>
      </c>
      <c r="P66" s="277" t="s">
        <v>4701</v>
      </c>
      <c r="Q66" s="307" cm="1">
        <f t="array" ref="Q66">SUM(_xlfn._xlws.FILTER(#REF!,#REF!=SP2D!AN66,0))</f>
        <v>9000000</v>
      </c>
      <c r="R66" s="278">
        <v>70000000</v>
      </c>
      <c r="S66" s="292">
        <f>SUM('PER BULAN'!H111:J111)</f>
        <v>0</v>
      </c>
      <c r="T66" s="292">
        <f>SUM('PER BULAN'!K111:M111)</f>
        <v>0</v>
      </c>
      <c r="U66" s="292">
        <f>SUM('PER BULAN'!N111:P111)</f>
        <v>1800000</v>
      </c>
      <c r="V66" s="292">
        <f>SUM('PER BULAN'!Q111:S111)</f>
        <v>1000000</v>
      </c>
      <c r="W66" s="292">
        <f>SUM('PER BULAN'!T111:V111)</f>
        <v>2000000</v>
      </c>
      <c r="X66" s="292">
        <f>SUM('PER BULAN'!W111:Y111)</f>
        <v>0</v>
      </c>
      <c r="Y66" s="292">
        <f>SUM('PER BULAN'!Z111:AB111)</f>
        <v>0</v>
      </c>
      <c r="Z66" s="292">
        <f>SUM('PER BULAN'!AC111:AE111)</f>
        <v>0</v>
      </c>
      <c r="AA66" s="292">
        <f>SUM('PER BULAN'!AF111:AH111)</f>
        <v>0</v>
      </c>
      <c r="AB66" s="292">
        <f>SUM('PER BULAN'!AI111:AK111)</f>
        <v>0</v>
      </c>
      <c r="AC66" s="292">
        <f>SUM('PER BULAN'!AL111:AN111)</f>
        <v>0</v>
      </c>
      <c r="AD66" s="292">
        <f>SUM('PER BULAN'!AO111:AQ111)</f>
        <v>0</v>
      </c>
      <c r="AE66" s="277" t="s">
        <v>530</v>
      </c>
      <c r="AF66" s="277" t="s">
        <v>531</v>
      </c>
      <c r="AG66" s="277" t="s">
        <v>532</v>
      </c>
      <c r="AH66" s="277" t="s">
        <v>4699</v>
      </c>
      <c r="AI66" s="277" t="s">
        <v>4700</v>
      </c>
      <c r="AJ66" s="277">
        <f t="shared" si="0"/>
        <v>4800000</v>
      </c>
      <c r="AK66" s="291">
        <f t="shared" si="1"/>
        <v>53.333333333333336</v>
      </c>
      <c r="AL66" s="277">
        <f t="shared" si="2"/>
        <v>4200000</v>
      </c>
      <c r="AM66" s="291">
        <f t="shared" si="3"/>
        <v>46.666666666666664</v>
      </c>
      <c r="AN66" s="277" t="str">
        <f t="shared" si="4"/>
        <v>WA.2378.EBA.962.301.G.522151</v>
      </c>
      <c r="AO66" s="277" t="str">
        <f>IF(ISNUMBER(SEARCH("COVID",Table7[[#This Row],[Akun]])),"COVID","Non COVID")</f>
        <v>Non COVID</v>
      </c>
      <c r="AP6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6" s="292">
        <f>SUM('PER BULAN'!AY111)</f>
        <v>0</v>
      </c>
      <c r="AS66" s="292">
        <f>SUM('PER BULAN'!AZ111)</f>
        <v>1800000</v>
      </c>
      <c r="AT66" s="292">
        <f>SUM('PER BULAN'!BA111)</f>
        <v>0</v>
      </c>
      <c r="AU66" s="292">
        <f>SUM('PER BULAN'!BB111)</f>
        <v>0</v>
      </c>
      <c r="AV66" s="292">
        <f>SUM('PER BULAN'!BC111)</f>
        <v>0</v>
      </c>
      <c r="AW66" s="292">
        <f>SUM('PER BULAN'!BD111)</f>
        <v>0</v>
      </c>
      <c r="AX66" s="292">
        <f>SUM('PER BULAN'!BE111)</f>
        <v>2000000</v>
      </c>
      <c r="AY66" s="292">
        <f>SUM('PER BULAN'!BF111)</f>
        <v>0</v>
      </c>
    </row>
    <row r="67" spans="1:51" s="278" customFormat="1" hidden="1" x14ac:dyDescent="0.3">
      <c r="A67" s="277" t="s">
        <v>4693</v>
      </c>
      <c r="B67" s="277" t="s">
        <v>4694</v>
      </c>
      <c r="C67" s="277" t="s">
        <v>4720</v>
      </c>
      <c r="D67" s="277" t="s">
        <v>4721</v>
      </c>
      <c r="E67" s="277" t="s">
        <v>197</v>
      </c>
      <c r="F67" s="277" t="s">
        <v>4722</v>
      </c>
      <c r="G67" s="277" t="s">
        <v>4737</v>
      </c>
      <c r="H67" s="277" t="s">
        <v>4738</v>
      </c>
      <c r="I67" s="277">
        <v>962</v>
      </c>
      <c r="J67" s="277" t="s">
        <v>4743</v>
      </c>
      <c r="K67" s="277">
        <v>301</v>
      </c>
      <c r="L67" s="277" t="s">
        <v>4742</v>
      </c>
      <c r="M67" s="277" t="s">
        <v>579</v>
      </c>
      <c r="N67" s="277" t="s">
        <v>4748</v>
      </c>
      <c r="O67" s="277" t="s">
        <v>513</v>
      </c>
      <c r="P67" s="277" t="s">
        <v>4702</v>
      </c>
      <c r="Q67" s="307" cm="1">
        <f t="array" ref="Q67">SUM(_xlfn._xlws.FILTER(#REF!,#REF!=SP2D!AN67,0))</f>
        <v>60764000</v>
      </c>
      <c r="R67" s="278">
        <v>246000000</v>
      </c>
      <c r="S67" s="292">
        <f>SUM('PER BULAN'!H113:J113)</f>
        <v>0</v>
      </c>
      <c r="T67" s="292">
        <f>SUM('PER BULAN'!K112:M112)</f>
        <v>0</v>
      </c>
      <c r="U67" s="292">
        <f>SUM('PER BULAN'!N112:P112)</f>
        <v>2700000</v>
      </c>
      <c r="V67" s="292">
        <f>SUM('PER BULAN'!Q112:S112)</f>
        <v>0</v>
      </c>
      <c r="W67" s="292">
        <f>SUM('PER BULAN'!T112:V112)</f>
        <v>27528345</v>
      </c>
      <c r="X67" s="292">
        <f>SUM('PER BULAN'!W112:Y112)</f>
        <v>30535327</v>
      </c>
      <c r="Y67" s="292">
        <f>SUM('PER BULAN'!Z112:AB112)</f>
        <v>0</v>
      </c>
      <c r="Z67" s="292">
        <f>SUM('PER BULAN'!AC112:AE112)</f>
        <v>0</v>
      </c>
      <c r="AA67" s="292">
        <f>SUM('PER BULAN'!AF112:AH112)</f>
        <v>0</v>
      </c>
      <c r="AB67" s="292">
        <f>SUM('PER BULAN'!AI112:AK112)</f>
        <v>0</v>
      </c>
      <c r="AC67" s="292">
        <f>SUM('PER BULAN'!AL112:AN112)</f>
        <v>0</v>
      </c>
      <c r="AD67" s="292">
        <f>SUM('PER BULAN'!AO112:AQ112)</f>
        <v>0</v>
      </c>
      <c r="AE67" s="277" t="s">
        <v>530</v>
      </c>
      <c r="AF67" s="277" t="s">
        <v>531</v>
      </c>
      <c r="AG67" s="277" t="s">
        <v>532</v>
      </c>
      <c r="AH67" s="277" t="s">
        <v>4699</v>
      </c>
      <c r="AI67" s="277" t="s">
        <v>4700</v>
      </c>
      <c r="AJ67" s="277">
        <f t="shared" si="0"/>
        <v>60763672</v>
      </c>
      <c r="AK67" s="291">
        <f t="shared" si="1"/>
        <v>99.999460206701343</v>
      </c>
      <c r="AL67" s="277">
        <f t="shared" si="2"/>
        <v>328</v>
      </c>
      <c r="AM67" s="291">
        <f t="shared" si="3"/>
        <v>5.3979329866368244E-4</v>
      </c>
      <c r="AN67" s="277" t="str">
        <f t="shared" si="4"/>
        <v>WA.2378.EBA.962.301.G.524111</v>
      </c>
      <c r="AO67" s="277" t="str">
        <f>IF(ISNUMBER(SEARCH("COVID",Table7[[#This Row],[Akun]])),"COVID","Non COVID")</f>
        <v>Non COVID</v>
      </c>
      <c r="AP6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7" s="292">
        <f>SUM('PER BULAN'!AY112)</f>
        <v>0</v>
      </c>
      <c r="AS67" s="292">
        <f>SUM('PER BULAN'!AZ112)</f>
        <v>0</v>
      </c>
      <c r="AT67" s="292">
        <f>SUM('PER BULAN'!BA112)</f>
        <v>2700000</v>
      </c>
      <c r="AU67" s="292">
        <f>SUM('PER BULAN'!BB112)</f>
        <v>0</v>
      </c>
      <c r="AV67" s="292">
        <f>SUM('PER BULAN'!BC112)</f>
        <v>0</v>
      </c>
      <c r="AW67" s="292">
        <f>SUM('PER BULAN'!BD112)</f>
        <v>0</v>
      </c>
      <c r="AX67" s="292">
        <f>SUM('PER BULAN'!BE112)</f>
        <v>8114345</v>
      </c>
      <c r="AY67" s="292">
        <f>SUM('PER BULAN'!BF112)</f>
        <v>0</v>
      </c>
    </row>
    <row r="68" spans="1:51" s="278" customFormat="1" hidden="1" x14ac:dyDescent="0.3">
      <c r="A68" s="277" t="s">
        <v>4693</v>
      </c>
      <c r="B68" s="277" t="s">
        <v>4694</v>
      </c>
      <c r="C68" s="277" t="s">
        <v>4720</v>
      </c>
      <c r="D68" s="277" t="s">
        <v>4721</v>
      </c>
      <c r="E68" s="277" t="s">
        <v>197</v>
      </c>
      <c r="F68" s="277" t="s">
        <v>4722</v>
      </c>
      <c r="G68" s="277" t="s">
        <v>4737</v>
      </c>
      <c r="H68" s="277" t="s">
        <v>4738</v>
      </c>
      <c r="I68" s="277">
        <v>962</v>
      </c>
      <c r="J68" s="277" t="s">
        <v>4743</v>
      </c>
      <c r="K68" s="277">
        <v>301</v>
      </c>
      <c r="L68" s="277" t="s">
        <v>4742</v>
      </c>
      <c r="M68" s="277" t="s">
        <v>580</v>
      </c>
      <c r="N68" s="277" t="s">
        <v>4749</v>
      </c>
      <c r="O68" s="277">
        <v>521211</v>
      </c>
      <c r="P68" s="277" t="s">
        <v>4698</v>
      </c>
      <c r="Q68" s="307" cm="1">
        <f t="array" ref="Q68">SUM(_xlfn._xlws.FILTER(#REF!,#REF!=SP2D!AN68,0))</f>
        <v>0</v>
      </c>
      <c r="R68" s="278">
        <v>118575000</v>
      </c>
      <c r="S68" s="292">
        <f>SUM('PER BULAN'!H114:J114)</f>
        <v>0</v>
      </c>
      <c r="T68" s="292">
        <f>SUM('PER BULAN'!K114:M114)</f>
        <v>0</v>
      </c>
      <c r="U68" s="292">
        <f>SUM('PER BULAN'!N114:P114)</f>
        <v>0</v>
      </c>
      <c r="V68" s="292">
        <f>SUM('PER BULAN'!Q114:S114)</f>
        <v>0</v>
      </c>
      <c r="W68" s="292">
        <f>SUM('PER BULAN'!T114:V114)</f>
        <v>0</v>
      </c>
      <c r="X68" s="292">
        <f>SUM('PER BULAN'!W114:Y114)</f>
        <v>0</v>
      </c>
      <c r="Y68" s="292">
        <f>SUM('PER BULAN'!Z114:AB114)</f>
        <v>0</v>
      </c>
      <c r="Z68" s="292">
        <f>SUM('PER BULAN'!AC114:AE114)</f>
        <v>0</v>
      </c>
      <c r="AA68" s="292">
        <f>SUM('PER BULAN'!AF114:AH114)</f>
        <v>0</v>
      </c>
      <c r="AB68" s="292">
        <f>SUM('PER BULAN'!AI114:AK114)</f>
        <v>0</v>
      </c>
      <c r="AC68" s="292">
        <f>SUM('PER BULAN'!AL114:AN114)</f>
        <v>0</v>
      </c>
      <c r="AD68" s="292">
        <f>SUM('PER BULAN'!AO114:AQ114)</f>
        <v>0</v>
      </c>
      <c r="AE68" s="277" t="s">
        <v>530</v>
      </c>
      <c r="AF68" s="277" t="s">
        <v>531</v>
      </c>
      <c r="AG68" s="277" t="s">
        <v>534</v>
      </c>
      <c r="AH68" s="277" t="s">
        <v>4699</v>
      </c>
      <c r="AI68" s="277" t="s">
        <v>4700</v>
      </c>
      <c r="AJ68" s="277">
        <f t="shared" si="0"/>
        <v>0</v>
      </c>
      <c r="AK68" s="291">
        <f t="shared" si="1"/>
        <v>0</v>
      </c>
      <c r="AL68" s="277">
        <f t="shared" si="2"/>
        <v>0</v>
      </c>
      <c r="AM68" s="291">
        <f t="shared" si="3"/>
        <v>0</v>
      </c>
      <c r="AN68" s="277" t="str">
        <f t="shared" si="4"/>
        <v>WA.2378.EBA.962.301.H.521211</v>
      </c>
      <c r="AO68" s="277" t="str">
        <f>IF(ISNUMBER(SEARCH("COVID",Table7[[#This Row],[Akun]])),"COVID","Non COVID")</f>
        <v>Non COVID</v>
      </c>
      <c r="AP6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6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8" s="292">
        <f>SUM('PER BULAN'!AY114)</f>
        <v>0</v>
      </c>
      <c r="AS68" s="292">
        <f>SUM('PER BULAN'!AZ114)</f>
        <v>0</v>
      </c>
      <c r="AT68" s="292">
        <f>SUM('PER BULAN'!BA114)</f>
        <v>0</v>
      </c>
      <c r="AU68" s="292">
        <f>SUM('PER BULAN'!BB114)</f>
        <v>0</v>
      </c>
      <c r="AV68" s="292">
        <f>SUM('PER BULAN'!BC114)</f>
        <v>0</v>
      </c>
      <c r="AW68" s="292">
        <f>SUM('PER BULAN'!BD114)</f>
        <v>0</v>
      </c>
      <c r="AX68" s="292">
        <f>SUM('PER BULAN'!BE114)</f>
        <v>0</v>
      </c>
      <c r="AY68" s="292">
        <f>SUM('PER BULAN'!BF114)</f>
        <v>0</v>
      </c>
    </row>
    <row r="69" spans="1:51" s="278" customFormat="1" hidden="1" x14ac:dyDescent="0.3">
      <c r="A69" s="277" t="s">
        <v>4693</v>
      </c>
      <c r="B69" s="277" t="s">
        <v>4694</v>
      </c>
      <c r="C69" s="277" t="s">
        <v>4720</v>
      </c>
      <c r="D69" s="277" t="s">
        <v>4721</v>
      </c>
      <c r="E69" s="277" t="s">
        <v>197</v>
      </c>
      <c r="F69" s="277" t="s">
        <v>4722</v>
      </c>
      <c r="G69" s="277" t="s">
        <v>4737</v>
      </c>
      <c r="H69" s="277" t="s">
        <v>4738</v>
      </c>
      <c r="I69" s="277">
        <v>962</v>
      </c>
      <c r="J69" s="277" t="s">
        <v>4743</v>
      </c>
      <c r="K69" s="277">
        <v>301</v>
      </c>
      <c r="L69" s="277" t="s">
        <v>4742</v>
      </c>
      <c r="M69" s="277" t="s">
        <v>580</v>
      </c>
      <c r="N69" s="277" t="s">
        <v>4749</v>
      </c>
      <c r="O69" s="277">
        <v>521219</v>
      </c>
      <c r="P69" s="277" t="s">
        <v>4711</v>
      </c>
      <c r="Q69" s="307" cm="1">
        <f t="array" ref="Q69">SUM(_xlfn._xlws.FILTER(#REF!,#REF!=SP2D!AN69,0))</f>
        <v>0</v>
      </c>
      <c r="R69" s="278">
        <v>393200000</v>
      </c>
      <c r="S69" s="292">
        <f>SUM('PER BULAN'!H115:J115)</f>
        <v>0</v>
      </c>
      <c r="T69" s="292">
        <f>SUM('PER BULAN'!K115:M115)</f>
        <v>0</v>
      </c>
      <c r="U69" s="292">
        <f>SUM('PER BULAN'!N115:P115)</f>
        <v>0</v>
      </c>
      <c r="V69" s="292">
        <f>SUM('PER BULAN'!Q115:S115)</f>
        <v>0</v>
      </c>
      <c r="W69" s="292">
        <f>SUM('PER BULAN'!T115:V115)</f>
        <v>0</v>
      </c>
      <c r="X69" s="292">
        <f>SUM('PER BULAN'!W115:Y115)</f>
        <v>0</v>
      </c>
      <c r="Y69" s="292">
        <f>SUM('PER BULAN'!Z115:AB115)</f>
        <v>0</v>
      </c>
      <c r="Z69" s="292">
        <f>SUM('PER BULAN'!AC115:AE115)</f>
        <v>0</v>
      </c>
      <c r="AA69" s="292">
        <f>SUM('PER BULAN'!AF115:AH115)</f>
        <v>0</v>
      </c>
      <c r="AB69" s="292">
        <f>SUM('PER BULAN'!AI115:AK115)</f>
        <v>0</v>
      </c>
      <c r="AC69" s="292">
        <f>SUM('PER BULAN'!AL115:AN115)</f>
        <v>0</v>
      </c>
      <c r="AD69" s="292">
        <f>SUM('PER BULAN'!AO115:AQ115)</f>
        <v>0</v>
      </c>
      <c r="AE69" s="277" t="s">
        <v>530</v>
      </c>
      <c r="AF69" s="277" t="s">
        <v>531</v>
      </c>
      <c r="AG69" s="277" t="s">
        <v>534</v>
      </c>
      <c r="AH69" s="277" t="s">
        <v>4699</v>
      </c>
      <c r="AI69" s="277" t="s">
        <v>4700</v>
      </c>
      <c r="AJ69" s="277">
        <f t="shared" ref="AJ69:AJ126" si="7">SUM(S69:AD69)</f>
        <v>0</v>
      </c>
      <c r="AK69" s="291">
        <f t="shared" ref="AK69:AK132" si="8">IFERROR(AJ69/Q69*100,0)</f>
        <v>0</v>
      </c>
      <c r="AL69" s="277">
        <f t="shared" ref="AL69:AL126" si="9">Q69-AJ69</f>
        <v>0</v>
      </c>
      <c r="AM69" s="291">
        <f t="shared" ref="AM69:AM132" si="10">IFERROR(AL69/Q69*100,0)</f>
        <v>0</v>
      </c>
      <c r="AN69" s="277" t="str">
        <f t="shared" ref="AN69:AN132" si="11">_xlfn.TEXTJOIN(".",TRUE,C69,E69,G69,I69,K69,M69,O69)</f>
        <v>WA.2378.EBA.962.301.H.521219</v>
      </c>
      <c r="AO69" s="277" t="str">
        <f>IF(ISNUMBER(SEARCH("COVID",Table7[[#This Row],[Akun]])),"COVID","Non COVID")</f>
        <v>Non COVID</v>
      </c>
      <c r="AP6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9" s="292">
        <f>SUM('PER BULAN'!AY115)</f>
        <v>0</v>
      </c>
      <c r="AS69" s="292">
        <f>SUM('PER BULAN'!AZ115)</f>
        <v>0</v>
      </c>
      <c r="AT69" s="292">
        <f>SUM('PER BULAN'!BA115)</f>
        <v>0</v>
      </c>
      <c r="AU69" s="292">
        <f>SUM('PER BULAN'!BB115)</f>
        <v>0</v>
      </c>
      <c r="AV69" s="292">
        <f>SUM('PER BULAN'!BC115)</f>
        <v>0</v>
      </c>
      <c r="AW69" s="292">
        <f>SUM('PER BULAN'!BD115)</f>
        <v>0</v>
      </c>
      <c r="AX69" s="292">
        <f>SUM('PER BULAN'!BE115)</f>
        <v>0</v>
      </c>
      <c r="AY69" s="292">
        <f>SUM('PER BULAN'!BF115)</f>
        <v>0</v>
      </c>
    </row>
    <row r="70" spans="1:51" s="278" customFormat="1" hidden="1" x14ac:dyDescent="0.3">
      <c r="A70" s="277" t="s">
        <v>4693</v>
      </c>
      <c r="B70" s="277" t="s">
        <v>4694</v>
      </c>
      <c r="C70" s="277" t="s">
        <v>4720</v>
      </c>
      <c r="D70" s="277" t="s">
        <v>4721</v>
      </c>
      <c r="E70" s="277" t="s">
        <v>197</v>
      </c>
      <c r="F70" s="277" t="s">
        <v>4722</v>
      </c>
      <c r="G70" s="277" t="s">
        <v>4737</v>
      </c>
      <c r="H70" s="277" t="s">
        <v>4738</v>
      </c>
      <c r="I70" s="277">
        <v>962</v>
      </c>
      <c r="J70" s="277" t="s">
        <v>4743</v>
      </c>
      <c r="K70" s="277">
        <v>301</v>
      </c>
      <c r="L70" s="277" t="s">
        <v>4742</v>
      </c>
      <c r="M70" s="277" t="s">
        <v>580</v>
      </c>
      <c r="N70" s="277" t="s">
        <v>4749</v>
      </c>
      <c r="O70" s="277">
        <v>522141</v>
      </c>
      <c r="P70" s="277" t="s">
        <v>4704</v>
      </c>
      <c r="Q70" s="307" cm="1">
        <f t="array" ref="Q70">SUM(_xlfn._xlws.FILTER(#REF!,#REF!=SP2D!AN70,0))</f>
        <v>0</v>
      </c>
      <c r="R70" s="278">
        <v>120000000</v>
      </c>
      <c r="S70" s="292">
        <f>SUM('PER BULAN'!H116:J116)</f>
        <v>0</v>
      </c>
      <c r="T70" s="292">
        <f>SUM('PER BULAN'!K116:M116)</f>
        <v>0</v>
      </c>
      <c r="U70" s="292">
        <f>SUM('PER BULAN'!N116:P116)</f>
        <v>0</v>
      </c>
      <c r="V70" s="292">
        <f>SUM('PER BULAN'!Q116:S116)</f>
        <v>0</v>
      </c>
      <c r="W70" s="292">
        <f>SUM('PER BULAN'!T116:V116)</f>
        <v>0</v>
      </c>
      <c r="X70" s="292">
        <f>SUM('PER BULAN'!W116:Y116)</f>
        <v>0</v>
      </c>
      <c r="Y70" s="292">
        <f>SUM('PER BULAN'!Z116:AB116)</f>
        <v>0</v>
      </c>
      <c r="Z70" s="292">
        <f>SUM('PER BULAN'!AC116:AE116)</f>
        <v>0</v>
      </c>
      <c r="AA70" s="292">
        <f>SUM('PER BULAN'!AF116:AH116)</f>
        <v>0</v>
      </c>
      <c r="AB70" s="292">
        <f>SUM('PER BULAN'!AI116:AK116)</f>
        <v>0</v>
      </c>
      <c r="AC70" s="292">
        <f>SUM('PER BULAN'!AL116:AN116)</f>
        <v>0</v>
      </c>
      <c r="AD70" s="292">
        <f>SUM('PER BULAN'!AO116:AQ116)</f>
        <v>0</v>
      </c>
      <c r="AE70" s="277" t="s">
        <v>530</v>
      </c>
      <c r="AF70" s="277" t="s">
        <v>531</v>
      </c>
      <c r="AG70" s="277" t="s">
        <v>534</v>
      </c>
      <c r="AH70" s="277" t="s">
        <v>4699</v>
      </c>
      <c r="AI70" s="277" t="s">
        <v>4700</v>
      </c>
      <c r="AJ70" s="277">
        <f t="shared" si="7"/>
        <v>0</v>
      </c>
      <c r="AK70" s="291">
        <f t="shared" si="8"/>
        <v>0</v>
      </c>
      <c r="AL70" s="277">
        <f t="shared" si="9"/>
        <v>0</v>
      </c>
      <c r="AM70" s="291">
        <f t="shared" si="10"/>
        <v>0</v>
      </c>
      <c r="AN70" s="277" t="str">
        <f t="shared" si="11"/>
        <v>WA.2378.EBA.962.301.H.522141</v>
      </c>
      <c r="AO70" s="277" t="str">
        <f>IF(ISNUMBER(SEARCH("COVID",Table7[[#This Row],[Akun]])),"COVID","Non COVID")</f>
        <v>Non COVID</v>
      </c>
      <c r="AP7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7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0" s="292">
        <f>SUM('PER BULAN'!AY116)</f>
        <v>0</v>
      </c>
      <c r="AS70" s="292">
        <f>SUM('PER BULAN'!AZ116)</f>
        <v>0</v>
      </c>
      <c r="AT70" s="292">
        <f>SUM('PER BULAN'!BA116)</f>
        <v>0</v>
      </c>
      <c r="AU70" s="292">
        <f>SUM('PER BULAN'!BB116)</f>
        <v>0</v>
      </c>
      <c r="AV70" s="292">
        <f>SUM('PER BULAN'!BC116)</f>
        <v>0</v>
      </c>
      <c r="AW70" s="292">
        <f>SUM('PER BULAN'!BD116)</f>
        <v>0</v>
      </c>
      <c r="AX70" s="292">
        <f>SUM('PER BULAN'!BE116)</f>
        <v>0</v>
      </c>
      <c r="AY70" s="292">
        <f>SUM('PER BULAN'!BF116)</f>
        <v>0</v>
      </c>
    </row>
    <row r="71" spans="1:51" s="278" customFormat="1" hidden="1" x14ac:dyDescent="0.3">
      <c r="A71" s="277" t="s">
        <v>4693</v>
      </c>
      <c r="B71" s="277" t="s">
        <v>4694</v>
      </c>
      <c r="C71" s="277" t="s">
        <v>4720</v>
      </c>
      <c r="D71" s="277" t="s">
        <v>4721</v>
      </c>
      <c r="E71" s="277" t="s">
        <v>197</v>
      </c>
      <c r="F71" s="277" t="s">
        <v>4722</v>
      </c>
      <c r="G71" s="277" t="s">
        <v>4737</v>
      </c>
      <c r="H71" s="277" t="s">
        <v>4738</v>
      </c>
      <c r="I71" s="277">
        <v>962</v>
      </c>
      <c r="J71" s="277" t="s">
        <v>4743</v>
      </c>
      <c r="K71" s="277">
        <v>301</v>
      </c>
      <c r="L71" s="277" t="s">
        <v>4742</v>
      </c>
      <c r="M71" s="277" t="s">
        <v>580</v>
      </c>
      <c r="N71" s="277" t="s">
        <v>4749</v>
      </c>
      <c r="O71" s="277" t="s">
        <v>513</v>
      </c>
      <c r="P71" s="277" t="s">
        <v>4702</v>
      </c>
      <c r="Q71" s="307" cm="1">
        <f t="array" ref="Q71">SUM(_xlfn._xlws.FILTER(#REF!,#REF!=SP2D!AN71,0))</f>
        <v>0</v>
      </c>
      <c r="R71" s="278">
        <v>7962000</v>
      </c>
      <c r="S71" s="292">
        <f>SUM('PER BULAN'!H118:J118)</f>
        <v>0</v>
      </c>
      <c r="T71" s="292">
        <f>SUM('PER BULAN'!K117:M117)</f>
        <v>0</v>
      </c>
      <c r="U71" s="292">
        <f>SUM('PER BULAN'!N117:P117)</f>
        <v>0</v>
      </c>
      <c r="V71" s="292">
        <f>SUM('PER BULAN'!Q117:S117)</f>
        <v>0</v>
      </c>
      <c r="W71" s="292">
        <f>SUM('PER BULAN'!T117:V117)</f>
        <v>0</v>
      </c>
      <c r="X71" s="292">
        <f>SUM('PER BULAN'!W117:Y117)</f>
        <v>0</v>
      </c>
      <c r="Y71" s="292">
        <f>SUM('PER BULAN'!Z117:AB117)</f>
        <v>0</v>
      </c>
      <c r="Z71" s="292">
        <f>SUM('PER BULAN'!AC117:AE117)</f>
        <v>0</v>
      </c>
      <c r="AA71" s="292">
        <f>SUM('PER BULAN'!AF117:AH117)</f>
        <v>0</v>
      </c>
      <c r="AB71" s="292">
        <f>SUM('PER BULAN'!AI117:AK117)</f>
        <v>0</v>
      </c>
      <c r="AC71" s="292">
        <f>SUM('PER BULAN'!AL117:AN117)</f>
        <v>0</v>
      </c>
      <c r="AD71" s="292">
        <f>SUM('PER BULAN'!AO117:AQ117)</f>
        <v>0</v>
      </c>
      <c r="AE71" s="277" t="s">
        <v>530</v>
      </c>
      <c r="AF71" s="277" t="s">
        <v>531</v>
      </c>
      <c r="AG71" s="277" t="s">
        <v>534</v>
      </c>
      <c r="AH71" s="277" t="s">
        <v>4699</v>
      </c>
      <c r="AI71" s="277" t="s">
        <v>4700</v>
      </c>
      <c r="AJ71" s="277">
        <f t="shared" si="7"/>
        <v>0</v>
      </c>
      <c r="AK71" s="291">
        <f t="shared" si="8"/>
        <v>0</v>
      </c>
      <c r="AL71" s="277">
        <f t="shared" si="9"/>
        <v>0</v>
      </c>
      <c r="AM71" s="291">
        <f t="shared" si="10"/>
        <v>0</v>
      </c>
      <c r="AN71" s="277" t="str">
        <f t="shared" si="11"/>
        <v>WA.2378.EBA.962.301.H.524111</v>
      </c>
      <c r="AO71" s="277" t="str">
        <f>IF(ISNUMBER(SEARCH("COVID",Table7[[#This Row],[Akun]])),"COVID","Non COVID")</f>
        <v>Non COVID</v>
      </c>
      <c r="AP7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7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1" s="292">
        <f>SUM('PER BULAN'!AY117)</f>
        <v>0</v>
      </c>
      <c r="AS71" s="292">
        <f>SUM('PER BULAN'!AZ117)</f>
        <v>0</v>
      </c>
      <c r="AT71" s="292">
        <f>SUM('PER BULAN'!BA117)</f>
        <v>0</v>
      </c>
      <c r="AU71" s="292">
        <f>SUM('PER BULAN'!BB117)</f>
        <v>0</v>
      </c>
      <c r="AV71" s="292">
        <f>SUM('PER BULAN'!BC117)</f>
        <v>0</v>
      </c>
      <c r="AW71" s="292">
        <f>SUM('PER BULAN'!BD117)</f>
        <v>0</v>
      </c>
      <c r="AX71" s="292">
        <f>SUM('PER BULAN'!BE117)</f>
        <v>0</v>
      </c>
      <c r="AY71" s="292">
        <f>SUM('PER BULAN'!BF117)</f>
        <v>0</v>
      </c>
    </row>
    <row r="72" spans="1:51" s="278" customFormat="1" hidden="1" x14ac:dyDescent="0.3">
      <c r="A72" s="277" t="s">
        <v>4693</v>
      </c>
      <c r="B72" s="277" t="s">
        <v>4694</v>
      </c>
      <c r="C72" s="277" t="s">
        <v>4720</v>
      </c>
      <c r="D72" s="277" t="s">
        <v>4721</v>
      </c>
      <c r="E72" s="277" t="s">
        <v>197</v>
      </c>
      <c r="F72" s="277" t="s">
        <v>4722</v>
      </c>
      <c r="G72" s="277" t="s">
        <v>4737</v>
      </c>
      <c r="H72" s="277" t="s">
        <v>4738</v>
      </c>
      <c r="I72" s="277">
        <v>962</v>
      </c>
      <c r="J72" s="277" t="s">
        <v>4743</v>
      </c>
      <c r="K72" s="277">
        <v>301</v>
      </c>
      <c r="L72" s="277" t="s">
        <v>4742</v>
      </c>
      <c r="M72" s="277" t="s">
        <v>581</v>
      </c>
      <c r="N72" s="277" t="s">
        <v>4750</v>
      </c>
      <c r="O72" s="277">
        <v>521211</v>
      </c>
      <c r="P72" s="277" t="s">
        <v>4698</v>
      </c>
      <c r="Q72" s="307" cm="1">
        <f t="array" ref="Q72">SUM(_xlfn._xlws.FILTER(#REF!,#REF!=SP2D!AN72,0))</f>
        <v>17550000</v>
      </c>
      <c r="R72" s="278">
        <v>17550000</v>
      </c>
      <c r="S72" s="292">
        <f>SUM('PER BULAN'!H119:J119)</f>
        <v>0</v>
      </c>
      <c r="T72" s="292">
        <f>SUM('PER BULAN'!K119:M119)</f>
        <v>0</v>
      </c>
      <c r="U72" s="292">
        <f>SUM('PER BULAN'!N119:P119)</f>
        <v>2444000</v>
      </c>
      <c r="V72" s="292">
        <f>SUM('PER BULAN'!Q119:S119)</f>
        <v>0</v>
      </c>
      <c r="W72" s="292">
        <f>SUM('PER BULAN'!T119:V119)</f>
        <v>7025000</v>
      </c>
      <c r="X72" s="292">
        <f>SUM('PER BULAN'!W119:Y119)</f>
        <v>0</v>
      </c>
      <c r="Y72" s="292">
        <f>SUM('PER BULAN'!Z119:AB119)</f>
        <v>0</v>
      </c>
      <c r="Z72" s="292">
        <f>SUM('PER BULAN'!AC119:AE119)</f>
        <v>0</v>
      </c>
      <c r="AA72" s="292">
        <f>SUM('PER BULAN'!AF119:AH119)</f>
        <v>0</v>
      </c>
      <c r="AB72" s="292">
        <f>SUM('PER BULAN'!AI119:AK119)</f>
        <v>0</v>
      </c>
      <c r="AC72" s="292">
        <f>SUM('PER BULAN'!AL119:AN119)</f>
        <v>0</v>
      </c>
      <c r="AD72" s="292">
        <f>SUM('PER BULAN'!AO119:AQ119)</f>
        <v>0</v>
      </c>
      <c r="AE72" s="277" t="s">
        <v>530</v>
      </c>
      <c r="AF72" s="277" t="s">
        <v>531</v>
      </c>
      <c r="AG72" s="277" t="s">
        <v>534</v>
      </c>
      <c r="AH72" s="277" t="s">
        <v>4699</v>
      </c>
      <c r="AI72" s="277" t="s">
        <v>4700</v>
      </c>
      <c r="AJ72" s="277">
        <f t="shared" si="7"/>
        <v>9469000</v>
      </c>
      <c r="AK72" s="291">
        <f t="shared" si="8"/>
        <v>53.954415954415957</v>
      </c>
      <c r="AL72" s="277">
        <f t="shared" si="9"/>
        <v>8081000</v>
      </c>
      <c r="AM72" s="291">
        <f t="shared" si="10"/>
        <v>46.04558404558405</v>
      </c>
      <c r="AN72" s="277" t="str">
        <f t="shared" si="11"/>
        <v>WA.2378.EBA.962.301.I.521211</v>
      </c>
      <c r="AO72" s="277" t="str">
        <f>IF(ISNUMBER(SEARCH("COVID",Table7[[#This Row],[Akun]])),"COVID","Non COVID")</f>
        <v>Non COVID</v>
      </c>
      <c r="AP7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7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2" s="292">
        <f>SUM('PER BULAN'!AY119)</f>
        <v>0</v>
      </c>
      <c r="AS72" s="292">
        <f>SUM('PER BULAN'!AZ119)</f>
        <v>2444000</v>
      </c>
      <c r="AT72" s="292">
        <f>SUM('PER BULAN'!BA119)</f>
        <v>0</v>
      </c>
      <c r="AU72" s="292">
        <f>SUM('PER BULAN'!BB119)</f>
        <v>0</v>
      </c>
      <c r="AV72" s="292">
        <f>SUM('PER BULAN'!BC119)</f>
        <v>0</v>
      </c>
      <c r="AW72" s="292">
        <f>SUM('PER BULAN'!BD119)</f>
        <v>528000</v>
      </c>
      <c r="AX72" s="292">
        <f>SUM('PER BULAN'!BE119)</f>
        <v>6497000</v>
      </c>
      <c r="AY72" s="292">
        <f>SUM('PER BULAN'!BF119)</f>
        <v>0</v>
      </c>
    </row>
    <row r="73" spans="1:51" s="278" customFormat="1" hidden="1" x14ac:dyDescent="0.3">
      <c r="A73" s="277" t="s">
        <v>4693</v>
      </c>
      <c r="B73" s="277" t="s">
        <v>4694</v>
      </c>
      <c r="C73" s="277" t="s">
        <v>4720</v>
      </c>
      <c r="D73" s="277" t="s">
        <v>4721</v>
      </c>
      <c r="E73" s="277" t="s">
        <v>197</v>
      </c>
      <c r="F73" s="277" t="s">
        <v>4722</v>
      </c>
      <c r="G73" s="277" t="s">
        <v>4737</v>
      </c>
      <c r="H73" s="277" t="s">
        <v>4738</v>
      </c>
      <c r="I73" s="277">
        <v>962</v>
      </c>
      <c r="J73" s="277" t="s">
        <v>4743</v>
      </c>
      <c r="K73" s="277">
        <v>301</v>
      </c>
      <c r="L73" s="277" t="s">
        <v>4742</v>
      </c>
      <c r="M73" s="277" t="s">
        <v>581</v>
      </c>
      <c r="N73" s="277" t="s">
        <v>4750</v>
      </c>
      <c r="O73" s="277">
        <v>521219</v>
      </c>
      <c r="P73" s="277" t="s">
        <v>4711</v>
      </c>
      <c r="Q73" s="307" cm="1">
        <f t="array" ref="Q73">SUM(_xlfn._xlws.FILTER(#REF!,#REF!=SP2D!AN73,0))</f>
        <v>27651000</v>
      </c>
      <c r="R73" s="278">
        <v>27651000</v>
      </c>
      <c r="S73" s="292">
        <f>SUM('PER BULAN'!H120:J120)</f>
        <v>0</v>
      </c>
      <c r="T73" s="292">
        <f>SUM('PER BULAN'!K120:M120)</f>
        <v>0</v>
      </c>
      <c r="U73" s="292">
        <f>SUM('PER BULAN'!N120:P120)</f>
        <v>370000</v>
      </c>
      <c r="V73" s="292">
        <f>SUM('PER BULAN'!Q120:S120)</f>
        <v>0</v>
      </c>
      <c r="W73" s="292">
        <f>SUM('PER BULAN'!T120:V120)</f>
        <v>250000</v>
      </c>
      <c r="X73" s="292">
        <f>SUM('PER BULAN'!W120:Y120)</f>
        <v>0</v>
      </c>
      <c r="Y73" s="292">
        <f>SUM('PER BULAN'!Z120:AB120)</f>
        <v>0</v>
      </c>
      <c r="Z73" s="292">
        <f>SUM('PER BULAN'!AC120:AE120)</f>
        <v>0</v>
      </c>
      <c r="AA73" s="292">
        <f>SUM('PER BULAN'!AF120:AH120)</f>
        <v>0</v>
      </c>
      <c r="AB73" s="292">
        <f>SUM('PER BULAN'!AI120:AK120)</f>
        <v>0</v>
      </c>
      <c r="AC73" s="292">
        <f>SUM('PER BULAN'!AL120:AN120)</f>
        <v>0</v>
      </c>
      <c r="AD73" s="292">
        <f>SUM('PER BULAN'!AO120:AQ120)</f>
        <v>0</v>
      </c>
      <c r="AE73" s="277" t="s">
        <v>530</v>
      </c>
      <c r="AF73" s="277" t="s">
        <v>531</v>
      </c>
      <c r="AG73" s="277" t="s">
        <v>534</v>
      </c>
      <c r="AH73" s="277" t="s">
        <v>4699</v>
      </c>
      <c r="AI73" s="277" t="s">
        <v>4700</v>
      </c>
      <c r="AJ73" s="277">
        <f t="shared" si="7"/>
        <v>620000</v>
      </c>
      <c r="AK73" s="291">
        <f t="shared" si="8"/>
        <v>2.2422335539401832</v>
      </c>
      <c r="AL73" s="277">
        <f t="shared" si="9"/>
        <v>27031000</v>
      </c>
      <c r="AM73" s="291">
        <f t="shared" si="10"/>
        <v>97.757766446059819</v>
      </c>
      <c r="AN73" s="277" t="str">
        <f t="shared" si="11"/>
        <v>WA.2378.EBA.962.301.I.521219</v>
      </c>
      <c r="AO73" s="277" t="str">
        <f>IF(ISNUMBER(SEARCH("COVID",Table7[[#This Row],[Akun]])),"COVID","Non COVID")</f>
        <v>Non COVID</v>
      </c>
      <c r="AP7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7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3" s="292">
        <f>SUM('PER BULAN'!AY120)</f>
        <v>0</v>
      </c>
      <c r="AS73" s="292">
        <f>SUM('PER BULAN'!AZ120)</f>
        <v>250000</v>
      </c>
      <c r="AT73" s="292">
        <f>SUM('PER BULAN'!BA120)</f>
        <v>120000</v>
      </c>
      <c r="AU73" s="292">
        <f>SUM('PER BULAN'!BB120)</f>
        <v>0</v>
      </c>
      <c r="AV73" s="292">
        <f>SUM('PER BULAN'!BC120)</f>
        <v>0</v>
      </c>
      <c r="AW73" s="292">
        <f>SUM('PER BULAN'!BD120)</f>
        <v>0</v>
      </c>
      <c r="AX73" s="292">
        <f>SUM('PER BULAN'!BE120)</f>
        <v>250000</v>
      </c>
      <c r="AY73" s="292">
        <f>SUM('PER BULAN'!BF120)</f>
        <v>0</v>
      </c>
    </row>
    <row r="74" spans="1:51" s="278" customFormat="1" hidden="1" x14ac:dyDescent="0.3">
      <c r="A74" s="277" t="s">
        <v>4693</v>
      </c>
      <c r="B74" s="277" t="s">
        <v>4694</v>
      </c>
      <c r="C74" s="277" t="s">
        <v>4720</v>
      </c>
      <c r="D74" s="277" t="s">
        <v>4721</v>
      </c>
      <c r="E74" s="277" t="s">
        <v>197</v>
      </c>
      <c r="F74" s="277" t="s">
        <v>4722</v>
      </c>
      <c r="G74" s="277" t="s">
        <v>4737</v>
      </c>
      <c r="H74" s="277" t="s">
        <v>4738</v>
      </c>
      <c r="I74" s="277">
        <v>962</v>
      </c>
      <c r="J74" s="277" t="s">
        <v>4743</v>
      </c>
      <c r="K74" s="277">
        <v>301</v>
      </c>
      <c r="L74" s="277" t="s">
        <v>4742</v>
      </c>
      <c r="M74" s="277" t="s">
        <v>581</v>
      </c>
      <c r="N74" s="277" t="s">
        <v>4750</v>
      </c>
      <c r="O74" s="277">
        <v>522151</v>
      </c>
      <c r="P74" s="277" t="s">
        <v>4701</v>
      </c>
      <c r="Q74" s="307" cm="1">
        <f t="array" ref="Q74">SUM(_xlfn._xlws.FILTER(#REF!,#REF!=SP2D!AN74,0))</f>
        <v>40000000</v>
      </c>
      <c r="R74" s="278">
        <v>40000000</v>
      </c>
      <c r="S74" s="292">
        <f>SUM('PER BULAN'!H121:J121)</f>
        <v>0</v>
      </c>
      <c r="T74" s="292">
        <f>SUM('PER BULAN'!K121:M121)</f>
        <v>0</v>
      </c>
      <c r="U74" s="292">
        <f>SUM('PER BULAN'!N121:P121)</f>
        <v>0</v>
      </c>
      <c r="V74" s="292">
        <f>SUM('PER BULAN'!Q121:S121)</f>
        <v>0</v>
      </c>
      <c r="W74" s="292">
        <f>SUM('PER BULAN'!T121:V121)</f>
        <v>14000000</v>
      </c>
      <c r="X74" s="292">
        <f>SUM('PER BULAN'!W121:Y121)</f>
        <v>0</v>
      </c>
      <c r="Y74" s="292">
        <f>SUM('PER BULAN'!Z121:AB121)</f>
        <v>0</v>
      </c>
      <c r="Z74" s="292">
        <f>SUM('PER BULAN'!AC121:AE121)</f>
        <v>0</v>
      </c>
      <c r="AA74" s="292">
        <f>SUM('PER BULAN'!AF121:AH121)</f>
        <v>0</v>
      </c>
      <c r="AB74" s="292">
        <f>SUM('PER BULAN'!AI121:AK121)</f>
        <v>0</v>
      </c>
      <c r="AC74" s="292">
        <f>SUM('PER BULAN'!AL121:AN121)</f>
        <v>0</v>
      </c>
      <c r="AD74" s="292">
        <f>SUM('PER BULAN'!AO121:AQ121)</f>
        <v>0</v>
      </c>
      <c r="AE74" s="277" t="s">
        <v>530</v>
      </c>
      <c r="AF74" s="277" t="s">
        <v>531</v>
      </c>
      <c r="AG74" s="277" t="s">
        <v>534</v>
      </c>
      <c r="AH74" s="277" t="s">
        <v>4699</v>
      </c>
      <c r="AI74" s="277" t="s">
        <v>4700</v>
      </c>
      <c r="AJ74" s="277">
        <f t="shared" si="7"/>
        <v>14000000</v>
      </c>
      <c r="AK74" s="291">
        <f t="shared" si="8"/>
        <v>35</v>
      </c>
      <c r="AL74" s="277">
        <f t="shared" si="9"/>
        <v>26000000</v>
      </c>
      <c r="AM74" s="291">
        <f t="shared" si="10"/>
        <v>65</v>
      </c>
      <c r="AN74" s="277" t="str">
        <f t="shared" si="11"/>
        <v>WA.2378.EBA.962.301.I.522151</v>
      </c>
      <c r="AO74" s="277" t="str">
        <f>IF(ISNUMBER(SEARCH("COVID",Table7[[#This Row],[Akun]])),"COVID","Non COVID")</f>
        <v>Non COVID</v>
      </c>
      <c r="AP7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7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4" s="292">
        <f>SUM('PER BULAN'!AY121)</f>
        <v>0</v>
      </c>
      <c r="AS74" s="292">
        <f>SUM('PER BULAN'!AZ121)</f>
        <v>0</v>
      </c>
      <c r="AT74" s="292">
        <f>SUM('PER BULAN'!BA121)</f>
        <v>0</v>
      </c>
      <c r="AU74" s="292">
        <f>SUM('PER BULAN'!BB121)</f>
        <v>0</v>
      </c>
      <c r="AV74" s="292">
        <f>SUM('PER BULAN'!BC121)</f>
        <v>0</v>
      </c>
      <c r="AW74" s="292">
        <f>SUM('PER BULAN'!BD121)</f>
        <v>0</v>
      </c>
      <c r="AX74" s="292">
        <f>SUM('PER BULAN'!BE121)</f>
        <v>14000000</v>
      </c>
      <c r="AY74" s="292">
        <f>SUM('PER BULAN'!BF121)</f>
        <v>0</v>
      </c>
    </row>
    <row r="75" spans="1:51" s="278" customFormat="1" hidden="1" x14ac:dyDescent="0.3">
      <c r="A75" s="277" t="s">
        <v>4693</v>
      </c>
      <c r="B75" s="277" t="s">
        <v>4694</v>
      </c>
      <c r="C75" s="277" t="s">
        <v>4720</v>
      </c>
      <c r="D75" s="277" t="s">
        <v>4721</v>
      </c>
      <c r="E75" s="277" t="s">
        <v>197</v>
      </c>
      <c r="F75" s="277" t="s">
        <v>4722</v>
      </c>
      <c r="G75" s="277" t="s">
        <v>4737</v>
      </c>
      <c r="H75" s="277" t="s">
        <v>4738</v>
      </c>
      <c r="I75" s="277">
        <v>962</v>
      </c>
      <c r="J75" s="277" t="s">
        <v>4743</v>
      </c>
      <c r="K75" s="277">
        <v>301</v>
      </c>
      <c r="L75" s="277" t="s">
        <v>4742</v>
      </c>
      <c r="M75" s="277" t="s">
        <v>581</v>
      </c>
      <c r="N75" s="277" t="s">
        <v>4750</v>
      </c>
      <c r="O75" s="277" t="s">
        <v>513</v>
      </c>
      <c r="P75" s="277" t="s">
        <v>4702</v>
      </c>
      <c r="Q75" s="307" cm="1">
        <f t="array" ref="Q75">SUM(_xlfn._xlws.FILTER(#REF!,#REF!=SP2D!AN75,0))</f>
        <v>25062000</v>
      </c>
      <c r="R75" s="278">
        <v>25062000</v>
      </c>
      <c r="S75" s="292">
        <f>SUM('PER BULAN'!H125:J125)</f>
        <v>0</v>
      </c>
      <c r="T75" s="292">
        <f>SUM('PER BULAN'!K122:M122)</f>
        <v>0</v>
      </c>
      <c r="U75" s="292">
        <f>SUM('PER BULAN'!N122:P122)</f>
        <v>25062000</v>
      </c>
      <c r="V75" s="292">
        <f>SUM('PER BULAN'!Q122:S122)</f>
        <v>0</v>
      </c>
      <c r="W75" s="292">
        <f>SUM('PER BULAN'!T122:V122)</f>
        <v>0</v>
      </c>
      <c r="X75" s="292">
        <f>SUM('PER BULAN'!W122:Y122)</f>
        <v>0</v>
      </c>
      <c r="Y75" s="292">
        <f>SUM('PER BULAN'!Z122:AB122)</f>
        <v>0</v>
      </c>
      <c r="Z75" s="292">
        <f>SUM('PER BULAN'!AC122:AE122)</f>
        <v>0</v>
      </c>
      <c r="AA75" s="292">
        <f>SUM('PER BULAN'!AF122:AH122)</f>
        <v>0</v>
      </c>
      <c r="AB75" s="292">
        <f>SUM('PER BULAN'!AI122:AK122)</f>
        <v>0</v>
      </c>
      <c r="AC75" s="292">
        <f>SUM('PER BULAN'!AL122:AN122)</f>
        <v>0</v>
      </c>
      <c r="AD75" s="292">
        <f>SUM('PER BULAN'!AO122:AQ122)</f>
        <v>0</v>
      </c>
      <c r="AE75" s="277" t="s">
        <v>530</v>
      </c>
      <c r="AF75" s="277" t="s">
        <v>531</v>
      </c>
      <c r="AG75" s="277" t="s">
        <v>534</v>
      </c>
      <c r="AH75" s="277" t="s">
        <v>4699</v>
      </c>
      <c r="AI75" s="277" t="s">
        <v>4700</v>
      </c>
      <c r="AJ75" s="277">
        <f t="shared" si="7"/>
        <v>25062000</v>
      </c>
      <c r="AK75" s="291">
        <f t="shared" si="8"/>
        <v>100</v>
      </c>
      <c r="AL75" s="277">
        <f t="shared" si="9"/>
        <v>0</v>
      </c>
      <c r="AM75" s="291">
        <f t="shared" si="10"/>
        <v>0</v>
      </c>
      <c r="AN75" s="277" t="str">
        <f t="shared" si="11"/>
        <v>WA.2378.EBA.962.301.I.524111</v>
      </c>
      <c r="AO75" s="277" t="str">
        <f>IF(ISNUMBER(SEARCH("COVID",Table7[[#This Row],[Akun]])),"COVID","Non COVID")</f>
        <v>Non COVID</v>
      </c>
      <c r="AP7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7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5" s="292">
        <f>SUM('PER BULAN'!AY122)</f>
        <v>0</v>
      </c>
      <c r="AS75" s="292">
        <f>SUM('PER BULAN'!AZ122)</f>
        <v>15982000</v>
      </c>
      <c r="AT75" s="292">
        <f>SUM('PER BULAN'!BA122)</f>
        <v>9080000</v>
      </c>
      <c r="AU75" s="292">
        <f>SUM('PER BULAN'!BB122)</f>
        <v>0</v>
      </c>
      <c r="AV75" s="292">
        <f>SUM('PER BULAN'!BC122)</f>
        <v>0</v>
      </c>
      <c r="AW75" s="292">
        <f>SUM('PER BULAN'!BD122)</f>
        <v>0</v>
      </c>
      <c r="AX75" s="292">
        <f>SUM('PER BULAN'!BE122)</f>
        <v>0</v>
      </c>
      <c r="AY75" s="292">
        <f>SUM('PER BULAN'!BF122)</f>
        <v>0</v>
      </c>
    </row>
    <row r="76" spans="1:51" s="278" customFormat="1" hidden="1" x14ac:dyDescent="0.3">
      <c r="A76" s="277" t="s">
        <v>4693</v>
      </c>
      <c r="B76" s="277" t="s">
        <v>4694</v>
      </c>
      <c r="C76" s="277" t="s">
        <v>4720</v>
      </c>
      <c r="D76" s="277" t="s">
        <v>4721</v>
      </c>
      <c r="E76" s="277" t="s">
        <v>197</v>
      </c>
      <c r="F76" s="277" t="s">
        <v>4722</v>
      </c>
      <c r="G76" s="277" t="s">
        <v>4737</v>
      </c>
      <c r="H76" s="277" t="s">
        <v>4738</v>
      </c>
      <c r="I76" s="277">
        <v>994</v>
      </c>
      <c r="J76" s="277" t="s">
        <v>6250</v>
      </c>
      <c r="K76" s="415" t="s">
        <v>557</v>
      </c>
      <c r="L76" s="277" t="s">
        <v>4654</v>
      </c>
      <c r="M76" s="277" t="s">
        <v>1807</v>
      </c>
      <c r="N76" s="277" t="s">
        <v>4752</v>
      </c>
      <c r="O76" s="277">
        <v>521111</v>
      </c>
      <c r="P76" s="277" t="s">
        <v>4753</v>
      </c>
      <c r="Q76" s="307" cm="1">
        <f t="array" ref="Q76">SUM(_xlfn._xlws.FILTER(#REF!,#REF!=SP2D!AN76,0))</f>
        <v>1076220000</v>
      </c>
      <c r="R76" s="278">
        <v>1076220000</v>
      </c>
      <c r="S76" s="292">
        <f>SUM('PER BULAN'!H126:J126)</f>
        <v>0</v>
      </c>
      <c r="T76" s="292">
        <f>SUM('PER BULAN'!K126:M126)</f>
        <v>63640000</v>
      </c>
      <c r="U76" s="292">
        <f>SUM('PER BULAN'!N126:P126)</f>
        <v>80776487</v>
      </c>
      <c r="V76" s="292">
        <f>SUM('PER BULAN'!Q126:S126)</f>
        <v>135515096</v>
      </c>
      <c r="W76" s="292">
        <f>SUM('PER BULAN'!T126:V126)</f>
        <v>79486568</v>
      </c>
      <c r="X76" s="292">
        <f>SUM('PER BULAN'!W126:Y126)</f>
        <v>63640000</v>
      </c>
      <c r="Y76" s="292">
        <f>SUM('PER BULAN'!Z126:AB126)</f>
        <v>0</v>
      </c>
      <c r="Z76" s="292">
        <f>SUM('PER BULAN'!AC126:AE126)</f>
        <v>0</v>
      </c>
      <c r="AA76" s="292">
        <f>SUM('PER BULAN'!AF126:AH126)</f>
        <v>0</v>
      </c>
      <c r="AB76" s="292">
        <f>SUM('PER BULAN'!AI126:AK126)</f>
        <v>0</v>
      </c>
      <c r="AC76" s="292">
        <f>SUM('PER BULAN'!AL126:AN126)</f>
        <v>0</v>
      </c>
      <c r="AD76" s="292">
        <f>SUM('PER BULAN'!AO126:AQ126)</f>
        <v>0</v>
      </c>
      <c r="AE76" s="277" t="s">
        <v>530</v>
      </c>
      <c r="AF76" s="277" t="s">
        <v>576</v>
      </c>
      <c r="AG76" s="277" t="s">
        <v>560</v>
      </c>
      <c r="AH76" s="277" t="s">
        <v>4699</v>
      </c>
      <c r="AI76" s="277" t="s">
        <v>4700</v>
      </c>
      <c r="AJ76" s="277">
        <f t="shared" si="7"/>
        <v>423058151</v>
      </c>
      <c r="AK76" s="291">
        <f t="shared" si="8"/>
        <v>39.309634740108898</v>
      </c>
      <c r="AL76" s="277">
        <f t="shared" si="9"/>
        <v>653161849</v>
      </c>
      <c r="AM76" s="291">
        <f t="shared" si="10"/>
        <v>60.690365259891102</v>
      </c>
      <c r="AN76" s="277" t="str">
        <f t="shared" si="11"/>
        <v>WA.2378.EBA.994.002.GA.521111</v>
      </c>
      <c r="AO76" s="277" t="str">
        <f>IF(ISNUMBER(SEARCH("COVID",Table7[[#This Row],[Akun]])),"COVID","Non COVID")</f>
        <v>Non COVID</v>
      </c>
      <c r="AP7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7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6" s="292">
        <f>SUM('PER BULAN'!AY126)</f>
        <v>2178865</v>
      </c>
      <c r="AS76" s="292">
        <f>SUM('PER BULAN'!AZ126)</f>
        <v>8107900</v>
      </c>
      <c r="AT76" s="292">
        <f>SUM('PER BULAN'!BA126)</f>
        <v>6849722</v>
      </c>
      <c r="AU76" s="292">
        <f>SUM('PER BULAN'!BB126)</f>
        <v>8235096</v>
      </c>
      <c r="AV76" s="292">
        <f>SUM('PER BULAN'!BC126)</f>
        <v>8616711</v>
      </c>
      <c r="AW76" s="292">
        <f>SUM('PER BULAN'!BD126)</f>
        <v>7229857</v>
      </c>
      <c r="AX76" s="292">
        <f>SUM('PER BULAN'!BE126)</f>
        <v>0</v>
      </c>
      <c r="AY76" s="292">
        <f>SUM('PER BULAN'!BF126)</f>
        <v>0</v>
      </c>
    </row>
    <row r="77" spans="1:51" s="278" customFormat="1" hidden="1" x14ac:dyDescent="0.3">
      <c r="A77" s="277" t="s">
        <v>4693</v>
      </c>
      <c r="B77" s="277" t="s">
        <v>4694</v>
      </c>
      <c r="C77" s="277" t="s">
        <v>4720</v>
      </c>
      <c r="D77" s="277" t="s">
        <v>4721</v>
      </c>
      <c r="E77" s="277" t="s">
        <v>197</v>
      </c>
      <c r="F77" s="277" t="s">
        <v>4722</v>
      </c>
      <c r="G77" s="277" t="s">
        <v>4737</v>
      </c>
      <c r="H77" s="277" t="s">
        <v>4738</v>
      </c>
      <c r="I77" s="277">
        <v>994</v>
      </c>
      <c r="J77" s="277" t="s">
        <v>6250</v>
      </c>
      <c r="K77" s="415" t="s">
        <v>557</v>
      </c>
      <c r="L77" s="277" t="s">
        <v>4654</v>
      </c>
      <c r="M77" s="277" t="s">
        <v>1807</v>
      </c>
      <c r="N77" s="277" t="s">
        <v>4752</v>
      </c>
      <c r="O77" s="277">
        <v>521811</v>
      </c>
      <c r="P77" s="277" t="s">
        <v>4716</v>
      </c>
      <c r="Q77" s="307" cm="1">
        <f t="array" ref="Q77">SUM(_xlfn._xlws.FILTER(#REF!,#REF!=SP2D!AN77,0))</f>
        <v>178160000</v>
      </c>
      <c r="R77" s="278">
        <v>178160000</v>
      </c>
      <c r="S77" s="292">
        <f>SUM('PER BULAN'!H128:J128)</f>
        <v>0</v>
      </c>
      <c r="T77" s="292">
        <f>SUM('PER BULAN'!K127:M127)</f>
        <v>0</v>
      </c>
      <c r="U77" s="292">
        <f>SUM('PER BULAN'!N127:P127)</f>
        <v>32474000</v>
      </c>
      <c r="V77" s="292">
        <f>SUM('PER BULAN'!Q127:S127)</f>
        <v>8952000</v>
      </c>
      <c r="W77" s="292">
        <f>SUM('PER BULAN'!T127:V127)</f>
        <v>23282000</v>
      </c>
      <c r="X77" s="292">
        <f>SUM('PER BULAN'!W127:Y127)</f>
        <v>0</v>
      </c>
      <c r="Y77" s="292">
        <f>SUM('PER BULAN'!Z127:AB127)</f>
        <v>0</v>
      </c>
      <c r="Z77" s="292">
        <f>SUM('PER BULAN'!AC127:AE127)</f>
        <v>0</v>
      </c>
      <c r="AA77" s="292">
        <f>SUM('PER BULAN'!AF127:AH127)</f>
        <v>0</v>
      </c>
      <c r="AB77" s="292">
        <f>SUM('PER BULAN'!AI127:AK127)</f>
        <v>0</v>
      </c>
      <c r="AC77" s="292">
        <f>SUM('PER BULAN'!AL127:AN127)</f>
        <v>0</v>
      </c>
      <c r="AD77" s="292">
        <f>SUM('PER BULAN'!AO127:AQ127)</f>
        <v>0</v>
      </c>
      <c r="AE77" s="277" t="s">
        <v>530</v>
      </c>
      <c r="AF77" s="277" t="s">
        <v>576</v>
      </c>
      <c r="AG77" s="277" t="s">
        <v>560</v>
      </c>
      <c r="AH77" s="277" t="s">
        <v>4699</v>
      </c>
      <c r="AI77" s="277" t="s">
        <v>4700</v>
      </c>
      <c r="AJ77" s="277">
        <f t="shared" si="7"/>
        <v>64708000</v>
      </c>
      <c r="AK77" s="291">
        <f t="shared" si="8"/>
        <v>36.320161652447233</v>
      </c>
      <c r="AL77" s="277">
        <f t="shared" si="9"/>
        <v>113452000</v>
      </c>
      <c r="AM77" s="291">
        <f t="shared" si="10"/>
        <v>63.679838347552767</v>
      </c>
      <c r="AN77" s="277" t="str">
        <f t="shared" si="11"/>
        <v>WA.2378.EBA.994.002.GA.521811</v>
      </c>
      <c r="AO77" s="277" t="str">
        <f>IF(ISNUMBER(SEARCH("COVID",Table7[[#This Row],[Akun]])),"COVID","Non COVID")</f>
        <v>Non COVID</v>
      </c>
      <c r="AP7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7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7" s="292">
        <f>SUM('PER BULAN'!AY127)</f>
        <v>13175000</v>
      </c>
      <c r="AS77" s="292">
        <f>SUM('PER BULAN'!AZ127)</f>
        <v>19299000</v>
      </c>
      <c r="AT77" s="292">
        <f>SUM('PER BULAN'!BA127)</f>
        <v>0</v>
      </c>
      <c r="AU77" s="292">
        <f>SUM('PER BULAN'!BB127)</f>
        <v>8952000</v>
      </c>
      <c r="AV77" s="292">
        <f>SUM('PER BULAN'!BC127)</f>
        <v>1680000</v>
      </c>
      <c r="AW77" s="292">
        <f>SUM('PER BULAN'!BD127)</f>
        <v>21602000</v>
      </c>
      <c r="AX77" s="292">
        <f>SUM('PER BULAN'!BE127)</f>
        <v>0</v>
      </c>
      <c r="AY77" s="292">
        <f>SUM('PER BULAN'!BF127)</f>
        <v>0</v>
      </c>
    </row>
    <row r="78" spans="1:51" s="278" customFormat="1" hidden="1" x14ac:dyDescent="0.3">
      <c r="A78" s="277" t="s">
        <v>4693</v>
      </c>
      <c r="B78" s="277" t="s">
        <v>4694</v>
      </c>
      <c r="C78" s="277" t="s">
        <v>4720</v>
      </c>
      <c r="D78" s="277" t="s">
        <v>4721</v>
      </c>
      <c r="E78" s="277" t="s">
        <v>197</v>
      </c>
      <c r="F78" s="277" t="s">
        <v>4722</v>
      </c>
      <c r="G78" s="277" t="s">
        <v>4737</v>
      </c>
      <c r="H78" s="277" t="s">
        <v>4738</v>
      </c>
      <c r="I78" s="277">
        <v>994</v>
      </c>
      <c r="J78" s="277" t="s">
        <v>6250</v>
      </c>
      <c r="K78" s="415" t="s">
        <v>557</v>
      </c>
      <c r="L78" s="277" t="s">
        <v>4654</v>
      </c>
      <c r="M78" s="277" t="s">
        <v>2208</v>
      </c>
      <c r="N78" s="277" t="s">
        <v>4754</v>
      </c>
      <c r="O78" s="277">
        <v>521114</v>
      </c>
      <c r="P78" s="277" t="s">
        <v>4755</v>
      </c>
      <c r="Q78" s="307" cm="1">
        <f t="array" ref="Q78">SUM(_xlfn._xlws.FILTER(#REF!,#REF!=SP2D!AN78,0))</f>
        <v>30000000</v>
      </c>
      <c r="R78" s="278">
        <v>30000000</v>
      </c>
      <c r="S78" s="292">
        <f>SUM('PER BULAN'!H129:J129)</f>
        <v>0</v>
      </c>
      <c r="T78" s="292">
        <f>SUM('PER BULAN'!K129:M129)</f>
        <v>0</v>
      </c>
      <c r="U78" s="292">
        <f>SUM('PER BULAN'!N129:P129)</f>
        <v>354050</v>
      </c>
      <c r="V78" s="292">
        <f>SUM('PER BULAN'!Q129:S129)</f>
        <v>603000</v>
      </c>
      <c r="W78" s="292">
        <f>SUM('PER BULAN'!T129:V129)</f>
        <v>1329000</v>
      </c>
      <c r="X78" s="292">
        <f>SUM('PER BULAN'!W129:Y129)</f>
        <v>0</v>
      </c>
      <c r="Y78" s="292">
        <f>SUM('PER BULAN'!Z129:AB129)</f>
        <v>0</v>
      </c>
      <c r="Z78" s="292">
        <f>SUM('PER BULAN'!AC129:AE129)</f>
        <v>0</v>
      </c>
      <c r="AA78" s="292">
        <f>SUM('PER BULAN'!AF129:AH129)</f>
        <v>0</v>
      </c>
      <c r="AB78" s="292">
        <f>SUM('PER BULAN'!AI129:AK129)</f>
        <v>0</v>
      </c>
      <c r="AC78" s="292">
        <f>SUM('PER BULAN'!AL129:AN129)</f>
        <v>0</v>
      </c>
      <c r="AD78" s="292">
        <f>SUM('PER BULAN'!AO129:AQ129)</f>
        <v>0</v>
      </c>
      <c r="AE78" s="277" t="s">
        <v>530</v>
      </c>
      <c r="AF78" s="277" t="s">
        <v>576</v>
      </c>
      <c r="AG78" s="277" t="s">
        <v>560</v>
      </c>
      <c r="AH78" s="277" t="s">
        <v>4699</v>
      </c>
      <c r="AI78" s="277" t="s">
        <v>4700</v>
      </c>
      <c r="AJ78" s="277">
        <f t="shared" si="7"/>
        <v>2286050</v>
      </c>
      <c r="AK78" s="291">
        <f t="shared" si="8"/>
        <v>7.620166666666667</v>
      </c>
      <c r="AL78" s="277">
        <f t="shared" si="9"/>
        <v>27713950</v>
      </c>
      <c r="AM78" s="291">
        <f t="shared" si="10"/>
        <v>92.379833333333337</v>
      </c>
      <c r="AN78" s="277" t="str">
        <f t="shared" si="11"/>
        <v>WA.2378.EBA.994.002.GB.521114</v>
      </c>
      <c r="AO78" s="277" t="str">
        <f>IF(ISNUMBER(SEARCH("COVID",Table7[[#This Row],[Akun]])),"COVID","Non COVID")</f>
        <v>Non COVID</v>
      </c>
      <c r="AP7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PENGIRIMAN SURAT DINAS POS PUSAT</v>
      </c>
      <c r="AQ7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8" s="292">
        <f>SUM('PER BULAN'!AY129)</f>
        <v>295050</v>
      </c>
      <c r="AS78" s="292">
        <f>SUM('PER BULAN'!AZ129)</f>
        <v>0</v>
      </c>
      <c r="AT78" s="292">
        <f>SUM('PER BULAN'!BA129)</f>
        <v>59000</v>
      </c>
      <c r="AU78" s="292">
        <f>SUM('PER BULAN'!BB129)</f>
        <v>603000</v>
      </c>
      <c r="AV78" s="292">
        <f>SUM('PER BULAN'!BC129)</f>
        <v>276000</v>
      </c>
      <c r="AW78" s="292">
        <f>SUM('PER BULAN'!BD129)</f>
        <v>1053000</v>
      </c>
      <c r="AX78" s="292">
        <f>SUM('PER BULAN'!BE129)</f>
        <v>0</v>
      </c>
      <c r="AY78" s="292">
        <f>SUM('PER BULAN'!BF129)</f>
        <v>0</v>
      </c>
    </row>
    <row r="79" spans="1:51" s="278" customFormat="1" hidden="1" x14ac:dyDescent="0.3">
      <c r="A79" s="277" t="s">
        <v>4693</v>
      </c>
      <c r="B79" s="277" t="s">
        <v>4694</v>
      </c>
      <c r="C79" s="277" t="s">
        <v>4720</v>
      </c>
      <c r="D79" s="277" t="s">
        <v>4721</v>
      </c>
      <c r="E79" s="277" t="s">
        <v>197</v>
      </c>
      <c r="F79" s="277" t="s">
        <v>4722</v>
      </c>
      <c r="G79" s="277" t="s">
        <v>4737</v>
      </c>
      <c r="H79" s="277" t="s">
        <v>4738</v>
      </c>
      <c r="I79" s="277">
        <v>994</v>
      </c>
      <c r="J79" s="277" t="s">
        <v>6250</v>
      </c>
      <c r="K79" s="415" t="s">
        <v>557</v>
      </c>
      <c r="L79" s="277" t="s">
        <v>4654</v>
      </c>
      <c r="M79" s="277" t="s">
        <v>2208</v>
      </c>
      <c r="N79" s="277" t="s">
        <v>4754</v>
      </c>
      <c r="O79" s="277">
        <v>522141</v>
      </c>
      <c r="P79" s="277" t="s">
        <v>4704</v>
      </c>
      <c r="Q79" s="307" cm="1">
        <f t="array" ref="Q79">SUM(_xlfn._xlws.FILTER(#REF!,#REF!=SP2D!AN79,0))</f>
        <v>118852000</v>
      </c>
      <c r="R79" s="278">
        <v>118852000</v>
      </c>
      <c r="S79" s="292">
        <f>SUM('PER BULAN'!H131:J131)</f>
        <v>0</v>
      </c>
      <c r="T79" s="292">
        <f>SUM('PER BULAN'!K130:M130)</f>
        <v>0</v>
      </c>
      <c r="U79" s="292">
        <f>SUM('PER BULAN'!N130:P130)</f>
        <v>4950000</v>
      </c>
      <c r="V79" s="292">
        <f>SUM('PER BULAN'!Q130:S130)</f>
        <v>9900000</v>
      </c>
      <c r="W79" s="292">
        <f>SUM('PER BULAN'!T130:V130)</f>
        <v>4950000</v>
      </c>
      <c r="X79" s="292">
        <f>SUM('PER BULAN'!W130:Y130)</f>
        <v>0</v>
      </c>
      <c r="Y79" s="292">
        <f>SUM('PER BULAN'!Z130:AB130)</f>
        <v>0</v>
      </c>
      <c r="Z79" s="292">
        <f>SUM('PER BULAN'!AC130:AE130)</f>
        <v>0</v>
      </c>
      <c r="AA79" s="292">
        <f>SUM('PER BULAN'!AF130:AH130)</f>
        <v>0</v>
      </c>
      <c r="AB79" s="292">
        <f>SUM('PER BULAN'!AI130:AK130)</f>
        <v>0</v>
      </c>
      <c r="AC79" s="292">
        <f>SUM('PER BULAN'!AL130:AN130)</f>
        <v>0</v>
      </c>
      <c r="AD79" s="292">
        <f>SUM('PER BULAN'!AO130:AQ130)</f>
        <v>0</v>
      </c>
      <c r="AE79" s="277" t="s">
        <v>530</v>
      </c>
      <c r="AF79" s="277" t="s">
        <v>576</v>
      </c>
      <c r="AG79" s="277" t="s">
        <v>560</v>
      </c>
      <c r="AH79" s="277" t="s">
        <v>4699</v>
      </c>
      <c r="AI79" s="277" t="s">
        <v>4700</v>
      </c>
      <c r="AJ79" s="277">
        <f t="shared" si="7"/>
        <v>19800000</v>
      </c>
      <c r="AK79" s="291">
        <f t="shared" si="8"/>
        <v>16.659374684481541</v>
      </c>
      <c r="AL79" s="277">
        <f t="shared" si="9"/>
        <v>99052000</v>
      </c>
      <c r="AM79" s="291">
        <f t="shared" si="10"/>
        <v>83.340625315518452</v>
      </c>
      <c r="AN79" s="277" t="str">
        <f t="shared" si="11"/>
        <v>WA.2378.EBA.994.002.GB.522141</v>
      </c>
      <c r="AO79" s="277" t="str">
        <f>IF(ISNUMBER(SEARCH("COVID",Table7[[#This Row],[Akun]])),"COVID","Non COVID")</f>
        <v>Non COVID</v>
      </c>
      <c r="AP7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7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9" s="292">
        <f>SUM('PER BULAN'!AY130)</f>
        <v>0</v>
      </c>
      <c r="AS79" s="292">
        <f>SUM('PER BULAN'!AZ130)</f>
        <v>4950000</v>
      </c>
      <c r="AT79" s="292">
        <f>SUM('PER BULAN'!BA130)</f>
        <v>0</v>
      </c>
      <c r="AU79" s="292">
        <f>SUM('PER BULAN'!BB130)</f>
        <v>9900000</v>
      </c>
      <c r="AV79" s="292">
        <f>SUM('PER BULAN'!BC130)</f>
        <v>0</v>
      </c>
      <c r="AW79" s="292">
        <f>SUM('PER BULAN'!BD130)</f>
        <v>4950000</v>
      </c>
      <c r="AX79" s="292">
        <f>SUM('PER BULAN'!BE130)</f>
        <v>0</v>
      </c>
      <c r="AY79" s="292">
        <f>SUM('PER BULAN'!BF130)</f>
        <v>0</v>
      </c>
    </row>
    <row r="80" spans="1:51" s="278" customFormat="1" hidden="1" x14ac:dyDescent="0.3">
      <c r="A80" s="277" t="s">
        <v>4693</v>
      </c>
      <c r="B80" s="277" t="s">
        <v>4694</v>
      </c>
      <c r="C80" s="277" t="s">
        <v>4720</v>
      </c>
      <c r="D80" s="277" t="s">
        <v>4721</v>
      </c>
      <c r="E80" s="277" t="s">
        <v>197</v>
      </c>
      <c r="F80" s="277" t="s">
        <v>4722</v>
      </c>
      <c r="G80" s="277" t="s">
        <v>4737</v>
      </c>
      <c r="H80" s="277" t="s">
        <v>4738</v>
      </c>
      <c r="I80" s="277">
        <v>994</v>
      </c>
      <c r="J80" s="277" t="s">
        <v>6250</v>
      </c>
      <c r="K80" s="415" t="s">
        <v>557</v>
      </c>
      <c r="L80" s="277" t="s">
        <v>4654</v>
      </c>
      <c r="M80" s="277" t="s">
        <v>2219</v>
      </c>
      <c r="N80" s="277" t="s">
        <v>4756</v>
      </c>
      <c r="O80" s="277">
        <v>523121</v>
      </c>
      <c r="P80" s="277" t="s">
        <v>4757</v>
      </c>
      <c r="Q80" s="307" cm="1">
        <f t="array" ref="Q80">SUM(_xlfn._xlws.FILTER(#REF!,#REF!=SP2D!AN80,0))</f>
        <v>497050000</v>
      </c>
      <c r="R80" s="278">
        <v>497050000</v>
      </c>
      <c r="S80" s="292">
        <f>SUM('PER BULAN'!H132:J132)</f>
        <v>0</v>
      </c>
      <c r="T80" s="292">
        <f>SUM('PER BULAN'!K132:M132)</f>
        <v>0</v>
      </c>
      <c r="U80" s="292">
        <f>SUM('PER BULAN'!N132:P132)</f>
        <v>59591400</v>
      </c>
      <c r="V80" s="292">
        <f>SUM('PER BULAN'!Q132:S132)</f>
        <v>7448700</v>
      </c>
      <c r="W80" s="292">
        <f>SUM('PER BULAN'!T132:V132)</f>
        <v>18835340</v>
      </c>
      <c r="X80" s="292">
        <f>SUM('PER BULAN'!W132:Y132)</f>
        <v>0</v>
      </c>
      <c r="Y80" s="292">
        <f>SUM('PER BULAN'!Z132:AB132)</f>
        <v>0</v>
      </c>
      <c r="Z80" s="292">
        <f>SUM('PER BULAN'!AC132:AE132)</f>
        <v>0</v>
      </c>
      <c r="AA80" s="292">
        <f>SUM('PER BULAN'!AF132:AH132)</f>
        <v>0</v>
      </c>
      <c r="AB80" s="292">
        <f>SUM('PER BULAN'!AI132:AK132)</f>
        <v>0</v>
      </c>
      <c r="AC80" s="292">
        <f>SUM('PER BULAN'!AL132:AN132)</f>
        <v>0</v>
      </c>
      <c r="AD80" s="292">
        <f>SUM('PER BULAN'!AO132:AQ132)</f>
        <v>0</v>
      </c>
      <c r="AE80" s="277" t="s">
        <v>530</v>
      </c>
      <c r="AF80" s="277" t="s">
        <v>576</v>
      </c>
      <c r="AG80" s="277" t="s">
        <v>560</v>
      </c>
      <c r="AH80" s="277" t="s">
        <v>4699</v>
      </c>
      <c r="AI80" s="277" t="s">
        <v>4700</v>
      </c>
      <c r="AJ80" s="277">
        <f t="shared" si="7"/>
        <v>85875440</v>
      </c>
      <c r="AK80" s="291">
        <f t="shared" si="8"/>
        <v>17.277022432350869</v>
      </c>
      <c r="AL80" s="277">
        <f t="shared" si="9"/>
        <v>411174560</v>
      </c>
      <c r="AM80" s="291">
        <f t="shared" si="10"/>
        <v>82.722977567649124</v>
      </c>
      <c r="AN80" s="277" t="str">
        <f t="shared" si="11"/>
        <v>WA.2378.EBA.994.002.GC.523121</v>
      </c>
      <c r="AO80" s="277" t="str">
        <f>IF(ISNUMBER(SEARCH("COVID",Table7[[#This Row],[Akun]])),"COVID","Non COVID")</f>
        <v>Non COVID</v>
      </c>
      <c r="AP8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0" s="292">
        <f>SUM('PER BULAN'!AY132)</f>
        <v>25004200</v>
      </c>
      <c r="AS80" s="292">
        <f>SUM('PER BULAN'!AZ132)</f>
        <v>32727500</v>
      </c>
      <c r="AT80" s="292">
        <f>SUM('PER BULAN'!BA132)</f>
        <v>1859700</v>
      </c>
      <c r="AU80" s="292">
        <f>SUM('PER BULAN'!BB132)</f>
        <v>7448700</v>
      </c>
      <c r="AV80" s="292">
        <f>SUM('PER BULAN'!BC132)</f>
        <v>6968000</v>
      </c>
      <c r="AW80" s="292">
        <f>SUM('PER BULAN'!BD132)</f>
        <v>11867340</v>
      </c>
      <c r="AX80" s="292">
        <f>SUM('PER BULAN'!BE132)</f>
        <v>0</v>
      </c>
      <c r="AY80" s="292">
        <f>SUM('PER BULAN'!BF132)</f>
        <v>0</v>
      </c>
    </row>
    <row r="81" spans="1:51" s="278" customFormat="1" hidden="1" x14ac:dyDescent="0.3">
      <c r="A81" s="277" t="s">
        <v>4693</v>
      </c>
      <c r="B81" s="277" t="s">
        <v>4694</v>
      </c>
      <c r="C81" s="277" t="s">
        <v>4720</v>
      </c>
      <c r="D81" s="277" t="s">
        <v>4721</v>
      </c>
      <c r="E81" s="277" t="s">
        <v>197</v>
      </c>
      <c r="F81" s="277" t="s">
        <v>4722</v>
      </c>
      <c r="G81" s="277" t="s">
        <v>4737</v>
      </c>
      <c r="H81" s="277" t="s">
        <v>4738</v>
      </c>
      <c r="I81" s="277">
        <v>994</v>
      </c>
      <c r="J81" s="277" t="s">
        <v>6250</v>
      </c>
      <c r="K81" s="415" t="s">
        <v>557</v>
      </c>
      <c r="L81" s="277" t="s">
        <v>4654</v>
      </c>
      <c r="M81" s="277" t="s">
        <v>2219</v>
      </c>
      <c r="N81" s="277" t="s">
        <v>4756</v>
      </c>
      <c r="O81" s="277">
        <v>523199</v>
      </c>
      <c r="P81" s="277" t="s">
        <v>4758</v>
      </c>
      <c r="Q81" s="307" cm="1">
        <f t="array" ref="Q81">SUM(_xlfn._xlws.FILTER(#REF!,#REF!=SP2D!AN81,0))</f>
        <v>36000000</v>
      </c>
      <c r="R81" s="278">
        <v>36000000</v>
      </c>
      <c r="S81" s="292">
        <f>SUM('PER BULAN'!H134:J134)</f>
        <v>0</v>
      </c>
      <c r="T81" s="292">
        <f>SUM('PER BULAN'!K133:M133)</f>
        <v>0</v>
      </c>
      <c r="U81" s="292">
        <f>SUM('PER BULAN'!N133:P133)</f>
        <v>6000000</v>
      </c>
      <c r="V81" s="292">
        <f>SUM('PER BULAN'!Q133:S133)</f>
        <v>0</v>
      </c>
      <c r="W81" s="292">
        <f>SUM('PER BULAN'!T133:V133)</f>
        <v>3000000</v>
      </c>
      <c r="X81" s="292">
        <f>SUM('PER BULAN'!W133:Y133)</f>
        <v>0</v>
      </c>
      <c r="Y81" s="292">
        <f>SUM('PER BULAN'!Z133:AB133)</f>
        <v>0</v>
      </c>
      <c r="Z81" s="292">
        <f>SUM('PER BULAN'!AC133:AE133)</f>
        <v>0</v>
      </c>
      <c r="AA81" s="292">
        <f>SUM('PER BULAN'!AF133:AH133)</f>
        <v>0</v>
      </c>
      <c r="AB81" s="292">
        <f>SUM('PER BULAN'!AI133:AK133)</f>
        <v>0</v>
      </c>
      <c r="AC81" s="292">
        <f>SUM('PER BULAN'!AL133:AN133)</f>
        <v>0</v>
      </c>
      <c r="AD81" s="292">
        <f>SUM('PER BULAN'!AO133:AQ133)</f>
        <v>0</v>
      </c>
      <c r="AE81" s="277" t="s">
        <v>530</v>
      </c>
      <c r="AF81" s="277" t="s">
        <v>576</v>
      </c>
      <c r="AG81" s="277" t="s">
        <v>560</v>
      </c>
      <c r="AH81" s="277" t="s">
        <v>4699</v>
      </c>
      <c r="AI81" s="277" t="s">
        <v>4700</v>
      </c>
      <c r="AJ81" s="277">
        <f t="shared" si="7"/>
        <v>9000000</v>
      </c>
      <c r="AK81" s="291">
        <f t="shared" si="8"/>
        <v>25</v>
      </c>
      <c r="AL81" s="277">
        <f t="shared" si="9"/>
        <v>27000000</v>
      </c>
      <c r="AM81" s="291">
        <f t="shared" si="10"/>
        <v>75</v>
      </c>
      <c r="AN81" s="277" t="str">
        <f t="shared" si="11"/>
        <v>WA.2378.EBA.994.002.GC.523199</v>
      </c>
      <c r="AO81" s="277" t="str">
        <f>IF(ISNUMBER(SEARCH("COVID",Table7[[#This Row],[Akun]])),"COVID","Non COVID")</f>
        <v>Non COVID</v>
      </c>
      <c r="AP8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1" s="292">
        <f>SUM('PER BULAN'!AY133)</f>
        <v>0</v>
      </c>
      <c r="AS81" s="292">
        <f>SUM('PER BULAN'!AZ133)</f>
        <v>6000000</v>
      </c>
      <c r="AT81" s="292">
        <f>SUM('PER BULAN'!BA133)</f>
        <v>0</v>
      </c>
      <c r="AU81" s="292">
        <f>SUM('PER BULAN'!BB133)</f>
        <v>0</v>
      </c>
      <c r="AV81" s="292">
        <f>SUM('PER BULAN'!BC133)</f>
        <v>3000000</v>
      </c>
      <c r="AW81" s="292">
        <f>SUM('PER BULAN'!BD133)</f>
        <v>0</v>
      </c>
      <c r="AX81" s="292">
        <f>SUM('PER BULAN'!BE133)</f>
        <v>0</v>
      </c>
      <c r="AY81" s="292">
        <f>SUM('PER BULAN'!BF133)</f>
        <v>0</v>
      </c>
    </row>
    <row r="82" spans="1:51" s="278" customFormat="1" hidden="1" x14ac:dyDescent="0.3">
      <c r="A82" s="277" t="s">
        <v>4693</v>
      </c>
      <c r="B82" s="277" t="s">
        <v>4694</v>
      </c>
      <c r="C82" s="277" t="s">
        <v>4720</v>
      </c>
      <c r="D82" s="277" t="s">
        <v>4721</v>
      </c>
      <c r="E82" s="277" t="s">
        <v>197</v>
      </c>
      <c r="F82" s="277" t="s">
        <v>4722</v>
      </c>
      <c r="G82" s="277" t="s">
        <v>4737</v>
      </c>
      <c r="H82" s="277" t="s">
        <v>4738</v>
      </c>
      <c r="I82" s="277">
        <v>994</v>
      </c>
      <c r="J82" s="277" t="s">
        <v>6250</v>
      </c>
      <c r="K82" s="415" t="s">
        <v>557</v>
      </c>
      <c r="L82" s="277" t="s">
        <v>4654</v>
      </c>
      <c r="M82" s="277" t="s">
        <v>2239</v>
      </c>
      <c r="N82" s="277" t="s">
        <v>4759</v>
      </c>
      <c r="O82" s="277">
        <v>521111</v>
      </c>
      <c r="P82" s="277" t="s">
        <v>4753</v>
      </c>
      <c r="Q82" s="307" cm="1">
        <f t="array" ref="Q82">SUM(_xlfn._xlws.FILTER(#REF!,#REF!=SP2D!AN82,0))</f>
        <v>101040000</v>
      </c>
      <c r="R82" s="278">
        <v>101040000</v>
      </c>
      <c r="S82" s="292">
        <f>SUM('PER BULAN'!H135:J135)</f>
        <v>0</v>
      </c>
      <c r="T82" s="292">
        <f>SUM('PER BULAN'!K135:M135)</f>
        <v>0</v>
      </c>
      <c r="U82" s="292">
        <f>SUM('PER BULAN'!N135:P135)</f>
        <v>0</v>
      </c>
      <c r="V82" s="292">
        <f>SUM('PER BULAN'!Q135:S135)</f>
        <v>0</v>
      </c>
      <c r="W82" s="292">
        <f>SUM('PER BULAN'!T135:V135)</f>
        <v>44410000</v>
      </c>
      <c r="X82" s="292">
        <f>SUM('PER BULAN'!W135:Y135)</f>
        <v>0</v>
      </c>
      <c r="Y82" s="292">
        <f>SUM('PER BULAN'!Z135:AB135)</f>
        <v>0</v>
      </c>
      <c r="Z82" s="292">
        <f>SUM('PER BULAN'!AC135:AE135)</f>
        <v>0</v>
      </c>
      <c r="AA82" s="292">
        <f>SUM('PER BULAN'!AF135:AH135)</f>
        <v>0</v>
      </c>
      <c r="AB82" s="292">
        <f>SUM('PER BULAN'!AI135:AK135)</f>
        <v>0</v>
      </c>
      <c r="AC82" s="292">
        <f>SUM('PER BULAN'!AL135:AN135)</f>
        <v>0</v>
      </c>
      <c r="AD82" s="292">
        <f>SUM('PER BULAN'!AO135:AQ135)</f>
        <v>0</v>
      </c>
      <c r="AE82" s="277" t="s">
        <v>530</v>
      </c>
      <c r="AF82" s="277" t="s">
        <v>576</v>
      </c>
      <c r="AG82" s="277" t="s">
        <v>560</v>
      </c>
      <c r="AH82" s="277" t="s">
        <v>4699</v>
      </c>
      <c r="AI82" s="277" t="s">
        <v>4700</v>
      </c>
      <c r="AJ82" s="277">
        <f t="shared" si="7"/>
        <v>44410000</v>
      </c>
      <c r="AK82" s="291">
        <f t="shared" si="8"/>
        <v>43.952889944576405</v>
      </c>
      <c r="AL82" s="277">
        <f t="shared" si="9"/>
        <v>56630000</v>
      </c>
      <c r="AM82" s="291">
        <f t="shared" si="10"/>
        <v>56.047110055423602</v>
      </c>
      <c r="AN82" s="277" t="str">
        <f t="shared" si="11"/>
        <v>WA.2378.EBA.994.002.GD.521111</v>
      </c>
      <c r="AO82" s="277" t="str">
        <f>IF(ISNUMBER(SEARCH("COVID",Table7[[#This Row],[Akun]])),"COVID","Non COVID")</f>
        <v>Non COVID</v>
      </c>
      <c r="AP8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8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2" s="292">
        <f>SUM('PER BULAN'!AY135)</f>
        <v>0</v>
      </c>
      <c r="AS82" s="292">
        <f>SUM('PER BULAN'!AZ135)</f>
        <v>0</v>
      </c>
      <c r="AT82" s="292">
        <f>SUM('PER BULAN'!BA135)</f>
        <v>0</v>
      </c>
      <c r="AU82" s="292">
        <f>SUM('PER BULAN'!BB135)</f>
        <v>0</v>
      </c>
      <c r="AV82" s="292">
        <f>SUM('PER BULAN'!BC135)</f>
        <v>44410000</v>
      </c>
      <c r="AW82" s="292">
        <f>SUM('PER BULAN'!BD135)</f>
        <v>0</v>
      </c>
      <c r="AX82" s="292">
        <f>SUM('PER BULAN'!BE135)</f>
        <v>0</v>
      </c>
      <c r="AY82" s="292">
        <f>SUM('PER BULAN'!BF135)</f>
        <v>0</v>
      </c>
    </row>
    <row r="83" spans="1:51" s="278" customFormat="1" hidden="1" x14ac:dyDescent="0.3">
      <c r="A83" s="277" t="s">
        <v>4693</v>
      </c>
      <c r="B83" s="277" t="s">
        <v>4694</v>
      </c>
      <c r="C83" s="277" t="s">
        <v>4720</v>
      </c>
      <c r="D83" s="277" t="s">
        <v>4721</v>
      </c>
      <c r="E83" s="277" t="s">
        <v>197</v>
      </c>
      <c r="F83" s="277" t="s">
        <v>4722</v>
      </c>
      <c r="G83" s="277" t="s">
        <v>4737</v>
      </c>
      <c r="H83" s="277" t="s">
        <v>4738</v>
      </c>
      <c r="I83" s="277">
        <v>994</v>
      </c>
      <c r="J83" s="277" t="s">
        <v>6250</v>
      </c>
      <c r="K83" s="415" t="s">
        <v>557</v>
      </c>
      <c r="L83" s="277" t="s">
        <v>4654</v>
      </c>
      <c r="M83" s="277" t="s">
        <v>2239</v>
      </c>
      <c r="N83" s="277" t="s">
        <v>4759</v>
      </c>
      <c r="O83" s="277">
        <v>521115</v>
      </c>
      <c r="P83" s="277" t="s">
        <v>4760</v>
      </c>
      <c r="Q83" s="307" cm="1">
        <f t="array" ref="Q83">SUM(_xlfn._xlws.FILTER(#REF!,#REF!=SP2D!AN83,0))</f>
        <v>58336000</v>
      </c>
      <c r="R83" s="278">
        <v>58336000</v>
      </c>
      <c r="S83" s="292">
        <f>SUM('PER BULAN'!H137:J137)</f>
        <v>0</v>
      </c>
      <c r="T83" s="292">
        <f>SUM('PER BULAN'!K136:M136)</f>
        <v>0</v>
      </c>
      <c r="U83" s="292">
        <f>SUM('PER BULAN'!N136:P136)</f>
        <v>9456000</v>
      </c>
      <c r="V83" s="292">
        <f>SUM('PER BULAN'!Q136:S136)</f>
        <v>0</v>
      </c>
      <c r="W83" s="292">
        <f>SUM('PER BULAN'!T136:V136)</f>
        <v>4728000</v>
      </c>
      <c r="X83" s="292">
        <f>SUM('PER BULAN'!W136:Y136)</f>
        <v>0</v>
      </c>
      <c r="Y83" s="292">
        <f>SUM('PER BULAN'!Z136:AB136)</f>
        <v>0</v>
      </c>
      <c r="Z83" s="292">
        <f>SUM('PER BULAN'!AC136:AE136)</f>
        <v>0</v>
      </c>
      <c r="AA83" s="292">
        <f>SUM('PER BULAN'!AF136:AH136)</f>
        <v>0</v>
      </c>
      <c r="AB83" s="292">
        <f>SUM('PER BULAN'!AI136:AK136)</f>
        <v>0</v>
      </c>
      <c r="AC83" s="292">
        <f>SUM('PER BULAN'!AL136:AN136)</f>
        <v>0</v>
      </c>
      <c r="AD83" s="292">
        <f>SUM('PER BULAN'!AO136:AQ136)</f>
        <v>0</v>
      </c>
      <c r="AE83" s="277" t="s">
        <v>530</v>
      </c>
      <c r="AF83" s="277" t="s">
        <v>576</v>
      </c>
      <c r="AG83" s="277" t="s">
        <v>560</v>
      </c>
      <c r="AH83" s="277" t="s">
        <v>4699</v>
      </c>
      <c r="AI83" s="277" t="s">
        <v>4700</v>
      </c>
      <c r="AJ83" s="277">
        <f t="shared" si="7"/>
        <v>14184000</v>
      </c>
      <c r="AK83" s="291">
        <f t="shared" si="8"/>
        <v>24.314317059791552</v>
      </c>
      <c r="AL83" s="277">
        <f t="shared" si="9"/>
        <v>44152000</v>
      </c>
      <c r="AM83" s="291">
        <f t="shared" si="10"/>
        <v>75.685682940208437</v>
      </c>
      <c r="AN83" s="277" t="str">
        <f t="shared" si="11"/>
        <v>WA.2378.EBA.994.002.GD.521115</v>
      </c>
      <c r="AO83" s="277" t="str">
        <f>IF(ISNUMBER(SEARCH("COVID",Table7[[#This Row],[Akun]])),"COVID","Non COVID")</f>
        <v>Non COVID</v>
      </c>
      <c r="AP8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HONOR OPERASIONAL SATKER</v>
      </c>
      <c r="AQ8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3" s="292">
        <f>SUM('PER BULAN'!AY136)</f>
        <v>0</v>
      </c>
      <c r="AS83" s="292">
        <f>SUM('PER BULAN'!AZ136)</f>
        <v>9456000</v>
      </c>
      <c r="AT83" s="292">
        <f>SUM('PER BULAN'!BA136)</f>
        <v>0</v>
      </c>
      <c r="AU83" s="292">
        <f>SUM('PER BULAN'!BB136)</f>
        <v>0</v>
      </c>
      <c r="AV83" s="292">
        <f>SUM('PER BULAN'!BC136)</f>
        <v>0</v>
      </c>
      <c r="AW83" s="292">
        <f>SUM('PER BULAN'!BD136)</f>
        <v>4728000</v>
      </c>
      <c r="AX83" s="292">
        <f>SUM('PER BULAN'!BE136)</f>
        <v>0</v>
      </c>
      <c r="AY83" s="292">
        <f>SUM('PER BULAN'!BF136)</f>
        <v>0</v>
      </c>
    </row>
    <row r="84" spans="1:51" s="278" customFormat="1" hidden="1" x14ac:dyDescent="0.3">
      <c r="A84" s="277" t="s">
        <v>4693</v>
      </c>
      <c r="B84" s="277" t="s">
        <v>4694</v>
      </c>
      <c r="C84" s="277" t="s">
        <v>4720</v>
      </c>
      <c r="D84" s="277" t="s">
        <v>4721</v>
      </c>
      <c r="E84" s="277" t="s">
        <v>197</v>
      </c>
      <c r="F84" s="277" t="s">
        <v>4722</v>
      </c>
      <c r="G84" s="277" t="s">
        <v>4737</v>
      </c>
      <c r="H84" s="277" t="s">
        <v>4738</v>
      </c>
      <c r="I84" s="277">
        <v>994</v>
      </c>
      <c r="J84" s="277" t="s">
        <v>6250</v>
      </c>
      <c r="K84" s="415" t="s">
        <v>557</v>
      </c>
      <c r="L84" s="277" t="s">
        <v>4654</v>
      </c>
      <c r="M84" s="277" t="s">
        <v>4224</v>
      </c>
      <c r="N84" s="277" t="s">
        <v>4761</v>
      </c>
      <c r="O84" s="277">
        <v>521111</v>
      </c>
      <c r="P84" s="277" t="s">
        <v>4753</v>
      </c>
      <c r="Q84" s="307" cm="1">
        <f t="array" ref="Q84">SUM(_xlfn._xlws.FILTER(#REF!,#REF!=SP2D!AN84,0))</f>
        <v>0</v>
      </c>
      <c r="R84" s="278">
        <v>45000000</v>
      </c>
      <c r="S84" s="292">
        <f>SUM('PER BULAN'!H138:J138)</f>
        <v>0</v>
      </c>
      <c r="T84" s="292">
        <f>SUM('PER BULAN'!K138:M138)</f>
        <v>0</v>
      </c>
      <c r="U84" s="292">
        <f>SUM('PER BULAN'!N138:P138)</f>
        <v>0</v>
      </c>
      <c r="V84" s="292">
        <f>SUM('PER BULAN'!Q138:S138)</f>
        <v>0</v>
      </c>
      <c r="W84" s="292">
        <f>SUM('PER BULAN'!T138:V138)</f>
        <v>0</v>
      </c>
      <c r="X84" s="292">
        <f>SUM('PER BULAN'!W138:Y138)</f>
        <v>0</v>
      </c>
      <c r="Y84" s="292">
        <f>SUM('PER BULAN'!Z138:AB138)</f>
        <v>0</v>
      </c>
      <c r="Z84" s="292">
        <f>SUM('PER BULAN'!AC138:AE138)</f>
        <v>0</v>
      </c>
      <c r="AA84" s="292">
        <f>SUM('PER BULAN'!AF138:AH138)</f>
        <v>0</v>
      </c>
      <c r="AB84" s="292">
        <f>SUM('PER BULAN'!AI138:AK138)</f>
        <v>0</v>
      </c>
      <c r="AC84" s="292">
        <f>SUM('PER BULAN'!AL138:AN138)</f>
        <v>0</v>
      </c>
      <c r="AD84" s="292">
        <f>SUM('PER BULAN'!AO138:AQ138)</f>
        <v>0</v>
      </c>
      <c r="AE84" s="277" t="s">
        <v>530</v>
      </c>
      <c r="AF84" s="277" t="s">
        <v>576</v>
      </c>
      <c r="AG84" s="277" t="s">
        <v>560</v>
      </c>
      <c r="AH84" s="277" t="s">
        <v>4699</v>
      </c>
      <c r="AI84" s="277" t="s">
        <v>4700</v>
      </c>
      <c r="AJ84" s="277">
        <f t="shared" si="7"/>
        <v>0</v>
      </c>
      <c r="AK84" s="291">
        <f t="shared" si="8"/>
        <v>0</v>
      </c>
      <c r="AL84" s="277">
        <f t="shared" si="9"/>
        <v>0</v>
      </c>
      <c r="AM84" s="291">
        <f t="shared" si="10"/>
        <v>0</v>
      </c>
      <c r="AN84" s="277" t="str">
        <f t="shared" si="11"/>
        <v>WA.2378.EBA.994.002.GE.521111</v>
      </c>
      <c r="AO84" s="277" t="str">
        <f>IF(ISNUMBER(SEARCH("COVID",Table7[[#This Row],[Akun]])),"COVID","Non COVID")</f>
        <v>Non COVID</v>
      </c>
      <c r="AP8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8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4" s="292">
        <f>SUM('PER BULAN'!AY138)</f>
        <v>0</v>
      </c>
      <c r="AS84" s="292">
        <f>SUM('PER BULAN'!AZ138)</f>
        <v>0</v>
      </c>
      <c r="AT84" s="292">
        <f>SUM('PER BULAN'!BA138)</f>
        <v>0</v>
      </c>
      <c r="AU84" s="292">
        <f>SUM('PER BULAN'!BB138)</f>
        <v>0</v>
      </c>
      <c r="AV84" s="292">
        <f>SUM('PER BULAN'!BC138)</f>
        <v>0</v>
      </c>
      <c r="AW84" s="292">
        <f>SUM('PER BULAN'!BD138)</f>
        <v>0</v>
      </c>
      <c r="AX84" s="292">
        <f>SUM('PER BULAN'!BE138)</f>
        <v>0</v>
      </c>
      <c r="AY84" s="292">
        <f>SUM('PER BULAN'!BF138)</f>
        <v>0</v>
      </c>
    </row>
    <row r="85" spans="1:51" s="278" customFormat="1" hidden="1" x14ac:dyDescent="0.3">
      <c r="A85" s="277" t="s">
        <v>4693</v>
      </c>
      <c r="B85" s="277" t="s">
        <v>4694</v>
      </c>
      <c r="C85" s="277" t="s">
        <v>4720</v>
      </c>
      <c r="D85" s="277" t="s">
        <v>4721</v>
      </c>
      <c r="E85" s="277" t="s">
        <v>197</v>
      </c>
      <c r="F85" s="277" t="s">
        <v>4722</v>
      </c>
      <c r="G85" s="277" t="s">
        <v>4737</v>
      </c>
      <c r="H85" s="277" t="s">
        <v>4738</v>
      </c>
      <c r="I85" s="277">
        <v>994</v>
      </c>
      <c r="J85" s="277" t="s">
        <v>6250</v>
      </c>
      <c r="K85" s="415" t="s">
        <v>557</v>
      </c>
      <c r="L85" s="277" t="s">
        <v>4654</v>
      </c>
      <c r="M85" s="277" t="s">
        <v>4224</v>
      </c>
      <c r="N85" s="277" t="s">
        <v>4761</v>
      </c>
      <c r="O85" s="277">
        <v>521811</v>
      </c>
      <c r="P85" s="277" t="s">
        <v>4716</v>
      </c>
      <c r="Q85" s="307" cm="1">
        <f t="array" ref="Q85">SUM(_xlfn._xlws.FILTER(#REF!,#REF!=SP2D!AN85,0))</f>
        <v>0</v>
      </c>
      <c r="R85" s="278">
        <v>26000000</v>
      </c>
      <c r="S85" s="292">
        <f>SUM('PER BULAN'!H139:J139)</f>
        <v>0</v>
      </c>
      <c r="T85" s="292">
        <f>SUM('PER BULAN'!K139:M139)</f>
        <v>0</v>
      </c>
      <c r="U85" s="292">
        <f>SUM('PER BULAN'!N139:P139)</f>
        <v>0</v>
      </c>
      <c r="V85" s="292">
        <f>SUM('PER BULAN'!Q139:S139)</f>
        <v>0</v>
      </c>
      <c r="W85" s="292">
        <f>SUM('PER BULAN'!T139:V139)</f>
        <v>0</v>
      </c>
      <c r="X85" s="292">
        <f>SUM('PER BULAN'!W139:Y139)</f>
        <v>0</v>
      </c>
      <c r="Y85" s="292">
        <f>SUM('PER BULAN'!Z139:AB139)</f>
        <v>0</v>
      </c>
      <c r="Z85" s="292">
        <f>SUM('PER BULAN'!AC139:AE139)</f>
        <v>0</v>
      </c>
      <c r="AA85" s="292">
        <f>SUM('PER BULAN'!AF139:AH139)</f>
        <v>0</v>
      </c>
      <c r="AB85" s="292">
        <f>SUM('PER BULAN'!AI139:AK139)</f>
        <v>0</v>
      </c>
      <c r="AC85" s="292">
        <f>SUM('PER BULAN'!AL139:AN139)</f>
        <v>0</v>
      </c>
      <c r="AD85" s="292">
        <f>SUM('PER BULAN'!AO139:AQ139)</f>
        <v>0</v>
      </c>
      <c r="AE85" s="277" t="s">
        <v>530</v>
      </c>
      <c r="AF85" s="277" t="s">
        <v>576</v>
      </c>
      <c r="AG85" s="277" t="s">
        <v>560</v>
      </c>
      <c r="AH85" s="277" t="s">
        <v>4699</v>
      </c>
      <c r="AI85" s="277" t="s">
        <v>4700</v>
      </c>
      <c r="AJ85" s="277">
        <f t="shared" si="7"/>
        <v>0</v>
      </c>
      <c r="AK85" s="291">
        <f t="shared" si="8"/>
        <v>0</v>
      </c>
      <c r="AL85" s="277">
        <f t="shared" si="9"/>
        <v>0</v>
      </c>
      <c r="AM85" s="291">
        <f t="shared" si="10"/>
        <v>0</v>
      </c>
      <c r="AN85" s="277" t="str">
        <f t="shared" si="11"/>
        <v>WA.2378.EBA.994.002.GE.521811</v>
      </c>
      <c r="AO85" s="277" t="str">
        <f>IF(ISNUMBER(SEARCH("COVID",Table7[[#This Row],[Akun]])),"COVID","Non COVID")</f>
        <v>Non COVID</v>
      </c>
      <c r="AP8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8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5" s="292">
        <f>SUM('PER BULAN'!AY139)</f>
        <v>0</v>
      </c>
      <c r="AS85" s="292">
        <f>SUM('PER BULAN'!AZ139)</f>
        <v>0</v>
      </c>
      <c r="AT85" s="292">
        <f>SUM('PER BULAN'!BA139)</f>
        <v>0</v>
      </c>
      <c r="AU85" s="292">
        <f>SUM('PER BULAN'!BB139)</f>
        <v>0</v>
      </c>
      <c r="AV85" s="292">
        <f>SUM('PER BULAN'!BC139)</f>
        <v>0</v>
      </c>
      <c r="AW85" s="292">
        <f>SUM('PER BULAN'!BD139)</f>
        <v>0</v>
      </c>
      <c r="AX85" s="292">
        <f>SUM('PER BULAN'!BE139)</f>
        <v>0</v>
      </c>
      <c r="AY85" s="292">
        <f>SUM('PER BULAN'!BF139)</f>
        <v>0</v>
      </c>
    </row>
    <row r="86" spans="1:51" s="278" customFormat="1" hidden="1" x14ac:dyDescent="0.3">
      <c r="A86" s="277" t="s">
        <v>4693</v>
      </c>
      <c r="B86" s="277" t="s">
        <v>4694</v>
      </c>
      <c r="C86" s="277" t="s">
        <v>4720</v>
      </c>
      <c r="D86" s="277" t="s">
        <v>4721</v>
      </c>
      <c r="E86" s="277" t="s">
        <v>197</v>
      </c>
      <c r="F86" s="277" t="s">
        <v>4722</v>
      </c>
      <c r="G86" s="277" t="s">
        <v>4737</v>
      </c>
      <c r="H86" s="277" t="s">
        <v>4738</v>
      </c>
      <c r="I86" s="277">
        <v>994</v>
      </c>
      <c r="J86" s="277" t="s">
        <v>6250</v>
      </c>
      <c r="K86" s="415" t="s">
        <v>557</v>
      </c>
      <c r="L86" s="277" t="s">
        <v>4654</v>
      </c>
      <c r="M86" s="277" t="s">
        <v>4224</v>
      </c>
      <c r="N86" s="277" t="s">
        <v>4761</v>
      </c>
      <c r="O86" s="277">
        <v>523121</v>
      </c>
      <c r="P86" s="277" t="s">
        <v>4757</v>
      </c>
      <c r="Q86" s="307" cm="1">
        <f t="array" ref="Q86">SUM(_xlfn._xlws.FILTER(#REF!,#REF!=SP2D!AN86,0))</f>
        <v>0</v>
      </c>
      <c r="R86" s="278">
        <v>29000000</v>
      </c>
      <c r="S86" s="292">
        <f>SUM('PER BULAN'!H144:J144)</f>
        <v>0</v>
      </c>
      <c r="T86" s="292">
        <f>SUM('PER BULAN'!K140:M140)</f>
        <v>0</v>
      </c>
      <c r="U86" s="292">
        <f>SUM('PER BULAN'!N140:P140)</f>
        <v>0</v>
      </c>
      <c r="V86" s="292">
        <f>SUM('PER BULAN'!Q140:S140)</f>
        <v>0</v>
      </c>
      <c r="W86" s="292">
        <f>SUM('PER BULAN'!T140:V140)</f>
        <v>0</v>
      </c>
      <c r="X86" s="292">
        <f>SUM('PER BULAN'!W140:Y140)</f>
        <v>0</v>
      </c>
      <c r="Y86" s="292">
        <f>SUM('PER BULAN'!Z140:AB140)</f>
        <v>0</v>
      </c>
      <c r="Z86" s="292">
        <f>SUM('PER BULAN'!AC140:AE140)</f>
        <v>0</v>
      </c>
      <c r="AA86" s="292">
        <f>SUM('PER BULAN'!AF140:AH140)</f>
        <v>0</v>
      </c>
      <c r="AB86" s="292">
        <f>SUM('PER BULAN'!AI140:AK140)</f>
        <v>0</v>
      </c>
      <c r="AC86" s="292">
        <f>SUM('PER BULAN'!AL140:AN140)</f>
        <v>0</v>
      </c>
      <c r="AD86" s="292">
        <f>SUM('PER BULAN'!AO140:AQ140)</f>
        <v>0</v>
      </c>
      <c r="AE86" s="277" t="s">
        <v>530</v>
      </c>
      <c r="AF86" s="277" t="s">
        <v>576</v>
      </c>
      <c r="AG86" s="277" t="s">
        <v>560</v>
      </c>
      <c r="AH86" s="277" t="s">
        <v>4699</v>
      </c>
      <c r="AI86" s="277" t="s">
        <v>4700</v>
      </c>
      <c r="AJ86" s="277">
        <f t="shared" si="7"/>
        <v>0</v>
      </c>
      <c r="AK86" s="291">
        <f t="shared" si="8"/>
        <v>0</v>
      </c>
      <c r="AL86" s="277">
        <f t="shared" si="9"/>
        <v>0</v>
      </c>
      <c r="AM86" s="291">
        <f t="shared" si="10"/>
        <v>0</v>
      </c>
      <c r="AN86" s="277" t="str">
        <f t="shared" si="11"/>
        <v>WA.2378.EBA.994.002.GE.523121</v>
      </c>
      <c r="AO86" s="277" t="str">
        <f>IF(ISNUMBER(SEARCH("COVID",Table7[[#This Row],[Akun]])),"COVID","Non COVID")</f>
        <v>Non COVID</v>
      </c>
      <c r="AP8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6" s="292">
        <f>SUM('PER BULAN'!AY140)</f>
        <v>0</v>
      </c>
      <c r="AS86" s="292">
        <f>SUM('PER BULAN'!AZ140)</f>
        <v>0</v>
      </c>
      <c r="AT86" s="292">
        <f>SUM('PER BULAN'!BA140)</f>
        <v>0</v>
      </c>
      <c r="AU86" s="292">
        <f>SUM('PER BULAN'!BB140)</f>
        <v>0</v>
      </c>
      <c r="AV86" s="292">
        <f>SUM('PER BULAN'!BC140)</f>
        <v>0</v>
      </c>
      <c r="AW86" s="292">
        <f>SUM('PER BULAN'!BD140)</f>
        <v>0</v>
      </c>
      <c r="AX86" s="292">
        <f>SUM('PER BULAN'!BE140)</f>
        <v>0</v>
      </c>
      <c r="AY86" s="292">
        <f>SUM('PER BULAN'!BF140)</f>
        <v>0</v>
      </c>
    </row>
    <row r="87" spans="1:51" s="278" customFormat="1" hidden="1" x14ac:dyDescent="0.3">
      <c r="A87" s="277" t="s">
        <v>4693</v>
      </c>
      <c r="B87" s="277" t="s">
        <v>4694</v>
      </c>
      <c r="C87" s="277" t="s">
        <v>4720</v>
      </c>
      <c r="D87" s="277" t="s">
        <v>4721</v>
      </c>
      <c r="E87" s="277" t="s">
        <v>197</v>
      </c>
      <c r="F87" s="277" t="s">
        <v>4722</v>
      </c>
      <c r="G87" s="277" t="s">
        <v>4762</v>
      </c>
      <c r="H87" s="277" t="s">
        <v>4763</v>
      </c>
      <c r="I87" s="277">
        <v>951</v>
      </c>
      <c r="J87" s="277" t="s">
        <v>4764</v>
      </c>
      <c r="K87" s="277">
        <v>301</v>
      </c>
      <c r="L87" s="277" t="s">
        <v>4765</v>
      </c>
      <c r="M87" s="277" t="s">
        <v>8</v>
      </c>
      <c r="N87" s="277" t="s">
        <v>4766</v>
      </c>
      <c r="O87" s="277">
        <v>532111</v>
      </c>
      <c r="P87" s="277" t="s">
        <v>4705</v>
      </c>
      <c r="Q87" s="307" cm="1">
        <f t="array" ref="Q87">SUM(_xlfn._xlws.FILTER(#REF!,#REF!=SP2D!AN87,0))</f>
        <v>540000000</v>
      </c>
      <c r="R87" s="278">
        <v>540934000</v>
      </c>
      <c r="S87" s="292">
        <f>SUM('PER BULAN'!H149:J149)</f>
        <v>0</v>
      </c>
      <c r="T87" s="292">
        <f>SUM('PER BULAN'!K145:M145)</f>
        <v>0</v>
      </c>
      <c r="U87" s="292">
        <f>SUM('PER BULAN'!N145:P145)</f>
        <v>0</v>
      </c>
      <c r="V87" s="292">
        <f>SUM('PER BULAN'!Q145:S145)</f>
        <v>0</v>
      </c>
      <c r="W87" s="292">
        <f>SUM('PER BULAN'!T145:V145)</f>
        <v>540000000</v>
      </c>
      <c r="X87" s="292">
        <f>SUM('PER BULAN'!W145:Y145)</f>
        <v>0</v>
      </c>
      <c r="Y87" s="292">
        <f>SUM('PER BULAN'!Z145:AB145)</f>
        <v>0</v>
      </c>
      <c r="Z87" s="292">
        <f>SUM('PER BULAN'!AC145:AE145)</f>
        <v>0</v>
      </c>
      <c r="AA87" s="292">
        <f>SUM('PER BULAN'!AF145:AH145)</f>
        <v>0</v>
      </c>
      <c r="AB87" s="292">
        <f>SUM('PER BULAN'!AI145:AK145)</f>
        <v>0</v>
      </c>
      <c r="AC87" s="292">
        <f>SUM('PER BULAN'!AL145:AN145)</f>
        <v>0</v>
      </c>
      <c r="AD87" s="292">
        <f>SUM('PER BULAN'!AO145:AQ145)</f>
        <v>0</v>
      </c>
      <c r="AE87" s="277" t="s">
        <v>530</v>
      </c>
      <c r="AF87" s="277" t="s">
        <v>576</v>
      </c>
      <c r="AG87" s="277" t="s">
        <v>560</v>
      </c>
      <c r="AH87" s="277">
        <v>53</v>
      </c>
      <c r="AI87" s="277" t="s">
        <v>4700</v>
      </c>
      <c r="AJ87" s="277">
        <f t="shared" si="7"/>
        <v>540000000</v>
      </c>
      <c r="AK87" s="291">
        <f t="shared" si="8"/>
        <v>100</v>
      </c>
      <c r="AL87" s="277">
        <f t="shared" si="9"/>
        <v>0</v>
      </c>
      <c r="AM87" s="291">
        <f t="shared" si="10"/>
        <v>0</v>
      </c>
      <c r="AN87" s="277" t="str">
        <f t="shared" si="11"/>
        <v>WA.2378.EBB.951.301.A.532111</v>
      </c>
      <c r="AO87" s="277" t="str">
        <f>IF(ISNUMBER(SEARCH("COVID",Table7[[#This Row],[Akun]])),"COVID","Non COVID")</f>
        <v>Non COVID</v>
      </c>
      <c r="AP8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MODAL</v>
      </c>
      <c r="AQ87" s="277" t="str">
        <f>IF(AND(ISNUMBER(SEARCH("OPERASIONAL",Table7[[#This Row],[Komponen]])),ISNUMBER(SEARCH("LAYANAN PERKANTORAN",Table7[[#This Row],[SubOutput]]))),"Belanja Barang Operasional",IF(LEFT(Table7[[#This Row],[kdakun]],2)="53","Belanja Modal",IF(LEFT(Table7[[#This Row],[kdakun]],2)="51","Belanja Pegawai","Belanja Barang Non Operasional")))</f>
        <v>Belanja Modal</v>
      </c>
      <c r="AR87" s="292">
        <f>SUM('PER BULAN'!AY145)</f>
        <v>0</v>
      </c>
      <c r="AS87" s="292">
        <f>SUM('PER BULAN'!AZ145)</f>
        <v>0</v>
      </c>
      <c r="AT87" s="292">
        <f>SUM('PER BULAN'!BA145)</f>
        <v>0</v>
      </c>
      <c r="AU87" s="292">
        <f>SUM('PER BULAN'!BB145)</f>
        <v>0</v>
      </c>
      <c r="AV87" s="292">
        <f>SUM('PER BULAN'!BC145)</f>
        <v>0</v>
      </c>
      <c r="AW87" s="292">
        <f>SUM('PER BULAN'!BD145)</f>
        <v>0</v>
      </c>
      <c r="AX87" s="292">
        <f>SUM('PER BULAN'!BE145)</f>
        <v>0</v>
      </c>
      <c r="AY87" s="292">
        <f>SUM('PER BULAN'!BF145)</f>
        <v>0</v>
      </c>
    </row>
    <row r="88" spans="1:51" s="278" customFormat="1" hidden="1" x14ac:dyDescent="0.3">
      <c r="A88" s="277" t="s">
        <v>4693</v>
      </c>
      <c r="B88" s="277" t="s">
        <v>4694</v>
      </c>
      <c r="C88" s="277" t="s">
        <v>4720</v>
      </c>
      <c r="D88" s="277" t="s">
        <v>4721</v>
      </c>
      <c r="E88" s="277" t="s">
        <v>197</v>
      </c>
      <c r="F88" s="277" t="s">
        <v>4722</v>
      </c>
      <c r="G88" s="277" t="s">
        <v>4767</v>
      </c>
      <c r="H88" s="277" t="s">
        <v>4768</v>
      </c>
      <c r="I88" s="277">
        <v>952</v>
      </c>
      <c r="J88" s="277" t="s">
        <v>4769</v>
      </c>
      <c r="K88" s="277">
        <v>301</v>
      </c>
      <c r="L88" s="277" t="s">
        <v>4770</v>
      </c>
      <c r="M88" s="277" t="s">
        <v>8</v>
      </c>
      <c r="N88" s="277" t="s">
        <v>4771</v>
      </c>
      <c r="O88" s="277">
        <v>521211</v>
      </c>
      <c r="P88" s="277" t="s">
        <v>4698</v>
      </c>
      <c r="Q88" s="307" cm="1">
        <f t="array" ref="Q88">SUM(_xlfn._xlws.FILTER(#REF!,#REF!=SP2D!AN88,0))</f>
        <v>6000000</v>
      </c>
      <c r="R88" s="278">
        <v>22650000</v>
      </c>
      <c r="S88" s="292">
        <f>SUM('PER BULAN'!H150:J150)</f>
        <v>0</v>
      </c>
      <c r="T88" s="292">
        <f>SUM('PER BULAN'!K150:M150)</f>
        <v>0</v>
      </c>
      <c r="U88" s="292">
        <f>SUM('PER BULAN'!N150:P150)</f>
        <v>1498000</v>
      </c>
      <c r="V88" s="292">
        <f>SUM('PER BULAN'!Q150:S150)</f>
        <v>0</v>
      </c>
      <c r="W88" s="292">
        <f>SUM('PER BULAN'!T150:V150)</f>
        <v>1493000</v>
      </c>
      <c r="X88" s="292">
        <f>SUM('PER BULAN'!W150:Y150)</f>
        <v>0</v>
      </c>
      <c r="Y88" s="292">
        <f>SUM('PER BULAN'!Z150:AB150)</f>
        <v>0</v>
      </c>
      <c r="Z88" s="292">
        <f>SUM('PER BULAN'!AC150:AE150)</f>
        <v>0</v>
      </c>
      <c r="AA88" s="292">
        <f>SUM('PER BULAN'!AF150:AH150)</f>
        <v>0</v>
      </c>
      <c r="AB88" s="292">
        <f>SUM('PER BULAN'!AI150:AK150)</f>
        <v>0</v>
      </c>
      <c r="AC88" s="292">
        <f>SUM('PER BULAN'!AL150:AN150)</f>
        <v>0</v>
      </c>
      <c r="AD88" s="292">
        <f>SUM('PER BULAN'!AO150:AQ150)</f>
        <v>0</v>
      </c>
      <c r="AE88" s="277" t="s">
        <v>530</v>
      </c>
      <c r="AF88" s="277" t="s">
        <v>542</v>
      </c>
      <c r="AG88" s="277" t="s">
        <v>543</v>
      </c>
      <c r="AH88" s="277" t="s">
        <v>4699</v>
      </c>
      <c r="AI88" s="277" t="s">
        <v>4700</v>
      </c>
      <c r="AJ88" s="277">
        <f t="shared" si="7"/>
        <v>2991000</v>
      </c>
      <c r="AK88" s="291">
        <f t="shared" si="8"/>
        <v>49.85</v>
      </c>
      <c r="AL88" s="277">
        <f t="shared" si="9"/>
        <v>3009000</v>
      </c>
      <c r="AM88" s="291">
        <f t="shared" si="10"/>
        <v>50.149999999999991</v>
      </c>
      <c r="AN88" s="277" t="str">
        <f t="shared" si="11"/>
        <v>WA.2378.EBD.952.301.A.521211</v>
      </c>
      <c r="AO88" s="277" t="str">
        <f>IF(ISNUMBER(SEARCH("COVID",Table7[[#This Row],[Akun]])),"COVID","Non COVID")</f>
        <v>Non COVID</v>
      </c>
      <c r="AP8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8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8" s="292">
        <f>SUM('PER BULAN'!AY150)</f>
        <v>0</v>
      </c>
      <c r="AS88" s="292">
        <f>SUM('PER BULAN'!AZ150)</f>
        <v>1498000</v>
      </c>
      <c r="AT88" s="292">
        <f>SUM('PER BULAN'!BA150)</f>
        <v>0</v>
      </c>
      <c r="AU88" s="292">
        <f>SUM('PER BULAN'!BB150)</f>
        <v>0</v>
      </c>
      <c r="AV88" s="292">
        <f>SUM('PER BULAN'!BC150)</f>
        <v>0</v>
      </c>
      <c r="AW88" s="292">
        <f>SUM('PER BULAN'!BD150)</f>
        <v>0</v>
      </c>
      <c r="AX88" s="292">
        <f>SUM('PER BULAN'!BE150)</f>
        <v>1493000</v>
      </c>
      <c r="AY88" s="292">
        <f>SUM('PER BULAN'!BF150)</f>
        <v>0</v>
      </c>
    </row>
    <row r="89" spans="1:51" s="278" customFormat="1" hidden="1" x14ac:dyDescent="0.3">
      <c r="A89" s="277" t="s">
        <v>4693</v>
      </c>
      <c r="B89" s="277" t="s">
        <v>4694</v>
      </c>
      <c r="C89" s="277" t="s">
        <v>4720</v>
      </c>
      <c r="D89" s="277" t="s">
        <v>4721</v>
      </c>
      <c r="E89" s="277" t="s">
        <v>197</v>
      </c>
      <c r="F89" s="277" t="s">
        <v>4722</v>
      </c>
      <c r="G89" s="277" t="s">
        <v>4767</v>
      </c>
      <c r="H89" s="277" t="s">
        <v>4768</v>
      </c>
      <c r="I89" s="277">
        <v>952</v>
      </c>
      <c r="J89" s="277" t="s">
        <v>4769</v>
      </c>
      <c r="K89" s="277">
        <v>301</v>
      </c>
      <c r="L89" s="277" t="s">
        <v>4770</v>
      </c>
      <c r="M89" s="277" t="s">
        <v>8</v>
      </c>
      <c r="N89" s="277" t="s">
        <v>4771</v>
      </c>
      <c r="O89" s="277">
        <v>521219</v>
      </c>
      <c r="P89" s="277" t="s">
        <v>4711</v>
      </c>
      <c r="Q89" s="307" cm="1">
        <f t="array" ref="Q89">SUM(_xlfn._xlws.FILTER(#REF!,#REF!=SP2D!AN89,0))</f>
        <v>1000000</v>
      </c>
      <c r="R89" s="278">
        <v>1000000</v>
      </c>
      <c r="S89" s="292">
        <f>SUM('PER BULAN'!H151:J151)</f>
        <v>0</v>
      </c>
      <c r="T89" s="292">
        <f>SUM('PER BULAN'!K151:M151)</f>
        <v>0</v>
      </c>
      <c r="U89" s="292">
        <f>SUM('PER BULAN'!N151:P151)</f>
        <v>346915</v>
      </c>
      <c r="V89" s="292">
        <f>SUM('PER BULAN'!Q151:S151)</f>
        <v>0</v>
      </c>
      <c r="W89" s="292">
        <f>SUM('PER BULAN'!T151:V151)</f>
        <v>355980</v>
      </c>
      <c r="X89" s="292">
        <f>SUM('PER BULAN'!W151:Y151)</f>
        <v>0</v>
      </c>
      <c r="Y89" s="292">
        <f>SUM('PER BULAN'!Z151:AB151)</f>
        <v>0</v>
      </c>
      <c r="Z89" s="292">
        <f>SUM('PER BULAN'!AC151:AE151)</f>
        <v>0</v>
      </c>
      <c r="AA89" s="292">
        <f>SUM('PER BULAN'!AF151:AH151)</f>
        <v>0</v>
      </c>
      <c r="AB89" s="292">
        <f>SUM('PER BULAN'!AI151:AK151)</f>
        <v>0</v>
      </c>
      <c r="AC89" s="292">
        <f>SUM('PER BULAN'!AL151:AN151)</f>
        <v>0</v>
      </c>
      <c r="AD89" s="292">
        <f>SUM('PER BULAN'!AO151:AQ151)</f>
        <v>0</v>
      </c>
      <c r="AE89" s="277" t="s">
        <v>530</v>
      </c>
      <c r="AF89" s="277" t="s">
        <v>542</v>
      </c>
      <c r="AG89" s="277" t="s">
        <v>543</v>
      </c>
      <c r="AH89" s="277" t="s">
        <v>4699</v>
      </c>
      <c r="AI89" s="277" t="s">
        <v>4700</v>
      </c>
      <c r="AJ89" s="277">
        <f t="shared" si="7"/>
        <v>702895</v>
      </c>
      <c r="AK89" s="291">
        <f t="shared" si="8"/>
        <v>70.289500000000004</v>
      </c>
      <c r="AL89" s="277">
        <f t="shared" si="9"/>
        <v>297105</v>
      </c>
      <c r="AM89" s="291">
        <f t="shared" si="10"/>
        <v>29.7105</v>
      </c>
      <c r="AN89" s="277" t="str">
        <f t="shared" si="11"/>
        <v>WA.2378.EBD.952.301.A.521219</v>
      </c>
      <c r="AO89" s="277" t="str">
        <f>IF(ISNUMBER(SEARCH("COVID",Table7[[#This Row],[Akun]])),"COVID","Non COVID")</f>
        <v>Non COVID</v>
      </c>
      <c r="AP8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8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9" s="292">
        <f>SUM('PER BULAN'!AY151)</f>
        <v>0</v>
      </c>
      <c r="AS89" s="292">
        <f>SUM('PER BULAN'!AZ151)</f>
        <v>346915</v>
      </c>
      <c r="AT89" s="292">
        <f>SUM('PER BULAN'!BA151)</f>
        <v>0</v>
      </c>
      <c r="AU89" s="292">
        <f>SUM('PER BULAN'!BB151)</f>
        <v>0</v>
      </c>
      <c r="AV89" s="292">
        <f>SUM('PER BULAN'!BC151)</f>
        <v>0</v>
      </c>
      <c r="AW89" s="292">
        <f>SUM('PER BULAN'!BD151)</f>
        <v>0</v>
      </c>
      <c r="AX89" s="292">
        <f>SUM('PER BULAN'!BE151)</f>
        <v>355980</v>
      </c>
      <c r="AY89" s="292">
        <f>SUM('PER BULAN'!BF151)</f>
        <v>0</v>
      </c>
    </row>
    <row r="90" spans="1:51" s="278" customFormat="1" hidden="1" x14ac:dyDescent="0.3">
      <c r="A90" s="277" t="s">
        <v>4693</v>
      </c>
      <c r="B90" s="277" t="s">
        <v>4694</v>
      </c>
      <c r="C90" s="277" t="s">
        <v>4720</v>
      </c>
      <c r="D90" s="277" t="s">
        <v>4721</v>
      </c>
      <c r="E90" s="277" t="s">
        <v>197</v>
      </c>
      <c r="F90" s="277" t="s">
        <v>4722</v>
      </c>
      <c r="G90" s="277" t="s">
        <v>4767</v>
      </c>
      <c r="H90" s="277" t="s">
        <v>4768</v>
      </c>
      <c r="I90" s="277">
        <v>952</v>
      </c>
      <c r="J90" s="277" t="s">
        <v>4769</v>
      </c>
      <c r="K90" s="277">
        <v>301</v>
      </c>
      <c r="L90" s="277" t="s">
        <v>4770</v>
      </c>
      <c r="M90" s="277" t="s">
        <v>8</v>
      </c>
      <c r="N90" s="277" t="s">
        <v>4771</v>
      </c>
      <c r="O90" s="277">
        <v>521811</v>
      </c>
      <c r="P90" s="277" t="s">
        <v>4716</v>
      </c>
      <c r="Q90" s="307" cm="1">
        <f t="array" ref="Q90">SUM(_xlfn._xlws.FILTER(#REF!,#REF!=SP2D!AN90,0))</f>
        <v>10000000</v>
      </c>
      <c r="R90" s="278">
        <v>15000000</v>
      </c>
      <c r="S90" s="292">
        <f>SUM('PER BULAN'!H152:J152)</f>
        <v>0</v>
      </c>
      <c r="T90" s="292">
        <f>SUM('PER BULAN'!K152:M152)</f>
        <v>0</v>
      </c>
      <c r="U90" s="292">
        <f>SUM('PER BULAN'!N152:P152)</f>
        <v>2459000</v>
      </c>
      <c r="V90" s="292">
        <f>SUM('PER BULAN'!Q152:S152)</f>
        <v>0</v>
      </c>
      <c r="W90" s="292">
        <f>SUM('PER BULAN'!T152:V152)</f>
        <v>2390000</v>
      </c>
      <c r="X90" s="292">
        <f>SUM('PER BULAN'!W152:Y152)</f>
        <v>0</v>
      </c>
      <c r="Y90" s="292">
        <f>SUM('PER BULAN'!Z152:AB152)</f>
        <v>0</v>
      </c>
      <c r="Z90" s="292">
        <f>SUM('PER BULAN'!AC152:AE152)</f>
        <v>0</v>
      </c>
      <c r="AA90" s="292">
        <f>SUM('PER BULAN'!AF152:AH152)</f>
        <v>0</v>
      </c>
      <c r="AB90" s="292">
        <f>SUM('PER BULAN'!AI152:AK152)</f>
        <v>0</v>
      </c>
      <c r="AC90" s="292">
        <f>SUM('PER BULAN'!AL152:AN152)</f>
        <v>0</v>
      </c>
      <c r="AD90" s="292">
        <f>SUM('PER BULAN'!AO152:AQ152)</f>
        <v>0</v>
      </c>
      <c r="AE90" s="277" t="s">
        <v>530</v>
      </c>
      <c r="AF90" s="277" t="s">
        <v>542</v>
      </c>
      <c r="AG90" s="277" t="s">
        <v>543</v>
      </c>
      <c r="AH90" s="277" t="s">
        <v>4699</v>
      </c>
      <c r="AI90" s="277" t="s">
        <v>4700</v>
      </c>
      <c r="AJ90" s="277">
        <f t="shared" si="7"/>
        <v>4849000</v>
      </c>
      <c r="AK90" s="291">
        <f t="shared" si="8"/>
        <v>48.49</v>
      </c>
      <c r="AL90" s="277">
        <f t="shared" si="9"/>
        <v>5151000</v>
      </c>
      <c r="AM90" s="291">
        <f t="shared" si="10"/>
        <v>51.51</v>
      </c>
      <c r="AN90" s="277" t="str">
        <f t="shared" si="11"/>
        <v>WA.2378.EBD.952.301.A.521811</v>
      </c>
      <c r="AO90" s="277" t="str">
        <f>IF(ISNUMBER(SEARCH("COVID",Table7[[#This Row],[Akun]])),"COVID","Non COVID")</f>
        <v>Non COVID</v>
      </c>
      <c r="AP9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0" s="292">
        <f>SUM('PER BULAN'!AY152)</f>
        <v>0</v>
      </c>
      <c r="AS90" s="292">
        <f>SUM('PER BULAN'!AZ152)</f>
        <v>2459000</v>
      </c>
      <c r="AT90" s="292">
        <f>SUM('PER BULAN'!BA152)</f>
        <v>0</v>
      </c>
      <c r="AU90" s="292">
        <f>SUM('PER BULAN'!BB152)</f>
        <v>0</v>
      </c>
      <c r="AV90" s="292">
        <f>SUM('PER BULAN'!BC152)</f>
        <v>0</v>
      </c>
      <c r="AW90" s="292">
        <f>SUM('PER BULAN'!BD152)</f>
        <v>0</v>
      </c>
      <c r="AX90" s="292">
        <f>SUM('PER BULAN'!BE152)</f>
        <v>2390000</v>
      </c>
      <c r="AY90" s="292">
        <f>SUM('PER BULAN'!BF152)</f>
        <v>0</v>
      </c>
    </row>
    <row r="91" spans="1:51" s="278" customFormat="1" hidden="1" x14ac:dyDescent="0.3">
      <c r="A91" s="277" t="s">
        <v>4693</v>
      </c>
      <c r="B91" s="277" t="s">
        <v>4694</v>
      </c>
      <c r="C91" s="277" t="s">
        <v>4720</v>
      </c>
      <c r="D91" s="277" t="s">
        <v>4721</v>
      </c>
      <c r="E91" s="277" t="s">
        <v>197</v>
      </c>
      <c r="F91" s="277" t="s">
        <v>4722</v>
      </c>
      <c r="G91" s="277" t="s">
        <v>4767</v>
      </c>
      <c r="H91" s="277" t="s">
        <v>4768</v>
      </c>
      <c r="I91" s="277">
        <v>952</v>
      </c>
      <c r="J91" s="277" t="s">
        <v>4769</v>
      </c>
      <c r="K91" s="277">
        <v>301</v>
      </c>
      <c r="L91" s="277" t="s">
        <v>4770</v>
      </c>
      <c r="M91" s="277" t="s">
        <v>8</v>
      </c>
      <c r="N91" s="277" t="s">
        <v>4771</v>
      </c>
      <c r="O91" s="277">
        <v>524111</v>
      </c>
      <c r="P91" s="277" t="s">
        <v>4702</v>
      </c>
      <c r="Q91" s="307" cm="1">
        <f t="array" ref="Q91">SUM(_xlfn._xlws.FILTER(#REF!,#REF!=SP2D!AN91,0))</f>
        <v>5164000</v>
      </c>
      <c r="R91" s="278">
        <v>62400000</v>
      </c>
      <c r="S91" s="292">
        <f>SUM('PER BULAN'!H154:J154)</f>
        <v>0</v>
      </c>
      <c r="T91" s="292">
        <f>SUM('PER BULAN'!K153:M153)</f>
        <v>1010000</v>
      </c>
      <c r="U91" s="292">
        <f>SUM('PER BULAN'!N153:P153)</f>
        <v>2805000</v>
      </c>
      <c r="V91" s="292">
        <f>SUM('PER BULAN'!Q153:S153)</f>
        <v>0</v>
      </c>
      <c r="W91" s="292">
        <f>SUM('PER BULAN'!T153:V153)</f>
        <v>1348500</v>
      </c>
      <c r="X91" s="292">
        <f>SUM('PER BULAN'!W153:Y153)</f>
        <v>0</v>
      </c>
      <c r="Y91" s="292">
        <f>SUM('PER BULAN'!Z153:AB153)</f>
        <v>0</v>
      </c>
      <c r="Z91" s="292">
        <f>SUM('PER BULAN'!AC153:AE153)</f>
        <v>0</v>
      </c>
      <c r="AA91" s="292">
        <f>SUM('PER BULAN'!AF153:AH153)</f>
        <v>0</v>
      </c>
      <c r="AB91" s="292">
        <f>SUM('PER BULAN'!AI153:AK153)</f>
        <v>0</v>
      </c>
      <c r="AC91" s="292">
        <f>SUM('PER BULAN'!AL153:AN153)</f>
        <v>0</v>
      </c>
      <c r="AD91" s="292">
        <f>SUM('PER BULAN'!AO153:AQ153)</f>
        <v>0</v>
      </c>
      <c r="AE91" s="277" t="s">
        <v>530</v>
      </c>
      <c r="AF91" s="277" t="s">
        <v>542</v>
      </c>
      <c r="AG91" s="277" t="s">
        <v>543</v>
      </c>
      <c r="AH91" s="277" t="s">
        <v>4699</v>
      </c>
      <c r="AI91" s="277" t="s">
        <v>4700</v>
      </c>
      <c r="AJ91" s="277">
        <f t="shared" si="7"/>
        <v>5163500</v>
      </c>
      <c r="AK91" s="291">
        <f t="shared" si="8"/>
        <v>99.990317583268791</v>
      </c>
      <c r="AL91" s="277">
        <f t="shared" si="9"/>
        <v>500</v>
      </c>
      <c r="AM91" s="291">
        <f t="shared" si="10"/>
        <v>9.6824167312161129E-3</v>
      </c>
      <c r="AN91" s="277" t="str">
        <f t="shared" si="11"/>
        <v>WA.2378.EBD.952.301.A.524111</v>
      </c>
      <c r="AO91" s="277" t="str">
        <f>IF(ISNUMBER(SEARCH("COVID",Table7[[#This Row],[Akun]])),"COVID","Non COVID")</f>
        <v>Non COVID</v>
      </c>
      <c r="AP9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1" s="292">
        <f>SUM('PER BULAN'!AY153)</f>
        <v>0</v>
      </c>
      <c r="AS91" s="292">
        <f>SUM('PER BULAN'!AZ153)</f>
        <v>0</v>
      </c>
      <c r="AT91" s="292">
        <f>SUM('PER BULAN'!BA153)</f>
        <v>2805000</v>
      </c>
      <c r="AU91" s="292">
        <f>SUM('PER BULAN'!BB153)</f>
        <v>0</v>
      </c>
      <c r="AV91" s="292">
        <f>SUM('PER BULAN'!BC153)</f>
        <v>0</v>
      </c>
      <c r="AW91" s="292">
        <f>SUM('PER BULAN'!BD153)</f>
        <v>0</v>
      </c>
      <c r="AX91" s="292">
        <f>SUM('PER BULAN'!BE153)</f>
        <v>0</v>
      </c>
      <c r="AY91" s="292">
        <f>SUM('PER BULAN'!BF153)</f>
        <v>0</v>
      </c>
    </row>
    <row r="92" spans="1:51" s="278" customFormat="1" hidden="1" x14ac:dyDescent="0.3">
      <c r="A92" s="277" t="s">
        <v>4693</v>
      </c>
      <c r="B92" s="277" t="s">
        <v>4694</v>
      </c>
      <c r="C92" s="277" t="s">
        <v>4720</v>
      </c>
      <c r="D92" s="277" t="s">
        <v>4721</v>
      </c>
      <c r="E92" s="277" t="s">
        <v>197</v>
      </c>
      <c r="F92" s="277" t="s">
        <v>4722</v>
      </c>
      <c r="G92" s="277" t="s">
        <v>4767</v>
      </c>
      <c r="H92" s="277" t="s">
        <v>4768</v>
      </c>
      <c r="I92" s="277">
        <v>952</v>
      </c>
      <c r="J92" s="277" t="s">
        <v>4769</v>
      </c>
      <c r="K92" s="277">
        <v>301</v>
      </c>
      <c r="L92" s="277" t="s">
        <v>4770</v>
      </c>
      <c r="M92" s="277" t="s">
        <v>511</v>
      </c>
      <c r="N92" s="277" t="s">
        <v>4772</v>
      </c>
      <c r="O92" s="277">
        <v>521211</v>
      </c>
      <c r="P92" s="277" t="s">
        <v>4698</v>
      </c>
      <c r="Q92" s="307" cm="1">
        <f t="array" ref="Q92">SUM(_xlfn._xlws.FILTER(#REF!,#REF!=SP2D!AN92,0))</f>
        <v>12000000</v>
      </c>
      <c r="R92" s="278">
        <v>49300000</v>
      </c>
      <c r="S92" s="292">
        <f>SUM('PER BULAN'!H155:J155)</f>
        <v>0</v>
      </c>
      <c r="T92" s="292">
        <f>SUM('PER BULAN'!K155:M155)</f>
        <v>0</v>
      </c>
      <c r="U92" s="292">
        <f>SUM('PER BULAN'!N155:P155)</f>
        <v>2964000</v>
      </c>
      <c r="V92" s="292">
        <f>SUM('PER BULAN'!Q155:S155)</f>
        <v>0</v>
      </c>
      <c r="W92" s="292">
        <f>SUM('PER BULAN'!T155:V155)</f>
        <v>2975000</v>
      </c>
      <c r="X92" s="292">
        <f>SUM('PER BULAN'!W155:Y155)</f>
        <v>0</v>
      </c>
      <c r="Y92" s="292">
        <f>SUM('PER BULAN'!Z155:AB155)</f>
        <v>0</v>
      </c>
      <c r="Z92" s="292">
        <f>SUM('PER BULAN'!AC155:AE155)</f>
        <v>0</v>
      </c>
      <c r="AA92" s="292">
        <f>SUM('PER BULAN'!AF155:AH155)</f>
        <v>0</v>
      </c>
      <c r="AB92" s="292">
        <f>SUM('PER BULAN'!AI155:AK155)</f>
        <v>0</v>
      </c>
      <c r="AC92" s="292">
        <f>SUM('PER BULAN'!AL155:AN155)</f>
        <v>0</v>
      </c>
      <c r="AD92" s="292">
        <f>SUM('PER BULAN'!AO155:AQ155)</f>
        <v>0</v>
      </c>
      <c r="AE92" s="277" t="s">
        <v>530</v>
      </c>
      <c r="AF92" s="277" t="s">
        <v>542</v>
      </c>
      <c r="AG92" s="277" t="s">
        <v>543</v>
      </c>
      <c r="AH92" s="277" t="s">
        <v>4699</v>
      </c>
      <c r="AI92" s="277" t="s">
        <v>4700</v>
      </c>
      <c r="AJ92" s="277">
        <f t="shared" si="7"/>
        <v>5939000</v>
      </c>
      <c r="AK92" s="291">
        <f t="shared" si="8"/>
        <v>49.491666666666667</v>
      </c>
      <c r="AL92" s="277">
        <f t="shared" si="9"/>
        <v>6061000</v>
      </c>
      <c r="AM92" s="291">
        <f t="shared" si="10"/>
        <v>50.508333333333333</v>
      </c>
      <c r="AN92" s="277" t="str">
        <f t="shared" si="11"/>
        <v>WA.2378.EBD.952.301.B.521211</v>
      </c>
      <c r="AO92" s="277" t="str">
        <f>IF(ISNUMBER(SEARCH("COVID",Table7[[#This Row],[Akun]])),"COVID","Non COVID")</f>
        <v>Non COVID</v>
      </c>
      <c r="AP9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9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2" s="292">
        <f>SUM('PER BULAN'!AY155)</f>
        <v>0</v>
      </c>
      <c r="AS92" s="292">
        <f>SUM('PER BULAN'!AZ155)</f>
        <v>2964000</v>
      </c>
      <c r="AT92" s="292">
        <f>SUM('PER BULAN'!BA155)</f>
        <v>0</v>
      </c>
      <c r="AU92" s="292">
        <f>SUM('PER BULAN'!BB155)</f>
        <v>0</v>
      </c>
      <c r="AV92" s="292">
        <f>SUM('PER BULAN'!BC155)</f>
        <v>0</v>
      </c>
      <c r="AW92" s="292">
        <f>SUM('PER BULAN'!BD155)</f>
        <v>0</v>
      </c>
      <c r="AX92" s="292">
        <f>SUM('PER BULAN'!BE155)</f>
        <v>2975000</v>
      </c>
      <c r="AY92" s="292">
        <f>SUM('PER BULAN'!BF155)</f>
        <v>0</v>
      </c>
    </row>
    <row r="93" spans="1:51" s="278" customFormat="1" hidden="1" x14ac:dyDescent="0.3">
      <c r="A93" s="277" t="s">
        <v>4693</v>
      </c>
      <c r="B93" s="277" t="s">
        <v>4694</v>
      </c>
      <c r="C93" s="277" t="s">
        <v>4720</v>
      </c>
      <c r="D93" s="277" t="s">
        <v>4721</v>
      </c>
      <c r="E93" s="277" t="s">
        <v>197</v>
      </c>
      <c r="F93" s="277" t="s">
        <v>4722</v>
      </c>
      <c r="G93" s="277" t="s">
        <v>4767</v>
      </c>
      <c r="H93" s="277" t="s">
        <v>4768</v>
      </c>
      <c r="I93" s="277">
        <v>952</v>
      </c>
      <c r="J93" s="277" t="s">
        <v>4769</v>
      </c>
      <c r="K93" s="277">
        <v>301</v>
      </c>
      <c r="L93" s="277" t="s">
        <v>4770</v>
      </c>
      <c r="M93" s="277" t="s">
        <v>511</v>
      </c>
      <c r="N93" s="277" t="s">
        <v>4772</v>
      </c>
      <c r="O93" s="277">
        <v>521219</v>
      </c>
      <c r="P93" s="277" t="s">
        <v>4711</v>
      </c>
      <c r="Q93" s="307" cm="1">
        <f t="array" ref="Q93">SUM(_xlfn._xlws.FILTER(#REF!,#REF!=SP2D!AN93,0))</f>
        <v>1000000</v>
      </c>
      <c r="R93" s="278">
        <v>1000000</v>
      </c>
      <c r="S93" s="292">
        <f>SUM('PER BULAN'!H156:J156)</f>
        <v>0</v>
      </c>
      <c r="T93" s="292">
        <f>SUM('PER BULAN'!K156:M156)</f>
        <v>0</v>
      </c>
      <c r="U93" s="292">
        <f>SUM('PER BULAN'!N156:P156)</f>
        <v>0</v>
      </c>
      <c r="V93" s="292">
        <f>SUM('PER BULAN'!Q156:S156)</f>
        <v>0</v>
      </c>
      <c r="W93" s="292">
        <f>SUM('PER BULAN'!T156:V156)</f>
        <v>0</v>
      </c>
      <c r="X93" s="292">
        <f>SUM('PER BULAN'!W156:Y156)</f>
        <v>0</v>
      </c>
      <c r="Y93" s="292">
        <f>SUM('PER BULAN'!Z156:AB156)</f>
        <v>0</v>
      </c>
      <c r="Z93" s="292">
        <f>SUM('PER BULAN'!AC156:AE156)</f>
        <v>0</v>
      </c>
      <c r="AA93" s="292">
        <f>SUM('PER BULAN'!AF156:AH156)</f>
        <v>0</v>
      </c>
      <c r="AB93" s="292">
        <f>SUM('PER BULAN'!AI156:AK156)</f>
        <v>0</v>
      </c>
      <c r="AC93" s="292">
        <f>SUM('PER BULAN'!AL156:AN156)</f>
        <v>0</v>
      </c>
      <c r="AD93" s="292">
        <f>SUM('PER BULAN'!AO156:AQ156)</f>
        <v>0</v>
      </c>
      <c r="AE93" s="277" t="s">
        <v>530</v>
      </c>
      <c r="AF93" s="277" t="s">
        <v>542</v>
      </c>
      <c r="AG93" s="277" t="s">
        <v>543</v>
      </c>
      <c r="AH93" s="277" t="s">
        <v>4699</v>
      </c>
      <c r="AI93" s="277" t="s">
        <v>4700</v>
      </c>
      <c r="AJ93" s="277">
        <f t="shared" si="7"/>
        <v>0</v>
      </c>
      <c r="AK93" s="291">
        <f t="shared" si="8"/>
        <v>0</v>
      </c>
      <c r="AL93" s="277">
        <f t="shared" si="9"/>
        <v>1000000</v>
      </c>
      <c r="AM93" s="291">
        <f t="shared" si="10"/>
        <v>100</v>
      </c>
      <c r="AN93" s="277" t="str">
        <f t="shared" si="11"/>
        <v>WA.2378.EBD.952.301.B.521219</v>
      </c>
      <c r="AO93" s="277" t="str">
        <f>IF(ISNUMBER(SEARCH("COVID",Table7[[#This Row],[Akun]])),"COVID","Non COVID")</f>
        <v>Non COVID</v>
      </c>
      <c r="AP9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9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3" s="292">
        <f>SUM('PER BULAN'!AY156)</f>
        <v>0</v>
      </c>
      <c r="AS93" s="292">
        <f>SUM('PER BULAN'!AZ156)</f>
        <v>0</v>
      </c>
      <c r="AT93" s="292">
        <f>SUM('PER BULAN'!BA156)</f>
        <v>0</v>
      </c>
      <c r="AU93" s="292">
        <f>SUM('PER BULAN'!BB156)</f>
        <v>0</v>
      </c>
      <c r="AV93" s="292">
        <f>SUM('PER BULAN'!BC156)</f>
        <v>0</v>
      </c>
      <c r="AW93" s="292">
        <f>SUM('PER BULAN'!BD156)</f>
        <v>0</v>
      </c>
      <c r="AX93" s="292">
        <f>SUM('PER BULAN'!BE156)</f>
        <v>0</v>
      </c>
      <c r="AY93" s="292">
        <f>SUM('PER BULAN'!BF156)</f>
        <v>0</v>
      </c>
    </row>
    <row r="94" spans="1:51" s="278" customFormat="1" hidden="1" x14ac:dyDescent="0.3">
      <c r="A94" s="277" t="s">
        <v>4693</v>
      </c>
      <c r="B94" s="277" t="s">
        <v>4694</v>
      </c>
      <c r="C94" s="277" t="s">
        <v>4720</v>
      </c>
      <c r="D94" s="277" t="s">
        <v>4721</v>
      </c>
      <c r="E94" s="277" t="s">
        <v>197</v>
      </c>
      <c r="F94" s="277" t="s">
        <v>4722</v>
      </c>
      <c r="G94" s="277" t="s">
        <v>4767</v>
      </c>
      <c r="H94" s="277" t="s">
        <v>4768</v>
      </c>
      <c r="I94" s="277">
        <v>952</v>
      </c>
      <c r="J94" s="277" t="s">
        <v>4769</v>
      </c>
      <c r="K94" s="277">
        <v>301</v>
      </c>
      <c r="L94" s="277" t="s">
        <v>4770</v>
      </c>
      <c r="M94" s="277" t="s">
        <v>511</v>
      </c>
      <c r="N94" s="277" t="s">
        <v>4772</v>
      </c>
      <c r="O94" s="277">
        <v>521811</v>
      </c>
      <c r="P94" s="277" t="s">
        <v>4716</v>
      </c>
      <c r="Q94" s="307" cm="1">
        <f t="array" ref="Q94">SUM(_xlfn._xlws.FILTER(#REF!,#REF!=SP2D!AN94,0))</f>
        <v>20000000</v>
      </c>
      <c r="R94" s="278">
        <v>25000000</v>
      </c>
      <c r="S94" s="292">
        <f>SUM('PER BULAN'!H157:J157)</f>
        <v>0</v>
      </c>
      <c r="T94" s="292">
        <f>SUM('PER BULAN'!K157:M157)</f>
        <v>0</v>
      </c>
      <c r="U94" s="292">
        <f>SUM('PER BULAN'!N157:P157)</f>
        <v>4910000</v>
      </c>
      <c r="V94" s="292">
        <f>SUM('PER BULAN'!Q157:S157)</f>
        <v>0</v>
      </c>
      <c r="W94" s="292">
        <f>SUM('PER BULAN'!T157:V157)</f>
        <v>4873000</v>
      </c>
      <c r="X94" s="292">
        <f>SUM('PER BULAN'!W157:Y157)</f>
        <v>0</v>
      </c>
      <c r="Y94" s="292">
        <f>SUM('PER BULAN'!Z157:AB157)</f>
        <v>0</v>
      </c>
      <c r="Z94" s="292">
        <f>SUM('PER BULAN'!AC157:AE157)</f>
        <v>0</v>
      </c>
      <c r="AA94" s="292">
        <f>SUM('PER BULAN'!AF157:AH157)</f>
        <v>0</v>
      </c>
      <c r="AB94" s="292">
        <f>SUM('PER BULAN'!AI157:AK157)</f>
        <v>0</v>
      </c>
      <c r="AC94" s="292">
        <f>SUM('PER BULAN'!AL157:AN157)</f>
        <v>0</v>
      </c>
      <c r="AD94" s="292">
        <f>SUM('PER BULAN'!AO157:AQ157)</f>
        <v>0</v>
      </c>
      <c r="AE94" s="277" t="s">
        <v>530</v>
      </c>
      <c r="AF94" s="277" t="s">
        <v>542</v>
      </c>
      <c r="AG94" s="277" t="s">
        <v>543</v>
      </c>
      <c r="AH94" s="277" t="s">
        <v>4699</v>
      </c>
      <c r="AI94" s="277" t="s">
        <v>4700</v>
      </c>
      <c r="AJ94" s="277">
        <f t="shared" si="7"/>
        <v>9783000</v>
      </c>
      <c r="AK94" s="291">
        <f t="shared" si="8"/>
        <v>48.914999999999999</v>
      </c>
      <c r="AL94" s="277">
        <f t="shared" si="9"/>
        <v>10217000</v>
      </c>
      <c r="AM94" s="291">
        <f t="shared" si="10"/>
        <v>51.085000000000001</v>
      </c>
      <c r="AN94" s="277" t="str">
        <f t="shared" si="11"/>
        <v>WA.2378.EBD.952.301.B.521811</v>
      </c>
      <c r="AO94" s="277" t="str">
        <f>IF(ISNUMBER(SEARCH("COVID",Table7[[#This Row],[Akun]])),"COVID","Non COVID")</f>
        <v>Non COVID</v>
      </c>
      <c r="AP9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4" s="292">
        <f>SUM('PER BULAN'!AY157)</f>
        <v>0</v>
      </c>
      <c r="AS94" s="292">
        <f>SUM('PER BULAN'!AZ157)</f>
        <v>4910000</v>
      </c>
      <c r="AT94" s="292">
        <f>SUM('PER BULAN'!BA157)</f>
        <v>0</v>
      </c>
      <c r="AU94" s="292">
        <f>SUM('PER BULAN'!BB157)</f>
        <v>0</v>
      </c>
      <c r="AV94" s="292">
        <f>SUM('PER BULAN'!BC157)</f>
        <v>0</v>
      </c>
      <c r="AW94" s="292">
        <f>SUM('PER BULAN'!BD157)</f>
        <v>0</v>
      </c>
      <c r="AX94" s="292">
        <f>SUM('PER BULAN'!BE157)</f>
        <v>4873000</v>
      </c>
      <c r="AY94" s="292">
        <f>SUM('PER BULAN'!BF157)</f>
        <v>0</v>
      </c>
    </row>
    <row r="95" spans="1:51" s="278" customFormat="1" hidden="1" x14ac:dyDescent="0.3">
      <c r="A95" s="277" t="s">
        <v>4693</v>
      </c>
      <c r="B95" s="277" t="s">
        <v>4694</v>
      </c>
      <c r="C95" s="277" t="s">
        <v>4720</v>
      </c>
      <c r="D95" s="277" t="s">
        <v>4721</v>
      </c>
      <c r="E95" s="277" t="s">
        <v>197</v>
      </c>
      <c r="F95" s="277" t="s">
        <v>4722</v>
      </c>
      <c r="G95" s="277" t="s">
        <v>4767</v>
      </c>
      <c r="H95" s="277" t="s">
        <v>4768</v>
      </c>
      <c r="I95" s="277">
        <v>952</v>
      </c>
      <c r="J95" s="277" t="s">
        <v>4769</v>
      </c>
      <c r="K95" s="277">
        <v>301</v>
      </c>
      <c r="L95" s="277" t="s">
        <v>4770</v>
      </c>
      <c r="M95" s="277" t="s">
        <v>511</v>
      </c>
      <c r="N95" s="277" t="s">
        <v>4772</v>
      </c>
      <c r="O95" s="277">
        <v>522151</v>
      </c>
      <c r="P95" s="277" t="s">
        <v>4701</v>
      </c>
      <c r="Q95" s="307" cm="1">
        <f t="array" ref="Q95">SUM(_xlfn._xlws.FILTER(#REF!,#REF!=SP2D!AN95,0))</f>
        <v>0</v>
      </c>
      <c r="R95" s="278">
        <v>12000000</v>
      </c>
      <c r="S95" s="292">
        <f>SUM('PER BULAN'!H158:J158)</f>
        <v>0</v>
      </c>
      <c r="T95" s="292">
        <f>SUM('PER BULAN'!K158:M158)</f>
        <v>0</v>
      </c>
      <c r="U95" s="292">
        <f>SUM('PER BULAN'!N158:P158)</f>
        <v>0</v>
      </c>
      <c r="V95" s="292">
        <f>SUM('PER BULAN'!Q158:S158)</f>
        <v>0</v>
      </c>
      <c r="W95" s="292">
        <f>SUM('PER BULAN'!T158:V158)</f>
        <v>0</v>
      </c>
      <c r="X95" s="292">
        <f>SUM('PER BULAN'!W158:Y158)</f>
        <v>0</v>
      </c>
      <c r="Y95" s="292">
        <f>SUM('PER BULAN'!Z158:AB158)</f>
        <v>0</v>
      </c>
      <c r="Z95" s="292">
        <f>SUM('PER BULAN'!AC158:AE158)</f>
        <v>0</v>
      </c>
      <c r="AA95" s="292">
        <f>SUM('PER BULAN'!AF158:AH158)</f>
        <v>0</v>
      </c>
      <c r="AB95" s="292">
        <f>SUM('PER BULAN'!AI158:AK158)</f>
        <v>0</v>
      </c>
      <c r="AC95" s="292">
        <f>SUM('PER BULAN'!AL158:AN158)</f>
        <v>0</v>
      </c>
      <c r="AD95" s="292">
        <f>SUM('PER BULAN'!AO158:AQ158)</f>
        <v>0</v>
      </c>
      <c r="AE95" s="277" t="s">
        <v>530</v>
      </c>
      <c r="AF95" s="277" t="s">
        <v>542</v>
      </c>
      <c r="AG95" s="277" t="s">
        <v>543</v>
      </c>
      <c r="AH95" s="277" t="s">
        <v>4699</v>
      </c>
      <c r="AI95" s="277" t="s">
        <v>4700</v>
      </c>
      <c r="AJ95" s="277">
        <f t="shared" si="7"/>
        <v>0</v>
      </c>
      <c r="AK95" s="291">
        <f t="shared" si="8"/>
        <v>0</v>
      </c>
      <c r="AL95" s="277">
        <f t="shared" si="9"/>
        <v>0</v>
      </c>
      <c r="AM95" s="291">
        <f t="shared" si="10"/>
        <v>0</v>
      </c>
      <c r="AN95" s="277" t="str">
        <f t="shared" si="11"/>
        <v>WA.2378.EBD.952.301.B.522151</v>
      </c>
      <c r="AO95" s="277" t="str">
        <f>IF(ISNUMBER(SEARCH("COVID",Table7[[#This Row],[Akun]])),"COVID","Non COVID")</f>
        <v>Non COVID</v>
      </c>
      <c r="AP9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9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5" s="292">
        <f>SUM('PER BULAN'!AY158)</f>
        <v>0</v>
      </c>
      <c r="AS95" s="292">
        <f>SUM('PER BULAN'!AZ158)</f>
        <v>0</v>
      </c>
      <c r="AT95" s="292">
        <f>SUM('PER BULAN'!BA158)</f>
        <v>0</v>
      </c>
      <c r="AU95" s="292">
        <f>SUM('PER BULAN'!BB158)</f>
        <v>0</v>
      </c>
      <c r="AV95" s="292">
        <f>SUM('PER BULAN'!BC158)</f>
        <v>0</v>
      </c>
      <c r="AW95" s="292">
        <f>SUM('PER BULAN'!BD158)</f>
        <v>0</v>
      </c>
      <c r="AX95" s="292">
        <f>SUM('PER BULAN'!BE158)</f>
        <v>0</v>
      </c>
      <c r="AY95" s="292">
        <f>SUM('PER BULAN'!BF158)</f>
        <v>0</v>
      </c>
    </row>
    <row r="96" spans="1:51" s="278" customFormat="1" hidden="1" x14ac:dyDescent="0.3">
      <c r="A96" s="277" t="s">
        <v>4693</v>
      </c>
      <c r="B96" s="277" t="s">
        <v>4694</v>
      </c>
      <c r="C96" s="277" t="s">
        <v>4720</v>
      </c>
      <c r="D96" s="277" t="s">
        <v>4721</v>
      </c>
      <c r="E96" s="277" t="s">
        <v>197</v>
      </c>
      <c r="F96" s="277" t="s">
        <v>4722</v>
      </c>
      <c r="G96" s="277" t="s">
        <v>4767</v>
      </c>
      <c r="H96" s="277" t="s">
        <v>4768</v>
      </c>
      <c r="I96" s="277">
        <v>952</v>
      </c>
      <c r="J96" s="277" t="s">
        <v>4769</v>
      </c>
      <c r="K96" s="277">
        <v>301</v>
      </c>
      <c r="L96" s="277" t="s">
        <v>4770</v>
      </c>
      <c r="M96" s="277" t="s">
        <v>511</v>
      </c>
      <c r="N96" s="277" t="s">
        <v>4772</v>
      </c>
      <c r="O96" s="277">
        <v>524111</v>
      </c>
      <c r="P96" s="277" t="s">
        <v>4702</v>
      </c>
      <c r="Q96" s="307" cm="1">
        <f t="array" ref="Q96">SUM(_xlfn._xlws.FILTER(#REF!,#REF!=SP2D!AN96,0))</f>
        <v>45000000</v>
      </c>
      <c r="R96" s="278">
        <v>258688000</v>
      </c>
      <c r="S96" s="292">
        <f>SUM('PER BULAN'!H160:J160)</f>
        <v>0</v>
      </c>
      <c r="T96" s="292">
        <f>SUM('PER BULAN'!K159:M159)</f>
        <v>0</v>
      </c>
      <c r="U96" s="292">
        <f>SUM('PER BULAN'!N159:P159)</f>
        <v>0</v>
      </c>
      <c r="V96" s="292">
        <f>SUM('PER BULAN'!Q159:S159)</f>
        <v>205000</v>
      </c>
      <c r="W96" s="292">
        <f>SUM('PER BULAN'!T159:V159)</f>
        <v>4224000</v>
      </c>
      <c r="X96" s="292">
        <f>SUM('PER BULAN'!W159:Y159)</f>
        <v>0</v>
      </c>
      <c r="Y96" s="292">
        <f>SUM('PER BULAN'!Z159:AB159)</f>
        <v>0</v>
      </c>
      <c r="Z96" s="292">
        <f>SUM('PER BULAN'!AC159:AE159)</f>
        <v>0</v>
      </c>
      <c r="AA96" s="292">
        <f>SUM('PER BULAN'!AF159:AH159)</f>
        <v>0</v>
      </c>
      <c r="AB96" s="292">
        <f>SUM('PER BULAN'!AI159:AK159)</f>
        <v>0</v>
      </c>
      <c r="AC96" s="292">
        <f>SUM('PER BULAN'!AL159:AN159)</f>
        <v>0</v>
      </c>
      <c r="AD96" s="292">
        <f>SUM('PER BULAN'!AO159:AQ159)</f>
        <v>0</v>
      </c>
      <c r="AE96" s="277" t="s">
        <v>530</v>
      </c>
      <c r="AF96" s="277" t="s">
        <v>542</v>
      </c>
      <c r="AG96" s="277" t="s">
        <v>543</v>
      </c>
      <c r="AH96" s="277" t="s">
        <v>4699</v>
      </c>
      <c r="AI96" s="277" t="s">
        <v>4700</v>
      </c>
      <c r="AJ96" s="277">
        <f t="shared" si="7"/>
        <v>4429000</v>
      </c>
      <c r="AK96" s="291">
        <f t="shared" si="8"/>
        <v>9.8422222222222224</v>
      </c>
      <c r="AL96" s="277">
        <f t="shared" si="9"/>
        <v>40571000</v>
      </c>
      <c r="AM96" s="291">
        <f t="shared" si="10"/>
        <v>90.157777777777781</v>
      </c>
      <c r="AN96" s="277" t="str">
        <f t="shared" si="11"/>
        <v>WA.2378.EBD.952.301.B.524111</v>
      </c>
      <c r="AO96" s="277" t="str">
        <f>IF(ISNUMBER(SEARCH("COVID",Table7[[#This Row],[Akun]])),"COVID","Non COVID")</f>
        <v>Non COVID</v>
      </c>
      <c r="AP9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6" s="292">
        <f>SUM('PER BULAN'!AY159)</f>
        <v>0</v>
      </c>
      <c r="AS96" s="292">
        <f>SUM('PER BULAN'!AZ159)</f>
        <v>0</v>
      </c>
      <c r="AT96" s="292">
        <f>SUM('PER BULAN'!BA159)</f>
        <v>0</v>
      </c>
      <c r="AU96" s="292">
        <f>SUM('PER BULAN'!BB159)</f>
        <v>0</v>
      </c>
      <c r="AV96" s="292">
        <f>SUM('PER BULAN'!BC159)</f>
        <v>0</v>
      </c>
      <c r="AW96" s="292">
        <f>SUM('PER BULAN'!BD159)</f>
        <v>0</v>
      </c>
      <c r="AX96" s="292">
        <f>SUM('PER BULAN'!BE159)</f>
        <v>0</v>
      </c>
      <c r="AY96" s="292">
        <f>SUM('PER BULAN'!BF159)</f>
        <v>0</v>
      </c>
    </row>
    <row r="97" spans="1:51" s="278" customFormat="1" hidden="1" x14ac:dyDescent="0.3">
      <c r="A97" s="277" t="s">
        <v>4693</v>
      </c>
      <c r="B97" s="277" t="s">
        <v>4694</v>
      </c>
      <c r="C97" s="277" t="s">
        <v>4720</v>
      </c>
      <c r="D97" s="277" t="s">
        <v>4721</v>
      </c>
      <c r="E97" s="277" t="s">
        <v>197</v>
      </c>
      <c r="F97" s="277" t="s">
        <v>4722</v>
      </c>
      <c r="G97" s="277" t="s">
        <v>4767</v>
      </c>
      <c r="H97" s="277" t="s">
        <v>4768</v>
      </c>
      <c r="I97" s="277">
        <v>952</v>
      </c>
      <c r="J97" s="277" t="s">
        <v>4769</v>
      </c>
      <c r="K97" s="277">
        <v>301</v>
      </c>
      <c r="L97" s="277" t="s">
        <v>4770</v>
      </c>
      <c r="M97" s="277" t="s">
        <v>512</v>
      </c>
      <c r="N97" s="277" t="s">
        <v>4773</v>
      </c>
      <c r="O97" s="277">
        <v>521211</v>
      </c>
      <c r="P97" s="277" t="s">
        <v>4698</v>
      </c>
      <c r="Q97" s="307" cm="1">
        <f t="array" ref="Q97">SUM(_xlfn._xlws.FILTER(#REF!,#REF!=SP2D!AN97,0))</f>
        <v>21000000</v>
      </c>
      <c r="R97" s="278">
        <v>39500000</v>
      </c>
      <c r="S97" s="292">
        <f>SUM('PER BULAN'!H161:J161)</f>
        <v>0</v>
      </c>
      <c r="T97" s="292">
        <f>SUM('PER BULAN'!K161:M161)</f>
        <v>0</v>
      </c>
      <c r="U97" s="292">
        <f>SUM('PER BULAN'!N161:P161)</f>
        <v>2955000</v>
      </c>
      <c r="V97" s="292">
        <f>SUM('PER BULAN'!Q161:S161)</f>
        <v>0</v>
      </c>
      <c r="W97" s="292">
        <f>SUM('PER BULAN'!T161:V161)</f>
        <v>2933500</v>
      </c>
      <c r="X97" s="292">
        <f>SUM('PER BULAN'!W161:Y161)</f>
        <v>10500000</v>
      </c>
      <c r="Y97" s="292">
        <f>SUM('PER BULAN'!Z161:AB161)</f>
        <v>0</v>
      </c>
      <c r="Z97" s="292">
        <f>SUM('PER BULAN'!AC161:AE161)</f>
        <v>0</v>
      </c>
      <c r="AA97" s="292">
        <f>SUM('PER BULAN'!AF161:AH161)</f>
        <v>0</v>
      </c>
      <c r="AB97" s="292">
        <f>SUM('PER BULAN'!AI161:AK161)</f>
        <v>0</v>
      </c>
      <c r="AC97" s="292">
        <f>SUM('PER BULAN'!AL161:AN161)</f>
        <v>0</v>
      </c>
      <c r="AD97" s="292">
        <f>SUM('PER BULAN'!AO161:AQ161)</f>
        <v>0</v>
      </c>
      <c r="AE97" s="277" t="s">
        <v>530</v>
      </c>
      <c r="AF97" s="277" t="s">
        <v>542</v>
      </c>
      <c r="AG97" s="277" t="s">
        <v>543</v>
      </c>
      <c r="AH97" s="277" t="s">
        <v>4699</v>
      </c>
      <c r="AI97" s="277" t="s">
        <v>4700</v>
      </c>
      <c r="AJ97" s="277">
        <f t="shared" si="7"/>
        <v>16388500</v>
      </c>
      <c r="AK97" s="291">
        <f t="shared" si="8"/>
        <v>78.040476190476198</v>
      </c>
      <c r="AL97" s="277">
        <f t="shared" si="9"/>
        <v>4611500</v>
      </c>
      <c r="AM97" s="291">
        <f t="shared" si="10"/>
        <v>21.959523809523809</v>
      </c>
      <c r="AN97" s="277" t="str">
        <f t="shared" si="11"/>
        <v>WA.2378.EBD.952.301.C.521211</v>
      </c>
      <c r="AO97" s="277" t="str">
        <f>IF(ISNUMBER(SEARCH("COVID",Table7[[#This Row],[Akun]])),"COVID","Non COVID")</f>
        <v>Non COVID</v>
      </c>
      <c r="AP9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9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7" s="292">
        <f>SUM('PER BULAN'!AY161)</f>
        <v>0</v>
      </c>
      <c r="AS97" s="292">
        <f>SUM('PER BULAN'!AZ161)</f>
        <v>2955000</v>
      </c>
      <c r="AT97" s="292">
        <f>SUM('PER BULAN'!BA161)</f>
        <v>0</v>
      </c>
      <c r="AU97" s="292">
        <f>SUM('PER BULAN'!BB161)</f>
        <v>0</v>
      </c>
      <c r="AV97" s="292">
        <f>SUM('PER BULAN'!BC161)</f>
        <v>0</v>
      </c>
      <c r="AW97" s="292">
        <f>SUM('PER BULAN'!BD161)</f>
        <v>0</v>
      </c>
      <c r="AX97" s="292">
        <f>SUM('PER BULAN'!BE161)</f>
        <v>2933500</v>
      </c>
      <c r="AY97" s="292">
        <f>SUM('PER BULAN'!BF161)</f>
        <v>0</v>
      </c>
    </row>
    <row r="98" spans="1:51" s="278" customFormat="1" hidden="1" x14ac:dyDescent="0.3">
      <c r="A98" s="277" t="s">
        <v>4693</v>
      </c>
      <c r="B98" s="277" t="s">
        <v>4694</v>
      </c>
      <c r="C98" s="277" t="s">
        <v>4720</v>
      </c>
      <c r="D98" s="277" t="s">
        <v>4721</v>
      </c>
      <c r="E98" s="277" t="s">
        <v>197</v>
      </c>
      <c r="F98" s="277" t="s">
        <v>4722</v>
      </c>
      <c r="G98" s="277" t="s">
        <v>4767</v>
      </c>
      <c r="H98" s="277" t="s">
        <v>4768</v>
      </c>
      <c r="I98" s="277">
        <v>952</v>
      </c>
      <c r="J98" s="277" t="s">
        <v>4769</v>
      </c>
      <c r="K98" s="277">
        <v>301</v>
      </c>
      <c r="L98" s="277" t="s">
        <v>4770</v>
      </c>
      <c r="M98" s="277" t="s">
        <v>512</v>
      </c>
      <c r="N98" s="277" t="s">
        <v>4773</v>
      </c>
      <c r="O98" s="277">
        <v>521811</v>
      </c>
      <c r="P98" s="277" t="s">
        <v>4716</v>
      </c>
      <c r="Q98" s="307" cm="1">
        <f t="array" ref="Q98">SUM(_xlfn._xlws.FILTER(#REF!,#REF!=SP2D!AN98,0))</f>
        <v>17500000</v>
      </c>
      <c r="R98" s="278">
        <v>25000000</v>
      </c>
      <c r="S98" s="292">
        <f>SUM('PER BULAN'!H162:J162)</f>
        <v>0</v>
      </c>
      <c r="T98" s="292">
        <f>SUM('PER BULAN'!K162:M162)</f>
        <v>0</v>
      </c>
      <c r="U98" s="292">
        <f>SUM('PER BULAN'!N162:P162)</f>
        <v>4947750</v>
      </c>
      <c r="V98" s="292">
        <f>SUM('PER BULAN'!Q162:S162)</f>
        <v>0</v>
      </c>
      <c r="W98" s="292">
        <f>SUM('PER BULAN'!T162:V162)</f>
        <v>4878000</v>
      </c>
      <c r="X98" s="292">
        <f>SUM('PER BULAN'!W162:Y162)</f>
        <v>0</v>
      </c>
      <c r="Y98" s="292">
        <f>SUM('PER BULAN'!Z162:AB162)</f>
        <v>0</v>
      </c>
      <c r="Z98" s="292">
        <f>SUM('PER BULAN'!AC162:AE162)</f>
        <v>0</v>
      </c>
      <c r="AA98" s="292">
        <f>SUM('PER BULAN'!AF162:AH162)</f>
        <v>0</v>
      </c>
      <c r="AB98" s="292">
        <f>SUM('PER BULAN'!AI162:AK162)</f>
        <v>0</v>
      </c>
      <c r="AC98" s="292">
        <f>SUM('PER BULAN'!AL162:AN162)</f>
        <v>0</v>
      </c>
      <c r="AD98" s="292">
        <f>SUM('PER BULAN'!AO162:AQ162)</f>
        <v>0</v>
      </c>
      <c r="AE98" s="277" t="s">
        <v>530</v>
      </c>
      <c r="AF98" s="277" t="s">
        <v>542</v>
      </c>
      <c r="AG98" s="277" t="s">
        <v>543</v>
      </c>
      <c r="AH98" s="277" t="s">
        <v>4699</v>
      </c>
      <c r="AI98" s="277" t="s">
        <v>4700</v>
      </c>
      <c r="AJ98" s="277">
        <f t="shared" si="7"/>
        <v>9825750</v>
      </c>
      <c r="AK98" s="291">
        <f t="shared" si="8"/>
        <v>56.14714285714286</v>
      </c>
      <c r="AL98" s="277">
        <f t="shared" si="9"/>
        <v>7674250</v>
      </c>
      <c r="AM98" s="291">
        <f t="shared" si="10"/>
        <v>43.852857142857147</v>
      </c>
      <c r="AN98" s="277" t="str">
        <f t="shared" si="11"/>
        <v>WA.2378.EBD.952.301.C.521811</v>
      </c>
      <c r="AO98" s="277" t="str">
        <f>IF(ISNUMBER(SEARCH("COVID",Table7[[#This Row],[Akun]])),"COVID","Non COVID")</f>
        <v>Non COVID</v>
      </c>
      <c r="AP9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8" s="292">
        <f>SUM('PER BULAN'!AY162)</f>
        <v>0</v>
      </c>
      <c r="AS98" s="292">
        <f>SUM('PER BULAN'!AZ162)</f>
        <v>4947750</v>
      </c>
      <c r="AT98" s="292">
        <f>SUM('PER BULAN'!BA162)</f>
        <v>0</v>
      </c>
      <c r="AU98" s="292">
        <f>SUM('PER BULAN'!BB162)</f>
        <v>0</v>
      </c>
      <c r="AV98" s="292">
        <f>SUM('PER BULAN'!BC162)</f>
        <v>0</v>
      </c>
      <c r="AW98" s="292">
        <f>SUM('PER BULAN'!BD162)</f>
        <v>0</v>
      </c>
      <c r="AX98" s="292">
        <f>SUM('PER BULAN'!BE162)</f>
        <v>4878000</v>
      </c>
      <c r="AY98" s="292">
        <f>SUM('PER BULAN'!BF162)</f>
        <v>0</v>
      </c>
    </row>
    <row r="99" spans="1:51" s="278" customFormat="1" hidden="1" x14ac:dyDescent="0.3">
      <c r="A99" s="277" t="s">
        <v>4693</v>
      </c>
      <c r="B99" s="277" t="s">
        <v>4694</v>
      </c>
      <c r="C99" s="277" t="s">
        <v>4720</v>
      </c>
      <c r="D99" s="277" t="s">
        <v>4721</v>
      </c>
      <c r="E99" s="277" t="s">
        <v>197</v>
      </c>
      <c r="F99" s="277" t="s">
        <v>4722</v>
      </c>
      <c r="G99" s="277" t="s">
        <v>4767</v>
      </c>
      <c r="H99" s="277" t="s">
        <v>4768</v>
      </c>
      <c r="I99" s="277">
        <v>952</v>
      </c>
      <c r="J99" s="277" t="s">
        <v>4769</v>
      </c>
      <c r="K99" s="277">
        <v>301</v>
      </c>
      <c r="L99" s="277" t="s">
        <v>4770</v>
      </c>
      <c r="M99" s="277" t="s">
        <v>512</v>
      </c>
      <c r="N99" s="277" t="s">
        <v>4773</v>
      </c>
      <c r="O99" s="277">
        <v>522151</v>
      </c>
      <c r="P99" s="277" t="s">
        <v>4701</v>
      </c>
      <c r="Q99" s="307" cm="1">
        <f t="array" ref="Q99">SUM(_xlfn._xlws.FILTER(#REF!,#REF!=SP2D!AN99,0))</f>
        <v>0</v>
      </c>
      <c r="R99" s="278">
        <v>10000000</v>
      </c>
      <c r="S99" s="292">
        <f>SUM('PER BULAN'!H163:J163)</f>
        <v>0</v>
      </c>
      <c r="T99" s="292">
        <f>SUM('PER BULAN'!K163:M163)</f>
        <v>0</v>
      </c>
      <c r="U99" s="292">
        <f>SUM('PER BULAN'!N163:P163)</f>
        <v>0</v>
      </c>
      <c r="V99" s="292">
        <f>SUM('PER BULAN'!Q163:S163)</f>
        <v>0</v>
      </c>
      <c r="W99" s="292">
        <f>SUM('PER BULAN'!T163:V163)</f>
        <v>0</v>
      </c>
      <c r="X99" s="292">
        <f>SUM('PER BULAN'!W163:Y163)</f>
        <v>0</v>
      </c>
      <c r="Y99" s="292">
        <f>SUM('PER BULAN'!Z163:AB163)</f>
        <v>0</v>
      </c>
      <c r="Z99" s="292">
        <f>SUM('PER BULAN'!AC163:AE163)</f>
        <v>0</v>
      </c>
      <c r="AA99" s="292">
        <f>SUM('PER BULAN'!AF163:AH163)</f>
        <v>0</v>
      </c>
      <c r="AB99" s="292">
        <f>SUM('PER BULAN'!AI163:AK163)</f>
        <v>0</v>
      </c>
      <c r="AC99" s="292">
        <f>SUM('PER BULAN'!AL163:AN163)</f>
        <v>0</v>
      </c>
      <c r="AD99" s="292">
        <f>SUM('PER BULAN'!AO163:AQ163)</f>
        <v>0</v>
      </c>
      <c r="AE99" s="277" t="s">
        <v>530</v>
      </c>
      <c r="AF99" s="277" t="s">
        <v>542</v>
      </c>
      <c r="AG99" s="277" t="s">
        <v>543</v>
      </c>
      <c r="AH99" s="277" t="s">
        <v>4699</v>
      </c>
      <c r="AI99" s="277" t="s">
        <v>4700</v>
      </c>
      <c r="AJ99" s="277">
        <f t="shared" si="7"/>
        <v>0</v>
      </c>
      <c r="AK99" s="291">
        <f t="shared" si="8"/>
        <v>0</v>
      </c>
      <c r="AL99" s="277">
        <f t="shared" si="9"/>
        <v>0</v>
      </c>
      <c r="AM99" s="291">
        <f t="shared" si="10"/>
        <v>0</v>
      </c>
      <c r="AN99" s="277" t="str">
        <f t="shared" si="11"/>
        <v>WA.2378.EBD.952.301.C.522151</v>
      </c>
      <c r="AO99" s="277" t="str">
        <f>IF(ISNUMBER(SEARCH("COVID",Table7[[#This Row],[Akun]])),"COVID","Non COVID")</f>
        <v>Non COVID</v>
      </c>
      <c r="AP9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9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9" s="292">
        <f>SUM('PER BULAN'!AY163)</f>
        <v>0</v>
      </c>
      <c r="AS99" s="292">
        <f>SUM('PER BULAN'!AZ163)</f>
        <v>0</v>
      </c>
      <c r="AT99" s="292">
        <f>SUM('PER BULAN'!BA163)</f>
        <v>0</v>
      </c>
      <c r="AU99" s="292">
        <f>SUM('PER BULAN'!BB163)</f>
        <v>0</v>
      </c>
      <c r="AV99" s="292">
        <f>SUM('PER BULAN'!BC163)</f>
        <v>0</v>
      </c>
      <c r="AW99" s="292">
        <f>SUM('PER BULAN'!BD163)</f>
        <v>0</v>
      </c>
      <c r="AX99" s="292">
        <f>SUM('PER BULAN'!BE163)</f>
        <v>0</v>
      </c>
      <c r="AY99" s="292">
        <f>SUM('PER BULAN'!BF163)</f>
        <v>0</v>
      </c>
    </row>
    <row r="100" spans="1:51" s="278" customFormat="1" hidden="1" x14ac:dyDescent="0.3">
      <c r="A100" s="277" t="s">
        <v>4693</v>
      </c>
      <c r="B100" s="277" t="s">
        <v>4694</v>
      </c>
      <c r="C100" s="277" t="s">
        <v>4720</v>
      </c>
      <c r="D100" s="277" t="s">
        <v>4721</v>
      </c>
      <c r="E100" s="277" t="s">
        <v>197</v>
      </c>
      <c r="F100" s="277" t="s">
        <v>4722</v>
      </c>
      <c r="G100" s="277" t="s">
        <v>4767</v>
      </c>
      <c r="H100" s="277" t="s">
        <v>4768</v>
      </c>
      <c r="I100" s="277">
        <v>952</v>
      </c>
      <c r="J100" s="277" t="s">
        <v>4769</v>
      </c>
      <c r="K100" s="277">
        <v>301</v>
      </c>
      <c r="L100" s="277" t="s">
        <v>4770</v>
      </c>
      <c r="M100" s="277" t="s">
        <v>512</v>
      </c>
      <c r="N100" s="277" t="s">
        <v>4773</v>
      </c>
      <c r="O100" s="277">
        <v>524111</v>
      </c>
      <c r="P100" s="277" t="s">
        <v>4702</v>
      </c>
      <c r="Q100" s="307" cm="1">
        <f t="array" ref="Q100">SUM(_xlfn._xlws.FILTER(#REF!,#REF!=SP2D!AN100,0))</f>
        <v>41908000</v>
      </c>
      <c r="R100" s="278">
        <v>93600000</v>
      </c>
      <c r="S100" s="292">
        <f>SUM('PER BULAN'!H167:J167)</f>
        <v>0</v>
      </c>
      <c r="T100" s="292">
        <f>SUM('PER BULAN'!K164:M164)</f>
        <v>9587800</v>
      </c>
      <c r="U100" s="292">
        <f>SUM('PER BULAN'!N164:P164)</f>
        <v>22390000</v>
      </c>
      <c r="V100" s="292">
        <f>SUM('PER BULAN'!Q164:S164)</f>
        <v>6330000</v>
      </c>
      <c r="W100" s="292">
        <f>SUM('PER BULAN'!T164:V164)</f>
        <v>3600000</v>
      </c>
      <c r="X100" s="292">
        <f>SUM('PER BULAN'!W164:Y164)</f>
        <v>0</v>
      </c>
      <c r="Y100" s="292">
        <f>SUM('PER BULAN'!Z164:AB164)</f>
        <v>0</v>
      </c>
      <c r="Z100" s="292">
        <f>SUM('PER BULAN'!AC164:AE164)</f>
        <v>0</v>
      </c>
      <c r="AA100" s="292">
        <f>SUM('PER BULAN'!AF164:AH164)</f>
        <v>0</v>
      </c>
      <c r="AB100" s="292">
        <f>SUM('PER BULAN'!AI164:AK164)</f>
        <v>0</v>
      </c>
      <c r="AC100" s="292">
        <f>SUM('PER BULAN'!AL164:AN164)</f>
        <v>0</v>
      </c>
      <c r="AD100" s="292">
        <f>SUM('PER BULAN'!AO164:AQ164)</f>
        <v>0</v>
      </c>
      <c r="AE100" s="277" t="s">
        <v>530</v>
      </c>
      <c r="AF100" s="277" t="s">
        <v>542</v>
      </c>
      <c r="AG100" s="277" t="s">
        <v>543</v>
      </c>
      <c r="AH100" s="277" t="s">
        <v>4699</v>
      </c>
      <c r="AI100" s="277" t="s">
        <v>4700</v>
      </c>
      <c r="AJ100" s="277">
        <f t="shared" si="7"/>
        <v>41907800</v>
      </c>
      <c r="AK100" s="291">
        <f t="shared" si="8"/>
        <v>99.999522764150043</v>
      </c>
      <c r="AL100" s="277">
        <f t="shared" si="9"/>
        <v>200</v>
      </c>
      <c r="AM100" s="291">
        <f t="shared" si="10"/>
        <v>4.7723584995704876E-4</v>
      </c>
      <c r="AN100" s="277" t="str">
        <f t="shared" si="11"/>
        <v>WA.2378.EBD.952.301.C.524111</v>
      </c>
      <c r="AO100" s="277" t="str">
        <f>IF(ISNUMBER(SEARCH("COVID",Table7[[#This Row],[Akun]])),"COVID","Non COVID")</f>
        <v>Non COVID</v>
      </c>
      <c r="AP10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0" s="292">
        <f>SUM('PER BULAN'!AY164)</f>
        <v>0</v>
      </c>
      <c r="AS100" s="292">
        <f>SUM('PER BULAN'!AZ164)</f>
        <v>17350000</v>
      </c>
      <c r="AT100" s="292">
        <f>SUM('PER BULAN'!BA164)</f>
        <v>5040000</v>
      </c>
      <c r="AU100" s="292">
        <f>SUM('PER BULAN'!BB164)</f>
        <v>0</v>
      </c>
      <c r="AV100" s="292">
        <f>SUM('PER BULAN'!BC164)</f>
        <v>0</v>
      </c>
      <c r="AW100" s="292">
        <f>SUM('PER BULAN'!BD164)</f>
        <v>0</v>
      </c>
      <c r="AX100" s="292">
        <f>SUM('PER BULAN'!BE164)</f>
        <v>0</v>
      </c>
      <c r="AY100" s="292">
        <f>SUM('PER BULAN'!BF164)</f>
        <v>0</v>
      </c>
    </row>
    <row r="101" spans="1:51" s="278" customFormat="1" hidden="1" x14ac:dyDescent="0.3">
      <c r="A101" s="277" t="s">
        <v>4693</v>
      </c>
      <c r="B101" s="277" t="s">
        <v>4694</v>
      </c>
      <c r="C101" s="277" t="s">
        <v>4720</v>
      </c>
      <c r="D101" s="277" t="s">
        <v>4721</v>
      </c>
      <c r="E101" s="277" t="s">
        <v>197</v>
      </c>
      <c r="F101" s="277" t="s">
        <v>4722</v>
      </c>
      <c r="G101" s="277" t="s">
        <v>4767</v>
      </c>
      <c r="H101" s="277" t="s">
        <v>4768</v>
      </c>
      <c r="I101" s="277">
        <v>953</v>
      </c>
      <c r="J101" s="277" t="s">
        <v>4775</v>
      </c>
      <c r="K101" s="277">
        <v>301</v>
      </c>
      <c r="L101" s="277" t="s">
        <v>4774</v>
      </c>
      <c r="M101" s="277" t="s">
        <v>8</v>
      </c>
      <c r="N101" s="277" t="s">
        <v>4726</v>
      </c>
      <c r="O101" s="277">
        <v>521211</v>
      </c>
      <c r="P101" s="277" t="s">
        <v>4698</v>
      </c>
      <c r="Q101" s="307" cm="1">
        <f t="array" ref="Q101">SUM(_xlfn._xlws.FILTER(#REF!,#REF!=SP2D!AN101,0))</f>
        <v>23250000</v>
      </c>
      <c r="R101" s="278">
        <v>46000000</v>
      </c>
      <c r="S101" s="292">
        <f>SUM('PER BULAN'!H168:J168)</f>
        <v>0</v>
      </c>
      <c r="T101" s="292">
        <f>SUM('PER BULAN'!K168:M168)</f>
        <v>0</v>
      </c>
      <c r="U101" s="292">
        <f>SUM('PER BULAN'!N168:P168)</f>
        <v>0</v>
      </c>
      <c r="V101" s="292">
        <f>SUM('PER BULAN'!Q168:S168)</f>
        <v>0</v>
      </c>
      <c r="W101" s="292">
        <f>SUM('PER BULAN'!T168:V168)</f>
        <v>6278500</v>
      </c>
      <c r="X101" s="292">
        <f>SUM('PER BULAN'!W168:Y168)</f>
        <v>0</v>
      </c>
      <c r="Y101" s="292">
        <f>SUM('PER BULAN'!Z168:AB168)</f>
        <v>0</v>
      </c>
      <c r="Z101" s="292">
        <f>SUM('PER BULAN'!AC168:AE168)</f>
        <v>0</v>
      </c>
      <c r="AA101" s="292">
        <f>SUM('PER BULAN'!AF168:AH168)</f>
        <v>0</v>
      </c>
      <c r="AB101" s="292">
        <f>SUM('PER BULAN'!AI168:AK168)</f>
        <v>0</v>
      </c>
      <c r="AC101" s="292">
        <f>SUM('PER BULAN'!AL168:AN168)</f>
        <v>0</v>
      </c>
      <c r="AD101" s="292">
        <f>SUM('PER BULAN'!AO168:AQ168)</f>
        <v>0</v>
      </c>
      <c r="AE101" s="277" t="s">
        <v>530</v>
      </c>
      <c r="AF101" s="277" t="s">
        <v>542</v>
      </c>
      <c r="AG101" s="277" t="s">
        <v>591</v>
      </c>
      <c r="AH101" s="277" t="s">
        <v>4699</v>
      </c>
      <c r="AI101" s="277" t="s">
        <v>4700</v>
      </c>
      <c r="AJ101" s="277">
        <f t="shared" si="7"/>
        <v>6278500</v>
      </c>
      <c r="AK101" s="291">
        <f t="shared" si="8"/>
        <v>27.004301075268817</v>
      </c>
      <c r="AL101" s="277">
        <f t="shared" si="9"/>
        <v>16971500</v>
      </c>
      <c r="AM101" s="291">
        <f t="shared" si="10"/>
        <v>72.995698924731172</v>
      </c>
      <c r="AN101" s="277" t="str">
        <f t="shared" si="11"/>
        <v>WA.2378.EBD.953.301.A.521211</v>
      </c>
      <c r="AO101" s="277" t="str">
        <f>IF(ISNUMBER(SEARCH("COVID",Table7[[#This Row],[Akun]])),"COVID","Non COVID")</f>
        <v>Non COVID</v>
      </c>
      <c r="AP10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1" s="292">
        <f>SUM('PER BULAN'!AY168)</f>
        <v>0</v>
      </c>
      <c r="AS101" s="292">
        <f>SUM('PER BULAN'!AZ168)</f>
        <v>0</v>
      </c>
      <c r="AT101" s="292">
        <f>SUM('PER BULAN'!BA168)</f>
        <v>0</v>
      </c>
      <c r="AU101" s="292">
        <f>SUM('PER BULAN'!BB168)</f>
        <v>0</v>
      </c>
      <c r="AV101" s="292">
        <f>SUM('PER BULAN'!BC168)</f>
        <v>0</v>
      </c>
      <c r="AW101" s="292">
        <f>SUM('PER BULAN'!BD168)</f>
        <v>0</v>
      </c>
      <c r="AX101" s="292">
        <f>SUM('PER BULAN'!BE168)</f>
        <v>6278500</v>
      </c>
      <c r="AY101" s="292">
        <f>SUM('PER BULAN'!BF168)</f>
        <v>0</v>
      </c>
    </row>
    <row r="102" spans="1:51" s="278" customFormat="1" hidden="1" x14ac:dyDescent="0.3">
      <c r="A102" s="277" t="s">
        <v>4693</v>
      </c>
      <c r="B102" s="277" t="s">
        <v>4694</v>
      </c>
      <c r="C102" s="277" t="s">
        <v>4720</v>
      </c>
      <c r="D102" s="277" t="s">
        <v>4721</v>
      </c>
      <c r="E102" s="277" t="s">
        <v>197</v>
      </c>
      <c r="F102" s="277" t="s">
        <v>4722</v>
      </c>
      <c r="G102" s="277" t="s">
        <v>4767</v>
      </c>
      <c r="H102" s="277" t="s">
        <v>4768</v>
      </c>
      <c r="I102" s="277">
        <v>953</v>
      </c>
      <c r="J102" s="277" t="s">
        <v>4775</v>
      </c>
      <c r="K102" s="277">
        <v>301</v>
      </c>
      <c r="L102" s="277" t="s">
        <v>4774</v>
      </c>
      <c r="M102" s="277" t="s">
        <v>8</v>
      </c>
      <c r="N102" s="277" t="s">
        <v>4726</v>
      </c>
      <c r="O102" s="277">
        <v>521219</v>
      </c>
      <c r="P102" s="277" t="s">
        <v>4711</v>
      </c>
      <c r="Q102" s="307" cm="1">
        <f t="array" ref="Q102">SUM(_xlfn._xlws.FILTER(#REF!,#REF!=SP2D!AN102,0))</f>
        <v>2000000</v>
      </c>
      <c r="R102" s="278">
        <v>2000000</v>
      </c>
      <c r="S102" s="292">
        <f>SUM('PER BULAN'!H169:J169)</f>
        <v>0</v>
      </c>
      <c r="T102" s="292">
        <f>SUM('PER BULAN'!K169:M169)</f>
        <v>0</v>
      </c>
      <c r="U102" s="292">
        <f>SUM('PER BULAN'!N169:P169)</f>
        <v>499528</v>
      </c>
      <c r="V102" s="292">
        <f>SUM('PER BULAN'!Q169:S169)</f>
        <v>0</v>
      </c>
      <c r="W102" s="292">
        <f>SUM('PER BULAN'!T169:V169)</f>
        <v>0</v>
      </c>
      <c r="X102" s="292">
        <f>SUM('PER BULAN'!W169:Y169)</f>
        <v>0</v>
      </c>
      <c r="Y102" s="292">
        <f>SUM('PER BULAN'!Z169:AB169)</f>
        <v>0</v>
      </c>
      <c r="Z102" s="292">
        <f>SUM('PER BULAN'!AC169:AE169)</f>
        <v>0</v>
      </c>
      <c r="AA102" s="292">
        <f>SUM('PER BULAN'!AF169:AH169)</f>
        <v>0</v>
      </c>
      <c r="AB102" s="292">
        <f>SUM('PER BULAN'!AI169:AK169)</f>
        <v>0</v>
      </c>
      <c r="AC102" s="292">
        <f>SUM('PER BULAN'!AL169:AN169)</f>
        <v>0</v>
      </c>
      <c r="AD102" s="292">
        <f>SUM('PER BULAN'!AO169:AQ169)</f>
        <v>0</v>
      </c>
      <c r="AE102" s="277" t="s">
        <v>530</v>
      </c>
      <c r="AF102" s="277" t="s">
        <v>542</v>
      </c>
      <c r="AG102" s="277" t="s">
        <v>591</v>
      </c>
      <c r="AH102" s="277" t="s">
        <v>4699</v>
      </c>
      <c r="AI102" s="277" t="s">
        <v>4700</v>
      </c>
      <c r="AJ102" s="277">
        <f t="shared" si="7"/>
        <v>499528</v>
      </c>
      <c r="AK102" s="291">
        <f t="shared" si="8"/>
        <v>24.976400000000002</v>
      </c>
      <c r="AL102" s="277">
        <f t="shared" si="9"/>
        <v>1500472</v>
      </c>
      <c r="AM102" s="291">
        <f t="shared" si="10"/>
        <v>75.023600000000002</v>
      </c>
      <c r="AN102" s="277" t="str">
        <f t="shared" si="11"/>
        <v>WA.2378.EBD.953.301.A.521219</v>
      </c>
      <c r="AO102" s="277" t="str">
        <f>IF(ISNUMBER(SEARCH("COVID",Table7[[#This Row],[Akun]])),"COVID","Non COVID")</f>
        <v>Non COVID</v>
      </c>
      <c r="AP10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0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2" s="292">
        <f>SUM('PER BULAN'!AY169)</f>
        <v>0</v>
      </c>
      <c r="AS102" s="292">
        <f>SUM('PER BULAN'!AZ169)</f>
        <v>499528</v>
      </c>
      <c r="AT102" s="292">
        <f>SUM('PER BULAN'!BA169)</f>
        <v>0</v>
      </c>
      <c r="AU102" s="292">
        <f>SUM('PER BULAN'!BB169)</f>
        <v>0</v>
      </c>
      <c r="AV102" s="292">
        <f>SUM('PER BULAN'!BC169)</f>
        <v>0</v>
      </c>
      <c r="AW102" s="292">
        <f>SUM('PER BULAN'!BD169)</f>
        <v>0</v>
      </c>
      <c r="AX102" s="292">
        <f>SUM('PER BULAN'!BE169)</f>
        <v>0</v>
      </c>
      <c r="AY102" s="292">
        <f>SUM('PER BULAN'!BF169)</f>
        <v>0</v>
      </c>
    </row>
    <row r="103" spans="1:51" s="278" customFormat="1" hidden="1" x14ac:dyDescent="0.3">
      <c r="A103" s="277" t="s">
        <v>4693</v>
      </c>
      <c r="B103" s="277" t="s">
        <v>4694</v>
      </c>
      <c r="C103" s="277" t="s">
        <v>4720</v>
      </c>
      <c r="D103" s="277" t="s">
        <v>4721</v>
      </c>
      <c r="E103" s="277" t="s">
        <v>197</v>
      </c>
      <c r="F103" s="277" t="s">
        <v>4722</v>
      </c>
      <c r="G103" s="277" t="s">
        <v>4767</v>
      </c>
      <c r="H103" s="277" t="s">
        <v>4768</v>
      </c>
      <c r="I103" s="277">
        <v>953</v>
      </c>
      <c r="J103" s="277" t="s">
        <v>4775</v>
      </c>
      <c r="K103" s="277">
        <v>301</v>
      </c>
      <c r="L103" s="277" t="s">
        <v>4774</v>
      </c>
      <c r="M103" s="277" t="s">
        <v>8</v>
      </c>
      <c r="N103" s="277" t="s">
        <v>4726</v>
      </c>
      <c r="O103" s="277">
        <v>524111</v>
      </c>
      <c r="P103" s="277" t="s">
        <v>4702</v>
      </c>
      <c r="Q103" s="307" cm="1">
        <f t="array" ref="Q103">SUM(_xlfn._xlws.FILTER(#REF!,#REF!=SP2D!AN103,0))</f>
        <v>18539000</v>
      </c>
      <c r="R103" s="278">
        <v>247200000</v>
      </c>
      <c r="S103" s="292">
        <f>SUM('PER BULAN'!H171:J171)</f>
        <v>0</v>
      </c>
      <c r="T103" s="292">
        <f>SUM('PER BULAN'!K170:M170)</f>
        <v>0</v>
      </c>
      <c r="U103" s="292">
        <f>SUM('PER BULAN'!N170:P170)</f>
        <v>0</v>
      </c>
      <c r="V103" s="292">
        <f>SUM('PER BULAN'!Q170:S170)</f>
        <v>0</v>
      </c>
      <c r="W103" s="292">
        <f>SUM('PER BULAN'!T170:V170)</f>
        <v>0</v>
      </c>
      <c r="X103" s="292">
        <f>SUM('PER BULAN'!W170:Y170)</f>
        <v>0</v>
      </c>
      <c r="Y103" s="292">
        <f>SUM('PER BULAN'!Z170:AB170)</f>
        <v>0</v>
      </c>
      <c r="Z103" s="292">
        <f>SUM('PER BULAN'!AC170:AE170)</f>
        <v>0</v>
      </c>
      <c r="AA103" s="292">
        <f>SUM('PER BULAN'!AF170:AH170)</f>
        <v>0</v>
      </c>
      <c r="AB103" s="292">
        <f>SUM('PER BULAN'!AI170:AK170)</f>
        <v>0</v>
      </c>
      <c r="AC103" s="292">
        <f>SUM('PER BULAN'!AL170:AN170)</f>
        <v>0</v>
      </c>
      <c r="AD103" s="292">
        <f>SUM('PER BULAN'!AO170:AQ170)</f>
        <v>0</v>
      </c>
      <c r="AE103" s="277" t="s">
        <v>530</v>
      </c>
      <c r="AF103" s="277" t="s">
        <v>542</v>
      </c>
      <c r="AG103" s="277" t="s">
        <v>591</v>
      </c>
      <c r="AH103" s="277" t="s">
        <v>4699</v>
      </c>
      <c r="AI103" s="277" t="s">
        <v>4700</v>
      </c>
      <c r="AJ103" s="277">
        <f t="shared" si="7"/>
        <v>0</v>
      </c>
      <c r="AK103" s="291">
        <f t="shared" si="8"/>
        <v>0</v>
      </c>
      <c r="AL103" s="277">
        <f t="shared" si="9"/>
        <v>18539000</v>
      </c>
      <c r="AM103" s="291">
        <f t="shared" si="10"/>
        <v>100</v>
      </c>
      <c r="AN103" s="277" t="str">
        <f t="shared" si="11"/>
        <v>WA.2378.EBD.953.301.A.524111</v>
      </c>
      <c r="AO103" s="277" t="str">
        <f>IF(ISNUMBER(SEARCH("COVID",Table7[[#This Row],[Akun]])),"COVID","Non COVID")</f>
        <v>Non COVID</v>
      </c>
      <c r="AP10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c r="AY103" s="292">
        <f>SUM('PER BULAN'!BF170)</f>
        <v>0</v>
      </c>
    </row>
    <row r="104" spans="1:51" s="278" customFormat="1" hidden="1" x14ac:dyDescent="0.3">
      <c r="A104" s="277" t="s">
        <v>4693</v>
      </c>
      <c r="B104" s="277" t="s">
        <v>4694</v>
      </c>
      <c r="C104" s="277" t="s">
        <v>4720</v>
      </c>
      <c r="D104" s="277" t="s">
        <v>4721</v>
      </c>
      <c r="E104" s="277" t="s">
        <v>197</v>
      </c>
      <c r="F104" s="277" t="s">
        <v>4722</v>
      </c>
      <c r="G104" s="277" t="s">
        <v>4767</v>
      </c>
      <c r="H104" s="277" t="s">
        <v>4768</v>
      </c>
      <c r="I104" s="277">
        <v>953</v>
      </c>
      <c r="J104" s="277" t="s">
        <v>4775</v>
      </c>
      <c r="K104" s="277">
        <v>301</v>
      </c>
      <c r="L104" s="277" t="s">
        <v>4774</v>
      </c>
      <c r="M104" s="277" t="s">
        <v>511</v>
      </c>
      <c r="N104" s="277" t="s">
        <v>4727</v>
      </c>
      <c r="O104" s="277">
        <v>521211</v>
      </c>
      <c r="P104" s="277" t="s">
        <v>4698</v>
      </c>
      <c r="Q104" s="307" cm="1">
        <f t="array" ref="Q104">SUM(_xlfn._xlws.FILTER(#REF!,#REF!=SP2D!AN104,0))</f>
        <v>13525000</v>
      </c>
      <c r="R104" s="417">
        <v>41000000</v>
      </c>
      <c r="S104" s="292">
        <f>SUM('PER BULAN'!H172:J172)</f>
        <v>0</v>
      </c>
      <c r="T104" s="292">
        <f>SUM('PER BULAN'!K172:M172)</f>
        <v>0</v>
      </c>
      <c r="U104" s="292">
        <f>SUM('PER BULAN'!N172:P172)</f>
        <v>3379000</v>
      </c>
      <c r="V104" s="292">
        <f>SUM('PER BULAN'!Q172:S172)</f>
        <v>0</v>
      </c>
      <c r="W104" s="292">
        <f>SUM('PER BULAN'!T172:V172)</f>
        <v>3500000</v>
      </c>
      <c r="X104" s="292">
        <f>SUM('PER BULAN'!W172:Y172)</f>
        <v>2640000</v>
      </c>
      <c r="Y104" s="292">
        <f>SUM('PER BULAN'!Z172:AB172)</f>
        <v>0</v>
      </c>
      <c r="Z104" s="292">
        <f>SUM('PER BULAN'!AC172:AE172)</f>
        <v>0</v>
      </c>
      <c r="AA104" s="292">
        <f>SUM('PER BULAN'!AF172:AH172)</f>
        <v>0</v>
      </c>
      <c r="AB104" s="292">
        <f>SUM('PER BULAN'!AI172:AK172)</f>
        <v>0</v>
      </c>
      <c r="AC104" s="292">
        <f>SUM('PER BULAN'!AL172:AN172)</f>
        <v>0</v>
      </c>
      <c r="AD104" s="292">
        <f>SUM('PER BULAN'!AO172:AQ172)</f>
        <v>0</v>
      </c>
      <c r="AE104" s="277" t="s">
        <v>530</v>
      </c>
      <c r="AF104" s="277" t="s">
        <v>542</v>
      </c>
      <c r="AG104" s="277" t="s">
        <v>591</v>
      </c>
      <c r="AH104" s="277" t="s">
        <v>4699</v>
      </c>
      <c r="AI104" s="277" t="s">
        <v>4700</v>
      </c>
      <c r="AJ104" s="277">
        <f t="shared" si="7"/>
        <v>9519000</v>
      </c>
      <c r="AK104" s="291">
        <f t="shared" si="8"/>
        <v>70.380776340110913</v>
      </c>
      <c r="AL104" s="277">
        <f t="shared" si="9"/>
        <v>4006000</v>
      </c>
      <c r="AM104" s="291">
        <f t="shared" si="10"/>
        <v>29.619223659889094</v>
      </c>
      <c r="AN104" s="277" t="str">
        <f t="shared" si="11"/>
        <v>WA.2378.EBD.953.301.B.521211</v>
      </c>
      <c r="AO104" s="277" t="str">
        <f>IF(ISNUMBER(SEARCH("COVID",Table7[[#This Row],[Akun]])),"COVID","Non COVID")</f>
        <v>Non COVID</v>
      </c>
      <c r="AP10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4" s="292">
        <f>SUM('PER BULAN'!AY172)</f>
        <v>0</v>
      </c>
      <c r="AS104" s="292">
        <f>SUM('PER BULAN'!AZ172)</f>
        <v>2499000</v>
      </c>
      <c r="AT104" s="292">
        <f>SUM('PER BULAN'!BA172)</f>
        <v>880000</v>
      </c>
      <c r="AU104" s="292">
        <f>SUM('PER BULAN'!BB172)</f>
        <v>0</v>
      </c>
      <c r="AV104" s="292">
        <f>SUM('PER BULAN'!BC172)</f>
        <v>0</v>
      </c>
      <c r="AW104" s="292">
        <f>SUM('PER BULAN'!BD172)</f>
        <v>0</v>
      </c>
      <c r="AX104" s="292">
        <f>SUM('PER BULAN'!BE172)</f>
        <v>3500000</v>
      </c>
      <c r="AY104" s="292">
        <f>SUM('PER BULAN'!BF172)</f>
        <v>2640000</v>
      </c>
    </row>
    <row r="105" spans="1:51" s="278" customFormat="1" hidden="1" x14ac:dyDescent="0.3">
      <c r="A105" s="277" t="s">
        <v>4693</v>
      </c>
      <c r="B105" s="277" t="s">
        <v>4694</v>
      </c>
      <c r="C105" s="277" t="s">
        <v>4720</v>
      </c>
      <c r="D105" s="277" t="s">
        <v>4721</v>
      </c>
      <c r="E105" s="277" t="s">
        <v>197</v>
      </c>
      <c r="F105" s="277" t="s">
        <v>4722</v>
      </c>
      <c r="G105" s="277" t="s">
        <v>4767</v>
      </c>
      <c r="H105" s="277" t="s">
        <v>4768</v>
      </c>
      <c r="I105" s="277">
        <v>953</v>
      </c>
      <c r="J105" s="277" t="s">
        <v>4775</v>
      </c>
      <c r="K105" s="277">
        <v>301</v>
      </c>
      <c r="L105" s="277" t="s">
        <v>4774</v>
      </c>
      <c r="M105" s="277" t="s">
        <v>511</v>
      </c>
      <c r="N105" s="277" t="s">
        <v>4727</v>
      </c>
      <c r="O105" s="277">
        <v>521219</v>
      </c>
      <c r="P105" s="277" t="s">
        <v>4711</v>
      </c>
      <c r="Q105" s="307" cm="1">
        <f t="array" ref="Q105">SUM(_xlfn._xlws.FILTER(#REF!,#REF!=SP2D!AN105,0))</f>
        <v>2000000</v>
      </c>
      <c r="R105" s="417">
        <v>32000000</v>
      </c>
      <c r="S105" s="292">
        <f>SUM('PER BULAN'!H173:J173)</f>
        <v>0</v>
      </c>
      <c r="T105" s="292">
        <f>SUM('PER BULAN'!K173:M173)</f>
        <v>0</v>
      </c>
      <c r="U105" s="292">
        <f>SUM('PER BULAN'!N173:P173)</f>
        <v>0</v>
      </c>
      <c r="V105" s="292">
        <f>SUM('PER BULAN'!Q173:S173)</f>
        <v>0</v>
      </c>
      <c r="W105" s="292">
        <f>SUM('PER BULAN'!T173:V173)</f>
        <v>603014</v>
      </c>
      <c r="X105" s="292">
        <f>SUM('PER BULAN'!W173:Y173)</f>
        <v>0</v>
      </c>
      <c r="Y105" s="292">
        <f>SUM('PER BULAN'!Z173:AB173)</f>
        <v>0</v>
      </c>
      <c r="Z105" s="292">
        <f>SUM('PER BULAN'!AC173:AE173)</f>
        <v>0</v>
      </c>
      <c r="AA105" s="292">
        <f>SUM('PER BULAN'!AF173:AH173)</f>
        <v>0</v>
      </c>
      <c r="AB105" s="292">
        <f>SUM('PER BULAN'!AI173:AK173)</f>
        <v>0</v>
      </c>
      <c r="AC105" s="292">
        <f>SUM('PER BULAN'!AL173:AN173)</f>
        <v>0</v>
      </c>
      <c r="AD105" s="292">
        <f>SUM('PER BULAN'!AO173:AQ173)</f>
        <v>0</v>
      </c>
      <c r="AE105" s="277" t="s">
        <v>530</v>
      </c>
      <c r="AF105" s="277" t="s">
        <v>542</v>
      </c>
      <c r="AG105" s="277" t="s">
        <v>591</v>
      </c>
      <c r="AH105" s="277" t="s">
        <v>4699</v>
      </c>
      <c r="AI105" s="277" t="s">
        <v>4700</v>
      </c>
      <c r="AJ105" s="277">
        <f t="shared" si="7"/>
        <v>603014</v>
      </c>
      <c r="AK105" s="291">
        <f t="shared" si="8"/>
        <v>30.150700000000004</v>
      </c>
      <c r="AL105" s="277">
        <f t="shared" si="9"/>
        <v>1396986</v>
      </c>
      <c r="AM105" s="291">
        <f t="shared" si="10"/>
        <v>69.849299999999999</v>
      </c>
      <c r="AN105" s="277" t="str">
        <f t="shared" si="11"/>
        <v>WA.2378.EBD.953.301.B.521219</v>
      </c>
      <c r="AO105" s="277" t="str">
        <f>IF(ISNUMBER(SEARCH("COVID",Table7[[#This Row],[Akun]])),"COVID","Non COVID")</f>
        <v>Non COVID</v>
      </c>
      <c r="AP10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0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5" s="292">
        <f>SUM('PER BULAN'!AY173)</f>
        <v>0</v>
      </c>
      <c r="AS105" s="292">
        <f>SUM('PER BULAN'!AZ173)</f>
        <v>0</v>
      </c>
      <c r="AT105" s="292">
        <f>SUM('PER BULAN'!BA173)</f>
        <v>0</v>
      </c>
      <c r="AU105" s="292">
        <f>SUM('PER BULAN'!BB173)</f>
        <v>0</v>
      </c>
      <c r="AV105" s="292">
        <f>SUM('PER BULAN'!BC173)</f>
        <v>0</v>
      </c>
      <c r="AW105" s="292">
        <f>SUM('PER BULAN'!BD173)</f>
        <v>300383</v>
      </c>
      <c r="AX105" s="292">
        <f>SUM('PER BULAN'!BE173)</f>
        <v>302631</v>
      </c>
      <c r="AY105" s="292">
        <f>SUM('PER BULAN'!BF173)</f>
        <v>0</v>
      </c>
    </row>
    <row r="106" spans="1:51" s="278" customFormat="1" hidden="1" x14ac:dyDescent="0.3">
      <c r="A106" s="277" t="s">
        <v>4693</v>
      </c>
      <c r="B106" s="277" t="s">
        <v>4694</v>
      </c>
      <c r="C106" s="277" t="s">
        <v>4720</v>
      </c>
      <c r="D106" s="277" t="s">
        <v>4721</v>
      </c>
      <c r="E106" s="277" t="s">
        <v>197</v>
      </c>
      <c r="F106" s="277" t="s">
        <v>4722</v>
      </c>
      <c r="G106" s="277" t="s">
        <v>4767</v>
      </c>
      <c r="H106" s="277" t="s">
        <v>4768</v>
      </c>
      <c r="I106" s="277">
        <v>953</v>
      </c>
      <c r="J106" s="277" t="s">
        <v>4775</v>
      </c>
      <c r="K106" s="277">
        <v>301</v>
      </c>
      <c r="L106" s="277" t="s">
        <v>4774</v>
      </c>
      <c r="M106" s="277" t="s">
        <v>511</v>
      </c>
      <c r="N106" s="277" t="s">
        <v>4727</v>
      </c>
      <c r="O106" s="277">
        <v>522151</v>
      </c>
      <c r="P106" s="277" t="s">
        <v>4701</v>
      </c>
      <c r="Q106" s="307" cm="1">
        <f t="array" ref="Q106">SUM(_xlfn._xlws.FILTER(#REF!,#REF!=SP2D!AN106,0))</f>
        <v>0</v>
      </c>
      <c r="R106" s="417">
        <v>10000000</v>
      </c>
      <c r="S106" s="292">
        <f>SUM('PER BULAN'!H174:J174)</f>
        <v>0</v>
      </c>
      <c r="T106" s="292">
        <f>SUM('PER BULAN'!K174:M174)</f>
        <v>0</v>
      </c>
      <c r="U106" s="292">
        <f>SUM('PER BULAN'!N174:P174)</f>
        <v>0</v>
      </c>
      <c r="V106" s="292">
        <f>SUM('PER BULAN'!Q174:S174)</f>
        <v>0</v>
      </c>
      <c r="W106" s="292">
        <f>SUM('PER BULAN'!T174:V174)</f>
        <v>0</v>
      </c>
      <c r="X106" s="292">
        <f>SUM('PER BULAN'!W174:Y174)</f>
        <v>0</v>
      </c>
      <c r="Y106" s="292">
        <f>SUM('PER BULAN'!Z174:AB174)</f>
        <v>0</v>
      </c>
      <c r="Z106" s="292">
        <f>SUM('PER BULAN'!AC174:AE174)</f>
        <v>0</v>
      </c>
      <c r="AA106" s="292">
        <f>SUM('PER BULAN'!AF174:AH174)</f>
        <v>0</v>
      </c>
      <c r="AB106" s="292">
        <f>SUM('PER BULAN'!AI174:AK174)</f>
        <v>0</v>
      </c>
      <c r="AC106" s="292">
        <f>SUM('PER BULAN'!AL174:AN174)</f>
        <v>0</v>
      </c>
      <c r="AD106" s="292">
        <f>SUM('PER BULAN'!AO174:AQ174)</f>
        <v>0</v>
      </c>
      <c r="AE106" s="277" t="s">
        <v>530</v>
      </c>
      <c r="AF106" s="277" t="s">
        <v>542</v>
      </c>
      <c r="AG106" s="277" t="s">
        <v>591</v>
      </c>
      <c r="AH106" s="277" t="s">
        <v>4699</v>
      </c>
      <c r="AI106" s="277" t="s">
        <v>4700</v>
      </c>
      <c r="AJ106" s="277">
        <f t="shared" si="7"/>
        <v>0</v>
      </c>
      <c r="AK106" s="291">
        <f t="shared" si="8"/>
        <v>0</v>
      </c>
      <c r="AL106" s="277">
        <f t="shared" si="9"/>
        <v>0</v>
      </c>
      <c r="AM106" s="291">
        <f t="shared" si="10"/>
        <v>0</v>
      </c>
      <c r="AN106" s="277" t="str">
        <f t="shared" si="11"/>
        <v>WA.2378.EBD.953.301.B.522151</v>
      </c>
      <c r="AO106" s="277" t="str">
        <f>IF(ISNUMBER(SEARCH("COVID",Table7[[#This Row],[Akun]])),"COVID","Non COVID")</f>
        <v>Non COVID</v>
      </c>
      <c r="AP10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0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c r="AY106" s="292">
        <f>SUM('PER BULAN'!BF174)</f>
        <v>0</v>
      </c>
    </row>
    <row r="107" spans="1:51" s="278" customFormat="1" hidden="1" x14ac:dyDescent="0.3">
      <c r="A107" s="277" t="s">
        <v>4693</v>
      </c>
      <c r="B107" s="277" t="s">
        <v>4694</v>
      </c>
      <c r="C107" s="277" t="s">
        <v>4720</v>
      </c>
      <c r="D107" s="277" t="s">
        <v>4721</v>
      </c>
      <c r="E107" s="277" t="s">
        <v>197</v>
      </c>
      <c r="F107" s="277" t="s">
        <v>4722</v>
      </c>
      <c r="G107" s="277" t="s">
        <v>4767</v>
      </c>
      <c r="H107" s="277" t="s">
        <v>4768</v>
      </c>
      <c r="I107" s="277">
        <v>953</v>
      </c>
      <c r="J107" s="277" t="s">
        <v>4775</v>
      </c>
      <c r="K107" s="277">
        <v>301</v>
      </c>
      <c r="L107" s="277" t="s">
        <v>4774</v>
      </c>
      <c r="M107" s="277" t="s">
        <v>511</v>
      </c>
      <c r="N107" s="277" t="s">
        <v>4727</v>
      </c>
      <c r="O107" s="277">
        <v>524111</v>
      </c>
      <c r="P107" s="277" t="s">
        <v>4702</v>
      </c>
      <c r="Q107" s="307" cm="1">
        <f t="array" ref="Q107">SUM(_xlfn._xlws.FILTER(#REF!,#REF!=SP2D!AN107,0))</f>
        <v>60415000</v>
      </c>
      <c r="R107" s="417">
        <v>120000000</v>
      </c>
      <c r="S107" s="292">
        <f>SUM('PER BULAN'!H175:J175)</f>
        <v>0</v>
      </c>
      <c r="T107" s="292">
        <f>SUM('PER BULAN'!K175:M175)</f>
        <v>0</v>
      </c>
      <c r="U107" s="292">
        <f>SUM('PER BULAN'!N175:P175)</f>
        <v>0</v>
      </c>
      <c r="V107" s="292">
        <f>SUM('PER BULAN'!Q175:S175)</f>
        <v>524500</v>
      </c>
      <c r="W107" s="292">
        <f>SUM('PER BULAN'!T175:V175)</f>
        <v>21422224</v>
      </c>
      <c r="X107" s="292">
        <f>SUM('PER BULAN'!W175:Y175)</f>
        <v>38467531</v>
      </c>
      <c r="Y107" s="292">
        <f>SUM('PER BULAN'!Z175:AB175)</f>
        <v>0</v>
      </c>
      <c r="Z107" s="292">
        <f>SUM('PER BULAN'!AC175:AE175)</f>
        <v>0</v>
      </c>
      <c r="AA107" s="292">
        <f>SUM('PER BULAN'!AF175:AH175)</f>
        <v>0</v>
      </c>
      <c r="AB107" s="292">
        <f>SUM('PER BULAN'!AI175:AK175)</f>
        <v>0</v>
      </c>
      <c r="AC107" s="292">
        <f>SUM('PER BULAN'!AL175:AN175)</f>
        <v>0</v>
      </c>
      <c r="AD107" s="292">
        <f>SUM('PER BULAN'!AO175:AQ175)</f>
        <v>0</v>
      </c>
      <c r="AE107" s="277" t="s">
        <v>530</v>
      </c>
      <c r="AF107" s="277" t="s">
        <v>542</v>
      </c>
      <c r="AG107" s="277" t="s">
        <v>591</v>
      </c>
      <c r="AH107" s="277" t="s">
        <v>4699</v>
      </c>
      <c r="AI107" s="277" t="s">
        <v>4700</v>
      </c>
      <c r="AJ107" s="277">
        <f t="shared" si="7"/>
        <v>60414255</v>
      </c>
      <c r="AK107" s="291">
        <f t="shared" si="8"/>
        <v>99.99876686253414</v>
      </c>
      <c r="AL107" s="277">
        <f t="shared" si="9"/>
        <v>745</v>
      </c>
      <c r="AM107" s="291">
        <f t="shared" si="10"/>
        <v>1.2331374658611273E-3</v>
      </c>
      <c r="AN107" s="277" t="str">
        <f t="shared" si="11"/>
        <v>WA.2378.EBD.953.301.B.524111</v>
      </c>
      <c r="AO107" s="277" t="str">
        <f>IF(ISNUMBER(SEARCH("COVID",Table7[[#This Row],[Akun]])),"COVID","Non COVID")</f>
        <v>Non COVID</v>
      </c>
      <c r="AP10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7" s="292">
        <f>SUM('PER BULAN'!AY175)</f>
        <v>0</v>
      </c>
      <c r="AS107" s="292">
        <f>SUM('PER BULAN'!AZ175)</f>
        <v>0</v>
      </c>
      <c r="AT107" s="292">
        <f>SUM('PER BULAN'!BA175)</f>
        <v>0</v>
      </c>
      <c r="AU107" s="292">
        <f>SUM('PER BULAN'!BB175)</f>
        <v>0</v>
      </c>
      <c r="AV107" s="292">
        <f>SUM('PER BULAN'!BC175)</f>
        <v>0</v>
      </c>
      <c r="AW107" s="292">
        <f>SUM('PER BULAN'!BD175)</f>
        <v>0</v>
      </c>
      <c r="AX107" s="292">
        <f>SUM('PER BULAN'!BE175)</f>
        <v>21422224</v>
      </c>
      <c r="AY107" s="292">
        <f>SUM('PER BULAN'!BF175)</f>
        <v>0</v>
      </c>
    </row>
    <row r="108" spans="1:51" s="278" customFormat="1" hidden="1" x14ac:dyDescent="0.3">
      <c r="A108" s="277" t="s">
        <v>4693</v>
      </c>
      <c r="B108" s="277" t="s">
        <v>4694</v>
      </c>
      <c r="C108" s="277" t="s">
        <v>4720</v>
      </c>
      <c r="D108" s="277" t="s">
        <v>4721</v>
      </c>
      <c r="E108" s="277" t="s">
        <v>197</v>
      </c>
      <c r="F108" s="277" t="s">
        <v>4722</v>
      </c>
      <c r="G108" s="277" t="s">
        <v>4767</v>
      </c>
      <c r="H108" s="277" t="s">
        <v>4768</v>
      </c>
      <c r="I108" s="277">
        <v>953</v>
      </c>
      <c r="J108" s="277" t="s">
        <v>4775</v>
      </c>
      <c r="K108" s="277">
        <v>301</v>
      </c>
      <c r="L108" s="277" t="s">
        <v>4774</v>
      </c>
      <c r="M108" s="277" t="s">
        <v>511</v>
      </c>
      <c r="N108" s="277" t="s">
        <v>4727</v>
      </c>
      <c r="O108" s="277">
        <v>524113</v>
      </c>
      <c r="P108" s="277" t="s">
        <v>508</v>
      </c>
      <c r="Q108" s="307" cm="1">
        <f t="array" ref="Q108">SUM(_xlfn._xlws.FILTER(#REF!,#REF!=SP2D!AN108,0))</f>
        <v>0</v>
      </c>
      <c r="R108" s="417">
        <v>9000000</v>
      </c>
      <c r="S108" s="292">
        <f>SUM('PER BULAN'!H178:J178)</f>
        <v>0</v>
      </c>
      <c r="T108" s="292">
        <f>SUM('PER BULAN'!K176:M176)</f>
        <v>0</v>
      </c>
      <c r="U108" s="292">
        <f>SUM('PER BULAN'!N176:P176)</f>
        <v>0</v>
      </c>
      <c r="V108" s="292">
        <f>SUM('PER BULAN'!Q176:S176)</f>
        <v>0</v>
      </c>
      <c r="W108" s="292">
        <f>SUM('PER BULAN'!T176:V176)</f>
        <v>0</v>
      </c>
      <c r="X108" s="292">
        <f>SUM('PER BULAN'!W176:Y176)</f>
        <v>0</v>
      </c>
      <c r="Y108" s="292">
        <f>SUM('PER BULAN'!Z176:AB176)</f>
        <v>0</v>
      </c>
      <c r="Z108" s="292">
        <f>SUM('PER BULAN'!AC176:AE176)</f>
        <v>0</v>
      </c>
      <c r="AA108" s="292">
        <f>SUM('PER BULAN'!AF176:AH176)</f>
        <v>0</v>
      </c>
      <c r="AB108" s="292">
        <f>SUM('PER BULAN'!AI176:AK176)</f>
        <v>0</v>
      </c>
      <c r="AC108" s="292">
        <f>SUM('PER BULAN'!AL176:AN176)</f>
        <v>0</v>
      </c>
      <c r="AD108" s="292">
        <f>SUM('PER BULAN'!AO176:AQ176)</f>
        <v>0</v>
      </c>
      <c r="AE108" s="277" t="s">
        <v>530</v>
      </c>
      <c r="AF108" s="277" t="s">
        <v>542</v>
      </c>
      <c r="AG108" s="277" t="s">
        <v>591</v>
      </c>
      <c r="AH108" s="277" t="s">
        <v>4699</v>
      </c>
      <c r="AI108" s="277" t="s">
        <v>4700</v>
      </c>
      <c r="AJ108" s="277">
        <f t="shared" si="7"/>
        <v>0</v>
      </c>
      <c r="AK108" s="291">
        <f t="shared" si="8"/>
        <v>0</v>
      </c>
      <c r="AL108" s="277">
        <f t="shared" si="9"/>
        <v>0</v>
      </c>
      <c r="AM108" s="291">
        <f t="shared" si="10"/>
        <v>0</v>
      </c>
      <c r="AN108" s="277" t="str">
        <f t="shared" si="11"/>
        <v>WA.2378.EBD.953.301.B.524113</v>
      </c>
      <c r="AO108" s="277" t="str">
        <f>IF(ISNUMBER(SEARCH("COVID",Table7[[#This Row],[Akun]])),"COVID","Non COVID")</f>
        <v>Non COVID</v>
      </c>
      <c r="AP10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10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c r="AY108" s="292">
        <f>SUM('PER BULAN'!BF176)</f>
        <v>0</v>
      </c>
    </row>
    <row r="109" spans="1:51" s="278" customFormat="1" hidden="1" x14ac:dyDescent="0.3">
      <c r="A109" s="277" t="s">
        <v>4693</v>
      </c>
      <c r="B109" s="277" t="s">
        <v>4694</v>
      </c>
      <c r="C109" s="277" t="s">
        <v>4720</v>
      </c>
      <c r="D109" s="277" t="s">
        <v>4721</v>
      </c>
      <c r="E109" s="277" t="s">
        <v>197</v>
      </c>
      <c r="F109" s="277" t="s">
        <v>4722</v>
      </c>
      <c r="G109" s="277" t="s">
        <v>4767</v>
      </c>
      <c r="H109" s="277" t="s">
        <v>4768</v>
      </c>
      <c r="I109" s="277">
        <v>953</v>
      </c>
      <c r="J109" s="277" t="s">
        <v>4775</v>
      </c>
      <c r="K109" s="277">
        <v>302</v>
      </c>
      <c r="L109" s="277" t="s">
        <v>4776</v>
      </c>
      <c r="M109" s="277" t="s">
        <v>8</v>
      </c>
      <c r="N109" s="277" t="s">
        <v>4777</v>
      </c>
      <c r="O109" s="277">
        <v>521211</v>
      </c>
      <c r="P109" s="277" t="s">
        <v>4698</v>
      </c>
      <c r="Q109" s="307" cm="1">
        <f t="array" ref="Q109">SUM(_xlfn._xlws.FILTER(#REF!,#REF!=SP2D!AN109,0))</f>
        <v>17900000</v>
      </c>
      <c r="R109" s="278">
        <v>35500000</v>
      </c>
      <c r="S109" s="292">
        <f>SUM('PER BULAN'!H179:J179)</f>
        <v>0</v>
      </c>
      <c r="T109" s="292">
        <f>SUM('PER BULAN'!K179:M179)</f>
        <v>0</v>
      </c>
      <c r="U109" s="292">
        <f>SUM('PER BULAN'!N179:P179)</f>
        <v>3358000</v>
      </c>
      <c r="V109" s="292">
        <f>SUM('PER BULAN'!Q179:S179)</f>
        <v>0</v>
      </c>
      <c r="W109" s="292">
        <f>SUM('PER BULAN'!T179:V179)</f>
        <v>4986000</v>
      </c>
      <c r="X109" s="292">
        <f>SUM('PER BULAN'!W179:Y179)</f>
        <v>0</v>
      </c>
      <c r="Y109" s="292">
        <f>SUM('PER BULAN'!Z179:AB179)</f>
        <v>0</v>
      </c>
      <c r="Z109" s="292">
        <f>SUM('PER BULAN'!AC179:AE179)</f>
        <v>0</v>
      </c>
      <c r="AA109" s="292">
        <f>SUM('PER BULAN'!AF179:AH179)</f>
        <v>0</v>
      </c>
      <c r="AB109" s="292">
        <f>SUM('PER BULAN'!AI179:AK179)</f>
        <v>0</v>
      </c>
      <c r="AC109" s="292">
        <f>SUM('PER BULAN'!AL179:AN179)</f>
        <v>0</v>
      </c>
      <c r="AD109" s="292">
        <f>SUM('PER BULAN'!AO179:AQ179)</f>
        <v>0</v>
      </c>
      <c r="AE109" s="277" t="s">
        <v>530</v>
      </c>
      <c r="AF109" s="277" t="s">
        <v>542</v>
      </c>
      <c r="AG109" s="277" t="s">
        <v>591</v>
      </c>
      <c r="AH109" s="277" t="s">
        <v>4699</v>
      </c>
      <c r="AI109" s="277" t="s">
        <v>4700</v>
      </c>
      <c r="AJ109" s="277">
        <f t="shared" si="7"/>
        <v>8344000</v>
      </c>
      <c r="AK109" s="291">
        <f t="shared" si="8"/>
        <v>46.614525139664806</v>
      </c>
      <c r="AL109" s="277">
        <f t="shared" si="9"/>
        <v>9556000</v>
      </c>
      <c r="AM109" s="291">
        <f t="shared" si="10"/>
        <v>53.385474860335194</v>
      </c>
      <c r="AN109" s="277" t="str">
        <f t="shared" si="11"/>
        <v>WA.2378.EBD.953.302.A.521211</v>
      </c>
      <c r="AO109" s="277" t="str">
        <f>IF(ISNUMBER(SEARCH("COVID",Table7[[#This Row],[Akun]])),"COVID","Non COVID")</f>
        <v>Non COVID</v>
      </c>
      <c r="AP10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9" s="292">
        <f>SUM('PER BULAN'!AY179)</f>
        <v>0</v>
      </c>
      <c r="AS109" s="292">
        <f>SUM('PER BULAN'!AZ179)</f>
        <v>2498000</v>
      </c>
      <c r="AT109" s="292">
        <f>SUM('PER BULAN'!BA179)</f>
        <v>860000</v>
      </c>
      <c r="AU109" s="292">
        <f>SUM('PER BULAN'!BB179)</f>
        <v>0</v>
      </c>
      <c r="AV109" s="292">
        <f>SUM('PER BULAN'!BC179)</f>
        <v>0</v>
      </c>
      <c r="AW109" s="292">
        <f>SUM('PER BULAN'!BD179)</f>
        <v>0</v>
      </c>
      <c r="AX109" s="292">
        <f>SUM('PER BULAN'!BE179)</f>
        <v>4986000</v>
      </c>
      <c r="AY109" s="292">
        <f>SUM('PER BULAN'!BF179)</f>
        <v>0</v>
      </c>
    </row>
    <row r="110" spans="1:51" s="278" customFormat="1" hidden="1" x14ac:dyDescent="0.3">
      <c r="A110" s="277" t="s">
        <v>4693</v>
      </c>
      <c r="B110" s="277" t="s">
        <v>4694</v>
      </c>
      <c r="C110" s="277" t="s">
        <v>4720</v>
      </c>
      <c r="D110" s="277" t="s">
        <v>4721</v>
      </c>
      <c r="E110" s="277" t="s">
        <v>197</v>
      </c>
      <c r="F110" s="277" t="s">
        <v>4722</v>
      </c>
      <c r="G110" s="277" t="s">
        <v>4767</v>
      </c>
      <c r="H110" s="277" t="s">
        <v>4768</v>
      </c>
      <c r="I110" s="277">
        <v>953</v>
      </c>
      <c r="J110" s="277" t="s">
        <v>4775</v>
      </c>
      <c r="K110" s="277">
        <v>302</v>
      </c>
      <c r="L110" s="277" t="s">
        <v>4776</v>
      </c>
      <c r="M110" s="277" t="s">
        <v>8</v>
      </c>
      <c r="N110" s="277" t="s">
        <v>4777</v>
      </c>
      <c r="O110" s="277">
        <v>521219</v>
      </c>
      <c r="P110" s="277" t="s">
        <v>4711</v>
      </c>
      <c r="Q110" s="307" cm="1">
        <f t="array" ref="Q110">SUM(_xlfn._xlws.FILTER(#REF!,#REF!=SP2D!AN110,0))</f>
        <v>2000000</v>
      </c>
      <c r="R110" s="278">
        <v>2000000</v>
      </c>
      <c r="S110" s="292">
        <f>SUM('PER BULAN'!H180:J180)</f>
        <v>0</v>
      </c>
      <c r="T110" s="292">
        <f>SUM('PER BULAN'!K180:M180)</f>
        <v>0</v>
      </c>
      <c r="U110" s="292">
        <f>SUM('PER BULAN'!N180:P180)</f>
        <v>0</v>
      </c>
      <c r="V110" s="292">
        <f>SUM('PER BULAN'!Q180:S180)</f>
        <v>0</v>
      </c>
      <c r="W110" s="292">
        <f>SUM('PER BULAN'!T180:V180)</f>
        <v>0</v>
      </c>
      <c r="X110" s="292">
        <f>SUM('PER BULAN'!W180:Y180)</f>
        <v>0</v>
      </c>
      <c r="Y110" s="292">
        <f>SUM('PER BULAN'!Z180:AB180)</f>
        <v>0</v>
      </c>
      <c r="Z110" s="292">
        <f>SUM('PER BULAN'!AC180:AE180)</f>
        <v>0</v>
      </c>
      <c r="AA110" s="292">
        <f>SUM('PER BULAN'!AF180:AH180)</f>
        <v>0</v>
      </c>
      <c r="AB110" s="292">
        <f>SUM('PER BULAN'!AI180:AK180)</f>
        <v>0</v>
      </c>
      <c r="AC110" s="292">
        <f>SUM('PER BULAN'!AL180:AN180)</f>
        <v>0</v>
      </c>
      <c r="AD110" s="292">
        <f>SUM('PER BULAN'!AO180:AQ180)</f>
        <v>0</v>
      </c>
      <c r="AE110" s="277" t="s">
        <v>530</v>
      </c>
      <c r="AF110" s="277" t="s">
        <v>542</v>
      </c>
      <c r="AG110" s="277" t="s">
        <v>591</v>
      </c>
      <c r="AH110" s="277" t="s">
        <v>4699</v>
      </c>
      <c r="AI110" s="277" t="s">
        <v>4700</v>
      </c>
      <c r="AJ110" s="277">
        <f t="shared" si="7"/>
        <v>0</v>
      </c>
      <c r="AK110" s="291">
        <f t="shared" si="8"/>
        <v>0</v>
      </c>
      <c r="AL110" s="277">
        <f t="shared" si="9"/>
        <v>2000000</v>
      </c>
      <c r="AM110" s="291">
        <f t="shared" si="10"/>
        <v>100</v>
      </c>
      <c r="AN110" s="277" t="str">
        <f t="shared" si="11"/>
        <v>WA.2378.EBD.953.302.A.521219</v>
      </c>
      <c r="AO110" s="277" t="str">
        <f>IF(ISNUMBER(SEARCH("COVID",Table7[[#This Row],[Akun]])),"COVID","Non COVID")</f>
        <v>Non COVID</v>
      </c>
      <c r="AP11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1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c r="AY110" s="292">
        <f>SUM('PER BULAN'!BF180)</f>
        <v>0</v>
      </c>
    </row>
    <row r="111" spans="1:51" s="278" customFormat="1" hidden="1" x14ac:dyDescent="0.3">
      <c r="A111" s="277" t="s">
        <v>4693</v>
      </c>
      <c r="B111" s="277" t="s">
        <v>4694</v>
      </c>
      <c r="C111" s="277" t="s">
        <v>4720</v>
      </c>
      <c r="D111" s="277" t="s">
        <v>4721</v>
      </c>
      <c r="E111" s="277" t="s">
        <v>197</v>
      </c>
      <c r="F111" s="277" t="s">
        <v>4722</v>
      </c>
      <c r="G111" s="277" t="s">
        <v>4767</v>
      </c>
      <c r="H111" s="277" t="s">
        <v>4768</v>
      </c>
      <c r="I111" s="277">
        <v>953</v>
      </c>
      <c r="J111" s="277" t="s">
        <v>4775</v>
      </c>
      <c r="K111" s="277">
        <v>302</v>
      </c>
      <c r="L111" s="277" t="s">
        <v>4776</v>
      </c>
      <c r="M111" s="277" t="s">
        <v>8</v>
      </c>
      <c r="N111" s="277" t="s">
        <v>4777</v>
      </c>
      <c r="O111" s="277">
        <v>524111</v>
      </c>
      <c r="P111" s="277" t="s">
        <v>4702</v>
      </c>
      <c r="Q111" s="307" cm="1">
        <f t="array" ref="Q111">SUM(_xlfn._xlws.FILTER(#REF!,#REF!=SP2D!AN111,0))</f>
        <v>30169000</v>
      </c>
      <c r="R111" s="278">
        <v>89032000</v>
      </c>
      <c r="S111" s="292">
        <f>SUM('PER BULAN'!H184:J184)</f>
        <v>0</v>
      </c>
      <c r="T111" s="292">
        <f>SUM('PER BULAN'!K181:M181)</f>
        <v>0</v>
      </c>
      <c r="U111" s="292">
        <f>SUM('PER BULAN'!N181:P181)</f>
        <v>2490000</v>
      </c>
      <c r="V111" s="292">
        <f>SUM('PER BULAN'!Q181:S181)</f>
        <v>15530000</v>
      </c>
      <c r="W111" s="292">
        <f>SUM('PER BULAN'!T181:V181)</f>
        <v>0</v>
      </c>
      <c r="X111" s="292">
        <f>SUM('PER BULAN'!W181:Y181)</f>
        <v>2118000</v>
      </c>
      <c r="Y111" s="292">
        <f>SUM('PER BULAN'!Z181:AB181)</f>
        <v>0</v>
      </c>
      <c r="Z111" s="292">
        <f>SUM('PER BULAN'!AC181:AE181)</f>
        <v>0</v>
      </c>
      <c r="AA111" s="292">
        <f>SUM('PER BULAN'!AF181:AH181)</f>
        <v>0</v>
      </c>
      <c r="AB111" s="292">
        <f>SUM('PER BULAN'!AI181:AK181)</f>
        <v>0</v>
      </c>
      <c r="AC111" s="292">
        <f>SUM('PER BULAN'!AL181:AN181)</f>
        <v>0</v>
      </c>
      <c r="AD111" s="292">
        <f>SUM('PER BULAN'!AO181:AQ181)</f>
        <v>0</v>
      </c>
      <c r="AE111" s="277" t="s">
        <v>530</v>
      </c>
      <c r="AF111" s="277" t="s">
        <v>542</v>
      </c>
      <c r="AG111" s="277" t="s">
        <v>591</v>
      </c>
      <c r="AH111" s="277" t="s">
        <v>4699</v>
      </c>
      <c r="AI111" s="277" t="s">
        <v>4700</v>
      </c>
      <c r="AJ111" s="277">
        <f t="shared" si="7"/>
        <v>20138000</v>
      </c>
      <c r="AK111" s="291">
        <f t="shared" si="8"/>
        <v>66.750638072193311</v>
      </c>
      <c r="AL111" s="277">
        <f t="shared" si="9"/>
        <v>10031000</v>
      </c>
      <c r="AM111" s="291">
        <f t="shared" si="10"/>
        <v>33.249361927806689</v>
      </c>
      <c r="AN111" s="277" t="str">
        <f t="shared" si="11"/>
        <v>WA.2378.EBD.953.302.A.524111</v>
      </c>
      <c r="AO111" s="277" t="str">
        <f>IF(ISNUMBER(SEARCH("COVID",Table7[[#This Row],[Akun]])),"COVID","Non COVID")</f>
        <v>Non COVID</v>
      </c>
      <c r="AP11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1" s="292">
        <f>SUM('PER BULAN'!AY181)</f>
        <v>0</v>
      </c>
      <c r="AS111" s="292">
        <f>SUM('PER BULAN'!AZ181)</f>
        <v>0</v>
      </c>
      <c r="AT111" s="292">
        <f>SUM('PER BULAN'!BA181)</f>
        <v>2490000</v>
      </c>
      <c r="AU111" s="292">
        <f>SUM('PER BULAN'!BB181)</f>
        <v>0</v>
      </c>
      <c r="AV111" s="292">
        <f>SUM('PER BULAN'!BC181)</f>
        <v>0</v>
      </c>
      <c r="AW111" s="292">
        <f>SUM('PER BULAN'!BD181)</f>
        <v>0</v>
      </c>
      <c r="AX111" s="292">
        <f>SUM('PER BULAN'!BE181)</f>
        <v>0</v>
      </c>
      <c r="AY111" s="292">
        <f>SUM('PER BULAN'!BF181)</f>
        <v>0</v>
      </c>
    </row>
    <row r="112" spans="1:51" s="278" customFormat="1" hidden="1" x14ac:dyDescent="0.3">
      <c r="A112" s="277" t="s">
        <v>4693</v>
      </c>
      <c r="B112" s="277" t="s">
        <v>4694</v>
      </c>
      <c r="C112" s="277" t="s">
        <v>4720</v>
      </c>
      <c r="D112" s="277" t="s">
        <v>4721</v>
      </c>
      <c r="E112" s="277" t="s">
        <v>197</v>
      </c>
      <c r="F112" s="277" t="s">
        <v>4722</v>
      </c>
      <c r="G112" s="277" t="s">
        <v>4767</v>
      </c>
      <c r="H112" s="277" t="s">
        <v>4768</v>
      </c>
      <c r="I112" s="277">
        <v>955</v>
      </c>
      <c r="J112" s="277" t="s">
        <v>4778</v>
      </c>
      <c r="K112" s="277">
        <v>301</v>
      </c>
      <c r="L112" s="277" t="s">
        <v>4779</v>
      </c>
      <c r="M112" s="277" t="s">
        <v>8</v>
      </c>
      <c r="N112" s="277" t="s">
        <v>4780</v>
      </c>
      <c r="O112" s="277">
        <v>521211</v>
      </c>
      <c r="P112" s="277" t="s">
        <v>4698</v>
      </c>
      <c r="Q112" s="307" cm="1">
        <f t="array" ref="Q112">SUM(_xlfn._xlws.FILTER(#REF!,#REF!=SP2D!AN112,0))</f>
        <v>18400000</v>
      </c>
      <c r="R112" s="278">
        <v>23900000</v>
      </c>
      <c r="S112" s="292">
        <f>SUM('PER BULAN'!H185:J185)</f>
        <v>0</v>
      </c>
      <c r="T112" s="292">
        <f>SUM('PER BULAN'!K185:M185)</f>
        <v>0</v>
      </c>
      <c r="U112" s="292">
        <f>SUM('PER BULAN'!N185:P185)</f>
        <v>5725000</v>
      </c>
      <c r="V112" s="292">
        <f>SUM('PER BULAN'!Q185:S185)</f>
        <v>2446000</v>
      </c>
      <c r="W112" s="292">
        <f>SUM('PER BULAN'!T185:V185)</f>
        <v>5660000</v>
      </c>
      <c r="X112" s="292">
        <f>SUM('PER BULAN'!W185:Y185)</f>
        <v>0</v>
      </c>
      <c r="Y112" s="292">
        <f>SUM('PER BULAN'!Z185:AB185)</f>
        <v>0</v>
      </c>
      <c r="Z112" s="292">
        <f>SUM('PER BULAN'!AC185:AE185)</f>
        <v>0</v>
      </c>
      <c r="AA112" s="292">
        <f>SUM('PER BULAN'!AF185:AH185)</f>
        <v>0</v>
      </c>
      <c r="AB112" s="292">
        <f>SUM('PER BULAN'!AI185:AK185)</f>
        <v>0</v>
      </c>
      <c r="AC112" s="292">
        <f>SUM('PER BULAN'!AL185:AN185)</f>
        <v>0</v>
      </c>
      <c r="AD112" s="292">
        <f>SUM('PER BULAN'!AO185:AQ185)</f>
        <v>0</v>
      </c>
      <c r="AE112" s="277" t="s">
        <v>530</v>
      </c>
      <c r="AF112" s="277" t="s">
        <v>576</v>
      </c>
      <c r="AG112" s="277" t="s">
        <v>546</v>
      </c>
      <c r="AH112" s="277" t="s">
        <v>4699</v>
      </c>
      <c r="AI112" s="277" t="s">
        <v>4700</v>
      </c>
      <c r="AJ112" s="277">
        <f t="shared" si="7"/>
        <v>13831000</v>
      </c>
      <c r="AK112" s="291">
        <f t="shared" si="8"/>
        <v>75.168478260869563</v>
      </c>
      <c r="AL112" s="277">
        <f t="shared" si="9"/>
        <v>4569000</v>
      </c>
      <c r="AM112" s="291">
        <f t="shared" si="10"/>
        <v>24.831521739130437</v>
      </c>
      <c r="AN112" s="277" t="str">
        <f t="shared" si="11"/>
        <v>WA.2378.EBD.955.301.A.521211</v>
      </c>
      <c r="AO112" s="277" t="str">
        <f>IF(ISNUMBER(SEARCH("COVID",Table7[[#This Row],[Akun]])),"COVID","Non COVID")</f>
        <v>Non COVID</v>
      </c>
      <c r="AP11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2" s="292">
        <f>SUM('PER BULAN'!AY185)</f>
        <v>0</v>
      </c>
      <c r="AS112" s="292">
        <f>SUM('PER BULAN'!AZ185)</f>
        <v>3275000</v>
      </c>
      <c r="AT112" s="292">
        <f>SUM('PER BULAN'!BA185)</f>
        <v>2450000</v>
      </c>
      <c r="AU112" s="292">
        <f>SUM('PER BULAN'!BB185)</f>
        <v>2446000</v>
      </c>
      <c r="AV112" s="292">
        <f>SUM('PER BULAN'!BC185)</f>
        <v>1810000</v>
      </c>
      <c r="AW112" s="292">
        <f>SUM('PER BULAN'!BD185)</f>
        <v>0</v>
      </c>
      <c r="AX112" s="292">
        <f>SUM('PER BULAN'!BE185)</f>
        <v>3850000</v>
      </c>
      <c r="AY112" s="292">
        <f>SUM('PER BULAN'!BF185)</f>
        <v>0</v>
      </c>
    </row>
    <row r="113" spans="1:51" s="278" customFormat="1" hidden="1" x14ac:dyDescent="0.3">
      <c r="A113" s="277" t="s">
        <v>4693</v>
      </c>
      <c r="B113" s="277" t="s">
        <v>4694</v>
      </c>
      <c r="C113" s="277" t="s">
        <v>4720</v>
      </c>
      <c r="D113" s="277" t="s">
        <v>4721</v>
      </c>
      <c r="E113" s="277" t="s">
        <v>197</v>
      </c>
      <c r="F113" s="277" t="s">
        <v>4722</v>
      </c>
      <c r="G113" s="277" t="s">
        <v>4767</v>
      </c>
      <c r="H113" s="277" t="s">
        <v>4768</v>
      </c>
      <c r="I113" s="277">
        <v>955</v>
      </c>
      <c r="J113" s="277" t="s">
        <v>4778</v>
      </c>
      <c r="K113" s="277">
        <v>301</v>
      </c>
      <c r="L113" s="277" t="s">
        <v>4779</v>
      </c>
      <c r="M113" s="277" t="s">
        <v>8</v>
      </c>
      <c r="N113" s="277" t="s">
        <v>4780</v>
      </c>
      <c r="O113" s="277">
        <v>524111</v>
      </c>
      <c r="P113" s="277" t="s">
        <v>4702</v>
      </c>
      <c r="Q113" s="307" cm="1">
        <f t="array" ref="Q113">SUM(_xlfn._xlws.FILTER(#REF!,#REF!=SP2D!AN113,0))</f>
        <v>8702000</v>
      </c>
      <c r="R113" s="278">
        <v>15000000</v>
      </c>
      <c r="S113" s="292">
        <f>SUM('PER BULAN'!H187:J187)</f>
        <v>0</v>
      </c>
      <c r="T113" s="292">
        <f>SUM('PER BULAN'!K186:M186)</f>
        <v>0</v>
      </c>
      <c r="U113" s="292">
        <f>SUM('PER BULAN'!N186:P186)</f>
        <v>0</v>
      </c>
      <c r="V113" s="292">
        <f>SUM('PER BULAN'!Q186:S186)</f>
        <v>0</v>
      </c>
      <c r="W113" s="292">
        <f>SUM('PER BULAN'!T186:V186)</f>
        <v>8701552</v>
      </c>
      <c r="X113" s="292">
        <f>SUM('PER BULAN'!W186:Y186)</f>
        <v>0</v>
      </c>
      <c r="Y113" s="292">
        <f>SUM('PER BULAN'!Z186:AB186)</f>
        <v>0</v>
      </c>
      <c r="Z113" s="292">
        <f>SUM('PER BULAN'!AC186:AE186)</f>
        <v>0</v>
      </c>
      <c r="AA113" s="292">
        <f>SUM('PER BULAN'!AF186:AH186)</f>
        <v>0</v>
      </c>
      <c r="AB113" s="292">
        <f>SUM('PER BULAN'!AI186:AK186)</f>
        <v>0</v>
      </c>
      <c r="AC113" s="292">
        <f>SUM('PER BULAN'!AL186:AN186)</f>
        <v>0</v>
      </c>
      <c r="AD113" s="292">
        <f>SUM('PER BULAN'!AO186:AQ186)</f>
        <v>0</v>
      </c>
      <c r="AE113" s="277" t="s">
        <v>530</v>
      </c>
      <c r="AF113" s="277" t="s">
        <v>576</v>
      </c>
      <c r="AG113" s="277" t="s">
        <v>546</v>
      </c>
      <c r="AH113" s="277" t="s">
        <v>4699</v>
      </c>
      <c r="AI113" s="277" t="s">
        <v>4700</v>
      </c>
      <c r="AJ113" s="277">
        <f t="shared" si="7"/>
        <v>8701552</v>
      </c>
      <c r="AK113" s="291">
        <f t="shared" si="8"/>
        <v>99.994851758216498</v>
      </c>
      <c r="AL113" s="277">
        <f t="shared" si="9"/>
        <v>448</v>
      </c>
      <c r="AM113" s="291">
        <f t="shared" si="10"/>
        <v>5.1482417834980464E-3</v>
      </c>
      <c r="AN113" s="277" t="str">
        <f t="shared" si="11"/>
        <v>WA.2378.EBD.955.301.A.524111</v>
      </c>
      <c r="AO113" s="277" t="str">
        <f>IF(ISNUMBER(SEARCH("COVID",Table7[[#This Row],[Akun]])),"COVID","Non COVID")</f>
        <v>Non COVID</v>
      </c>
      <c r="AP11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3" s="292">
        <f>SUM('PER BULAN'!AY186)</f>
        <v>0</v>
      </c>
      <c r="AS113" s="292">
        <f>SUM('PER BULAN'!AZ186)</f>
        <v>0</v>
      </c>
      <c r="AT113" s="292">
        <f>SUM('PER BULAN'!BA186)</f>
        <v>0</v>
      </c>
      <c r="AU113" s="292">
        <f>SUM('PER BULAN'!BB186)</f>
        <v>0</v>
      </c>
      <c r="AV113" s="292">
        <f>SUM('PER BULAN'!BC186)</f>
        <v>0</v>
      </c>
      <c r="AW113" s="292">
        <f>SUM('PER BULAN'!BD186)</f>
        <v>0</v>
      </c>
      <c r="AX113" s="292">
        <f>SUM('PER BULAN'!BE186)</f>
        <v>8701552</v>
      </c>
      <c r="AY113" s="292">
        <f>SUM('PER BULAN'!BF186)</f>
        <v>0</v>
      </c>
    </row>
    <row r="114" spans="1:51" s="278" customFormat="1" hidden="1" x14ac:dyDescent="0.3">
      <c r="A114" s="277" t="s">
        <v>4693</v>
      </c>
      <c r="B114" s="277" t="s">
        <v>4694</v>
      </c>
      <c r="C114" s="277" t="s">
        <v>4720</v>
      </c>
      <c r="D114" s="277" t="s">
        <v>4721</v>
      </c>
      <c r="E114" s="277" t="s">
        <v>197</v>
      </c>
      <c r="F114" s="277" t="s">
        <v>4722</v>
      </c>
      <c r="G114" s="277" t="s">
        <v>4767</v>
      </c>
      <c r="H114" s="277" t="s">
        <v>4768</v>
      </c>
      <c r="I114" s="277">
        <v>955</v>
      </c>
      <c r="J114" s="277" t="s">
        <v>4778</v>
      </c>
      <c r="K114" s="277">
        <v>301</v>
      </c>
      <c r="L114" s="277" t="s">
        <v>4779</v>
      </c>
      <c r="M114" s="277" t="s">
        <v>511</v>
      </c>
      <c r="N114" s="277" t="s">
        <v>4781</v>
      </c>
      <c r="O114" s="277">
        <v>521211</v>
      </c>
      <c r="P114" s="277" t="s">
        <v>4698</v>
      </c>
      <c r="Q114" s="307" cm="1">
        <f t="array" ref="Q114">SUM(_xlfn._xlws.FILTER(#REF!,#REF!=SP2D!AN114,0))</f>
        <v>7500000</v>
      </c>
      <c r="R114" s="278">
        <v>11400000</v>
      </c>
      <c r="S114" s="292">
        <f>SUM('PER BULAN'!H188:J188)</f>
        <v>0</v>
      </c>
      <c r="T114" s="292">
        <f>SUM('PER BULAN'!K188:M188)</f>
        <v>0</v>
      </c>
      <c r="U114" s="292">
        <f>SUM('PER BULAN'!N188:P188)</f>
        <v>2500000</v>
      </c>
      <c r="V114" s="292">
        <f>SUM('PER BULAN'!Q188:S188)</f>
        <v>0</v>
      </c>
      <c r="W114" s="292">
        <f>SUM('PER BULAN'!T188:V188)</f>
        <v>2444000</v>
      </c>
      <c r="X114" s="292">
        <f>SUM('PER BULAN'!W188:Y188)</f>
        <v>0</v>
      </c>
      <c r="Y114" s="292">
        <f>SUM('PER BULAN'!Z188:AB188)</f>
        <v>0</v>
      </c>
      <c r="Z114" s="292">
        <f>SUM('PER BULAN'!AC188:AE188)</f>
        <v>0</v>
      </c>
      <c r="AA114" s="292">
        <f>SUM('PER BULAN'!AF188:AH188)</f>
        <v>0</v>
      </c>
      <c r="AB114" s="292">
        <f>SUM('PER BULAN'!AI188:AK188)</f>
        <v>0</v>
      </c>
      <c r="AC114" s="292">
        <f>SUM('PER BULAN'!AL188:AN188)</f>
        <v>0</v>
      </c>
      <c r="AD114" s="292">
        <f>SUM('PER BULAN'!AO188:AQ188)</f>
        <v>0</v>
      </c>
      <c r="AE114" s="277" t="s">
        <v>530</v>
      </c>
      <c r="AF114" s="277" t="s">
        <v>576</v>
      </c>
      <c r="AG114" s="277" t="s">
        <v>546</v>
      </c>
      <c r="AH114" s="277" t="s">
        <v>4699</v>
      </c>
      <c r="AI114" s="277" t="s">
        <v>4700</v>
      </c>
      <c r="AJ114" s="277">
        <f t="shared" si="7"/>
        <v>4944000</v>
      </c>
      <c r="AK114" s="291">
        <f t="shared" si="8"/>
        <v>65.92</v>
      </c>
      <c r="AL114" s="277">
        <f t="shared" si="9"/>
        <v>2556000</v>
      </c>
      <c r="AM114" s="291">
        <f t="shared" si="10"/>
        <v>34.08</v>
      </c>
      <c r="AN114" s="277" t="str">
        <f t="shared" si="11"/>
        <v>WA.2378.EBD.955.301.B.521211</v>
      </c>
      <c r="AO114" s="277" t="str">
        <f>IF(ISNUMBER(SEARCH("COVID",Table7[[#This Row],[Akun]])),"COVID","Non COVID")</f>
        <v>Non COVID</v>
      </c>
      <c r="AP11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4" s="292">
        <f>SUM('PER BULAN'!AY188)</f>
        <v>0</v>
      </c>
      <c r="AS114" s="292">
        <f>SUM('PER BULAN'!AZ188)</f>
        <v>2500000</v>
      </c>
      <c r="AT114" s="292">
        <f>SUM('PER BULAN'!BA188)</f>
        <v>0</v>
      </c>
      <c r="AU114" s="292">
        <f>SUM('PER BULAN'!BB188)</f>
        <v>0</v>
      </c>
      <c r="AV114" s="292">
        <f>SUM('PER BULAN'!BC188)</f>
        <v>0</v>
      </c>
      <c r="AW114" s="292">
        <f>SUM('PER BULAN'!BD188)</f>
        <v>2444000</v>
      </c>
      <c r="AX114" s="292">
        <f>SUM('PER BULAN'!BE188)</f>
        <v>0</v>
      </c>
      <c r="AY114" s="292">
        <f>SUM('PER BULAN'!BF188)</f>
        <v>0</v>
      </c>
    </row>
    <row r="115" spans="1:51" s="278" customFormat="1" hidden="1" x14ac:dyDescent="0.3">
      <c r="A115" s="277" t="s">
        <v>4693</v>
      </c>
      <c r="B115" s="277" t="s">
        <v>4694</v>
      </c>
      <c r="C115" s="277" t="s">
        <v>4720</v>
      </c>
      <c r="D115" s="277" t="s">
        <v>4721</v>
      </c>
      <c r="E115" s="277" t="s">
        <v>197</v>
      </c>
      <c r="F115" s="277" t="s">
        <v>4722</v>
      </c>
      <c r="G115" s="277" t="s">
        <v>4767</v>
      </c>
      <c r="H115" s="277" t="s">
        <v>4768</v>
      </c>
      <c r="I115" s="277">
        <v>955</v>
      </c>
      <c r="J115" s="277" t="s">
        <v>4778</v>
      </c>
      <c r="K115" s="277">
        <v>301</v>
      </c>
      <c r="L115" s="277" t="s">
        <v>4779</v>
      </c>
      <c r="M115" s="277" t="s">
        <v>511</v>
      </c>
      <c r="N115" s="277" t="s">
        <v>4781</v>
      </c>
      <c r="O115" s="277">
        <v>524111</v>
      </c>
      <c r="P115" s="277" t="s">
        <v>4702</v>
      </c>
      <c r="Q115" s="307" cm="1">
        <f t="array" ref="Q115">SUM(_xlfn._xlws.FILTER(#REF!,#REF!=SP2D!AN115,0))</f>
        <v>5350000</v>
      </c>
      <c r="R115" s="278">
        <v>18000000</v>
      </c>
      <c r="S115" s="292">
        <f>SUM('PER BULAN'!H190:J190)</f>
        <v>0</v>
      </c>
      <c r="T115" s="292">
        <f>SUM('PER BULAN'!K189:M189)</f>
        <v>0</v>
      </c>
      <c r="U115" s="292">
        <f>SUM('PER BULAN'!N189:P189)</f>
        <v>2850000</v>
      </c>
      <c r="V115" s="292">
        <f>SUM('PER BULAN'!Q189:S189)</f>
        <v>0</v>
      </c>
      <c r="W115" s="292">
        <f>SUM('PER BULAN'!T189:V189)</f>
        <v>0</v>
      </c>
      <c r="X115" s="292">
        <f>SUM('PER BULAN'!W189:Y189)</f>
        <v>0</v>
      </c>
      <c r="Y115" s="292">
        <f>SUM('PER BULAN'!Z189:AB189)</f>
        <v>0</v>
      </c>
      <c r="Z115" s="292">
        <f>SUM('PER BULAN'!AC189:AE189)</f>
        <v>0</v>
      </c>
      <c r="AA115" s="292">
        <f>SUM('PER BULAN'!AF189:AH189)</f>
        <v>0</v>
      </c>
      <c r="AB115" s="292">
        <f>SUM('PER BULAN'!AI189:AK189)</f>
        <v>0</v>
      </c>
      <c r="AC115" s="292">
        <f>SUM('PER BULAN'!AL189:AN189)</f>
        <v>0</v>
      </c>
      <c r="AD115" s="292">
        <f>SUM('PER BULAN'!AO189:AQ189)</f>
        <v>0</v>
      </c>
      <c r="AE115" s="277" t="s">
        <v>530</v>
      </c>
      <c r="AF115" s="277" t="s">
        <v>576</v>
      </c>
      <c r="AG115" s="277" t="s">
        <v>546</v>
      </c>
      <c r="AH115" s="277" t="s">
        <v>4699</v>
      </c>
      <c r="AI115" s="277" t="s">
        <v>4700</v>
      </c>
      <c r="AJ115" s="277">
        <f t="shared" si="7"/>
        <v>2850000</v>
      </c>
      <c r="AK115" s="291">
        <f t="shared" si="8"/>
        <v>53.271028037383175</v>
      </c>
      <c r="AL115" s="277">
        <f t="shared" si="9"/>
        <v>2500000</v>
      </c>
      <c r="AM115" s="291">
        <f t="shared" si="10"/>
        <v>46.728971962616825</v>
      </c>
      <c r="AN115" s="277" t="str">
        <f t="shared" si="11"/>
        <v>WA.2378.EBD.955.301.B.524111</v>
      </c>
      <c r="AO115" s="277" t="str">
        <f>IF(ISNUMBER(SEARCH("COVID",Table7[[#This Row],[Akun]])),"COVID","Non COVID")</f>
        <v>Non COVID</v>
      </c>
      <c r="AP11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5" s="292">
        <f>SUM('PER BULAN'!AY189)</f>
        <v>0</v>
      </c>
      <c r="AS115" s="292">
        <f>SUM('PER BULAN'!AZ189)</f>
        <v>2850000</v>
      </c>
      <c r="AT115" s="292">
        <f>SUM('PER BULAN'!BA189)</f>
        <v>0</v>
      </c>
      <c r="AU115" s="292">
        <f>SUM('PER BULAN'!BB189)</f>
        <v>0</v>
      </c>
      <c r="AV115" s="292">
        <f>SUM('PER BULAN'!BC189)</f>
        <v>0</v>
      </c>
      <c r="AW115" s="292">
        <f>SUM('PER BULAN'!BD189)</f>
        <v>0</v>
      </c>
      <c r="AX115" s="292">
        <f>SUM('PER BULAN'!BE189)</f>
        <v>0</v>
      </c>
      <c r="AY115" s="292">
        <f>SUM('PER BULAN'!BF189)</f>
        <v>0</v>
      </c>
    </row>
    <row r="116" spans="1:51" s="278" customFormat="1" hidden="1" x14ac:dyDescent="0.3">
      <c r="A116" s="277" t="s">
        <v>4693</v>
      </c>
      <c r="B116" s="277" t="s">
        <v>4694</v>
      </c>
      <c r="C116" s="277" t="s">
        <v>4720</v>
      </c>
      <c r="D116" s="277" t="s">
        <v>4721</v>
      </c>
      <c r="E116" s="277" t="s">
        <v>197</v>
      </c>
      <c r="F116" s="277" t="s">
        <v>4722</v>
      </c>
      <c r="G116" s="277" t="s">
        <v>4767</v>
      </c>
      <c r="H116" s="277" t="s">
        <v>4768</v>
      </c>
      <c r="I116" s="277">
        <v>955</v>
      </c>
      <c r="J116" s="277" t="s">
        <v>4778</v>
      </c>
      <c r="K116" s="277">
        <v>301</v>
      </c>
      <c r="L116" s="277" t="s">
        <v>4779</v>
      </c>
      <c r="M116" s="277" t="s">
        <v>512</v>
      </c>
      <c r="N116" s="277" t="s">
        <v>4782</v>
      </c>
      <c r="O116" s="277">
        <v>521211</v>
      </c>
      <c r="P116" s="277" t="s">
        <v>4698</v>
      </c>
      <c r="Q116" s="307" cm="1">
        <f t="array" ref="Q116">SUM(_xlfn._xlws.FILTER(#REF!,#REF!=SP2D!AN116,0))</f>
        <v>7500000</v>
      </c>
      <c r="R116" s="278">
        <v>10000000</v>
      </c>
      <c r="S116" s="292">
        <f>SUM('PER BULAN'!H191:J191)</f>
        <v>0</v>
      </c>
      <c r="T116" s="292">
        <f>SUM('PER BULAN'!K191:M191)</f>
        <v>0</v>
      </c>
      <c r="U116" s="292">
        <f>SUM('PER BULAN'!N191:P191)</f>
        <v>2469500</v>
      </c>
      <c r="V116" s="292">
        <f>SUM('PER BULAN'!Q191:S191)</f>
        <v>0</v>
      </c>
      <c r="W116" s="292">
        <f>SUM('PER BULAN'!T191:V191)</f>
        <v>2499000</v>
      </c>
      <c r="X116" s="292">
        <f>SUM('PER BULAN'!W191:Y191)</f>
        <v>0</v>
      </c>
      <c r="Y116" s="292">
        <f>SUM('PER BULAN'!Z191:AB191)</f>
        <v>0</v>
      </c>
      <c r="Z116" s="292">
        <f>SUM('PER BULAN'!AC191:AE191)</f>
        <v>0</v>
      </c>
      <c r="AA116" s="292">
        <f>SUM('PER BULAN'!AF191:AH191)</f>
        <v>0</v>
      </c>
      <c r="AB116" s="292">
        <f>SUM('PER BULAN'!AI191:AK191)</f>
        <v>0</v>
      </c>
      <c r="AC116" s="292">
        <f>SUM('PER BULAN'!AL191:AN191)</f>
        <v>0</v>
      </c>
      <c r="AD116" s="292">
        <f>SUM('PER BULAN'!AO191:AQ191)</f>
        <v>0</v>
      </c>
      <c r="AE116" s="277" t="s">
        <v>530</v>
      </c>
      <c r="AF116" s="277" t="s">
        <v>576</v>
      </c>
      <c r="AG116" s="277" t="s">
        <v>546</v>
      </c>
      <c r="AH116" s="277" t="s">
        <v>4699</v>
      </c>
      <c r="AI116" s="277" t="s">
        <v>4700</v>
      </c>
      <c r="AJ116" s="277">
        <f t="shared" si="7"/>
        <v>4968500</v>
      </c>
      <c r="AK116" s="291">
        <f t="shared" si="8"/>
        <v>66.24666666666667</v>
      </c>
      <c r="AL116" s="277">
        <f t="shared" si="9"/>
        <v>2531500</v>
      </c>
      <c r="AM116" s="291">
        <f t="shared" si="10"/>
        <v>33.753333333333337</v>
      </c>
      <c r="AN116" s="277" t="str">
        <f t="shared" si="11"/>
        <v>WA.2378.EBD.955.301.C.521211</v>
      </c>
      <c r="AO116" s="277" t="str">
        <f>IF(ISNUMBER(SEARCH("COVID",Table7[[#This Row],[Akun]])),"COVID","Non COVID")</f>
        <v>Non COVID</v>
      </c>
      <c r="AP11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6" s="292">
        <f>SUM('PER BULAN'!AY191)</f>
        <v>0</v>
      </c>
      <c r="AS116" s="292">
        <f>SUM('PER BULAN'!AZ191)</f>
        <v>0</v>
      </c>
      <c r="AT116" s="292">
        <f>SUM('PER BULAN'!BA191)</f>
        <v>2469500</v>
      </c>
      <c r="AU116" s="292">
        <f>SUM('PER BULAN'!BB191)</f>
        <v>0</v>
      </c>
      <c r="AV116" s="292">
        <f>SUM('PER BULAN'!BC191)</f>
        <v>0</v>
      </c>
      <c r="AW116" s="292">
        <f>SUM('PER BULAN'!BD191)</f>
        <v>2499000</v>
      </c>
      <c r="AX116" s="292">
        <f>SUM('PER BULAN'!BE191)</f>
        <v>0</v>
      </c>
      <c r="AY116" s="292">
        <f>SUM('PER BULAN'!BF191)</f>
        <v>0</v>
      </c>
    </row>
    <row r="117" spans="1:51" s="278" customFormat="1" hidden="1" x14ac:dyDescent="0.3">
      <c r="A117" s="277" t="s">
        <v>4693</v>
      </c>
      <c r="B117" s="277" t="s">
        <v>4694</v>
      </c>
      <c r="C117" s="277" t="s">
        <v>4720</v>
      </c>
      <c r="D117" s="277" t="s">
        <v>4721</v>
      </c>
      <c r="E117" s="277" t="s">
        <v>197</v>
      </c>
      <c r="F117" s="277" t="s">
        <v>4722</v>
      </c>
      <c r="G117" s="277" t="s">
        <v>4767</v>
      </c>
      <c r="H117" s="277" t="s">
        <v>4768</v>
      </c>
      <c r="I117" s="277">
        <v>955</v>
      </c>
      <c r="J117" s="277" t="s">
        <v>4778</v>
      </c>
      <c r="K117" s="277">
        <v>301</v>
      </c>
      <c r="L117" s="277" t="s">
        <v>4779</v>
      </c>
      <c r="M117" s="277" t="s">
        <v>512</v>
      </c>
      <c r="N117" s="277" t="s">
        <v>4782</v>
      </c>
      <c r="O117" s="277">
        <v>524111</v>
      </c>
      <c r="P117" s="277" t="s">
        <v>4702</v>
      </c>
      <c r="Q117" s="307" cm="1">
        <f t="array" ref="Q117">SUM(_xlfn._xlws.FILTER(#REF!,#REF!=SP2D!AN117,0))</f>
        <v>0</v>
      </c>
      <c r="R117" s="278">
        <v>15000000</v>
      </c>
      <c r="S117" s="292">
        <f>SUM('PER BULAN'!H193:J193)</f>
        <v>0</v>
      </c>
      <c r="T117" s="292">
        <f>SUM('PER BULAN'!K192:M192)</f>
        <v>0</v>
      </c>
      <c r="U117" s="292">
        <f>SUM('PER BULAN'!N192:P192)</f>
        <v>0</v>
      </c>
      <c r="V117" s="292">
        <f>SUM('PER BULAN'!Q192:S192)</f>
        <v>0</v>
      </c>
      <c r="W117" s="292">
        <f>SUM('PER BULAN'!T192:V192)</f>
        <v>0</v>
      </c>
      <c r="X117" s="292">
        <f>SUM('PER BULAN'!W192:Y192)</f>
        <v>0</v>
      </c>
      <c r="Y117" s="292">
        <f>SUM('PER BULAN'!Z192:AB192)</f>
        <v>0</v>
      </c>
      <c r="Z117" s="292">
        <f>SUM('PER BULAN'!AC192:AE192)</f>
        <v>0</v>
      </c>
      <c r="AA117" s="292">
        <f>SUM('PER BULAN'!AF192:AH192)</f>
        <v>0</v>
      </c>
      <c r="AB117" s="292">
        <f>SUM('PER BULAN'!AI192:AK192)</f>
        <v>0</v>
      </c>
      <c r="AC117" s="292">
        <f>SUM('PER BULAN'!AL192:AN192)</f>
        <v>0</v>
      </c>
      <c r="AD117" s="292">
        <f>SUM('PER BULAN'!AO192:AQ192)</f>
        <v>0</v>
      </c>
      <c r="AE117" s="277" t="s">
        <v>530</v>
      </c>
      <c r="AF117" s="277" t="s">
        <v>576</v>
      </c>
      <c r="AG117" s="277" t="s">
        <v>546</v>
      </c>
      <c r="AH117" s="277" t="s">
        <v>4699</v>
      </c>
      <c r="AI117" s="277" t="s">
        <v>4700</v>
      </c>
      <c r="AJ117" s="277">
        <f t="shared" si="7"/>
        <v>0</v>
      </c>
      <c r="AK117" s="291">
        <f t="shared" si="8"/>
        <v>0</v>
      </c>
      <c r="AL117" s="277">
        <f t="shared" si="9"/>
        <v>0</v>
      </c>
      <c r="AM117" s="291">
        <f t="shared" si="10"/>
        <v>0</v>
      </c>
      <c r="AN117" s="277" t="str">
        <f t="shared" si="11"/>
        <v>WA.2378.EBD.955.301.C.524111</v>
      </c>
      <c r="AO117" s="277" t="str">
        <f>IF(ISNUMBER(SEARCH("COVID",Table7[[#This Row],[Akun]])),"COVID","Non COVID")</f>
        <v>Non COVID</v>
      </c>
      <c r="AP11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c r="AY117" s="292">
        <f>SUM('PER BULAN'!BF192)</f>
        <v>0</v>
      </c>
    </row>
    <row r="118" spans="1:51" s="278" customFormat="1" hidden="1" x14ac:dyDescent="0.3">
      <c r="A118" s="277" t="s">
        <v>4693</v>
      </c>
      <c r="B118" s="277" t="s">
        <v>4694</v>
      </c>
      <c r="C118" s="277" t="s">
        <v>4720</v>
      </c>
      <c r="D118" s="277" t="s">
        <v>4721</v>
      </c>
      <c r="E118" s="277" t="s">
        <v>197</v>
      </c>
      <c r="F118" s="277" t="s">
        <v>4722</v>
      </c>
      <c r="G118" s="277" t="s">
        <v>4767</v>
      </c>
      <c r="H118" s="277" t="s">
        <v>4768</v>
      </c>
      <c r="I118" s="277">
        <v>955</v>
      </c>
      <c r="J118" s="277" t="s">
        <v>4778</v>
      </c>
      <c r="K118" s="277">
        <v>301</v>
      </c>
      <c r="L118" s="277" t="s">
        <v>4779</v>
      </c>
      <c r="M118" s="277" t="s">
        <v>514</v>
      </c>
      <c r="N118" s="277" t="s">
        <v>4783</v>
      </c>
      <c r="O118" s="277">
        <v>521211</v>
      </c>
      <c r="P118" s="277" t="s">
        <v>4698</v>
      </c>
      <c r="Q118" s="307" cm="1">
        <f t="array" ref="Q118">SUM(_xlfn._xlws.FILTER(#REF!,#REF!=SP2D!AN118,0))</f>
        <v>14000000</v>
      </c>
      <c r="R118" s="278">
        <v>35340000</v>
      </c>
      <c r="S118" s="292">
        <f>SUM('PER BULAN'!H194:J194)</f>
        <v>0</v>
      </c>
      <c r="T118" s="292">
        <f>SUM('PER BULAN'!K194:M194)</f>
        <v>0</v>
      </c>
      <c r="U118" s="292">
        <f>SUM('PER BULAN'!N194:P194)</f>
        <v>2500000</v>
      </c>
      <c r="V118" s="292">
        <f>SUM('PER BULAN'!Q194:S194)</f>
        <v>3400000</v>
      </c>
      <c r="W118" s="292">
        <f>SUM('PER BULAN'!T194:V194)</f>
        <v>5085000</v>
      </c>
      <c r="X118" s="292">
        <f>SUM('PER BULAN'!W194:Y194)</f>
        <v>0</v>
      </c>
      <c r="Y118" s="292">
        <f>SUM('PER BULAN'!Z194:AB194)</f>
        <v>0</v>
      </c>
      <c r="Z118" s="292">
        <f>SUM('PER BULAN'!AC194:AE194)</f>
        <v>0</v>
      </c>
      <c r="AA118" s="292">
        <f>SUM('PER BULAN'!AF194:AH194)</f>
        <v>0</v>
      </c>
      <c r="AB118" s="292">
        <f>SUM('PER BULAN'!AI194:AK194)</f>
        <v>0</v>
      </c>
      <c r="AC118" s="292">
        <f>SUM('PER BULAN'!AL194:AN194)</f>
        <v>0</v>
      </c>
      <c r="AD118" s="292">
        <f>SUM('PER BULAN'!AO194:AQ194)</f>
        <v>0</v>
      </c>
      <c r="AE118" s="277" t="s">
        <v>530</v>
      </c>
      <c r="AF118" s="277" t="s">
        <v>576</v>
      </c>
      <c r="AG118" s="277" t="s">
        <v>546</v>
      </c>
      <c r="AH118" s="277" t="s">
        <v>4699</v>
      </c>
      <c r="AI118" s="277" t="s">
        <v>4700</v>
      </c>
      <c r="AJ118" s="277">
        <f t="shared" si="7"/>
        <v>10985000</v>
      </c>
      <c r="AK118" s="291">
        <f t="shared" si="8"/>
        <v>78.464285714285722</v>
      </c>
      <c r="AL118" s="277">
        <f t="shared" si="9"/>
        <v>3015000</v>
      </c>
      <c r="AM118" s="291">
        <f t="shared" si="10"/>
        <v>21.535714285714285</v>
      </c>
      <c r="AN118" s="277" t="str">
        <f t="shared" si="11"/>
        <v>WA.2378.EBD.955.301.D.521211</v>
      </c>
      <c r="AO118" s="277" t="str">
        <f>IF(ISNUMBER(SEARCH("COVID",Table7[[#This Row],[Akun]])),"COVID","Non COVID")</f>
        <v>Non COVID</v>
      </c>
      <c r="AP11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8" s="292">
        <f>SUM('PER BULAN'!AY194)</f>
        <v>0</v>
      </c>
      <c r="AS118" s="292">
        <f>SUM('PER BULAN'!AZ194)</f>
        <v>2500000</v>
      </c>
      <c r="AT118" s="292">
        <f>SUM('PER BULAN'!BA194)</f>
        <v>0</v>
      </c>
      <c r="AU118" s="292">
        <f>SUM('PER BULAN'!BB194)</f>
        <v>3400000</v>
      </c>
      <c r="AV118" s="292">
        <f>SUM('PER BULAN'!BC194)</f>
        <v>2590000</v>
      </c>
      <c r="AW118" s="292">
        <f>SUM('PER BULAN'!BD194)</f>
        <v>2495000</v>
      </c>
      <c r="AX118" s="292">
        <f>SUM('PER BULAN'!BE194)</f>
        <v>0</v>
      </c>
      <c r="AY118" s="292">
        <f>SUM('PER BULAN'!BF194)</f>
        <v>0</v>
      </c>
    </row>
    <row r="119" spans="1:51" s="278" customFormat="1" hidden="1" x14ac:dyDescent="0.3">
      <c r="A119" s="277" t="s">
        <v>4693</v>
      </c>
      <c r="B119" s="277" t="s">
        <v>4694</v>
      </c>
      <c r="C119" s="277" t="s">
        <v>4720</v>
      </c>
      <c r="D119" s="277" t="s">
        <v>4721</v>
      </c>
      <c r="E119" s="277" t="s">
        <v>197</v>
      </c>
      <c r="F119" s="277" t="s">
        <v>4722</v>
      </c>
      <c r="G119" s="277" t="s">
        <v>4767</v>
      </c>
      <c r="H119" s="277" t="s">
        <v>4768</v>
      </c>
      <c r="I119" s="277">
        <v>955</v>
      </c>
      <c r="J119" s="277" t="s">
        <v>4778</v>
      </c>
      <c r="K119" s="277">
        <v>301</v>
      </c>
      <c r="L119" s="277" t="s">
        <v>4779</v>
      </c>
      <c r="M119" s="277" t="s">
        <v>514</v>
      </c>
      <c r="N119" s="277" t="s">
        <v>4783</v>
      </c>
      <c r="O119" s="277">
        <v>522151</v>
      </c>
      <c r="P119" s="277" t="s">
        <v>4701</v>
      </c>
      <c r="Q119" s="307" cm="1">
        <f t="array" ref="Q119">SUM(_xlfn._xlws.FILTER(#REF!,#REF!=SP2D!AN119,0))</f>
        <v>0</v>
      </c>
      <c r="R119" s="278">
        <v>3600000</v>
      </c>
      <c r="S119" s="292">
        <f>SUM('PER BULAN'!H195:J195)</f>
        <v>0</v>
      </c>
      <c r="T119" s="292">
        <f>SUM('PER BULAN'!K195:M195)</f>
        <v>0</v>
      </c>
      <c r="U119" s="292">
        <f>SUM('PER BULAN'!N195:P195)</f>
        <v>0</v>
      </c>
      <c r="V119" s="292">
        <f>SUM('PER BULAN'!Q195:S195)</f>
        <v>0</v>
      </c>
      <c r="W119" s="292">
        <f>SUM('PER BULAN'!T195:V195)</f>
        <v>0</v>
      </c>
      <c r="X119" s="292">
        <f>SUM('PER BULAN'!W195:Y195)</f>
        <v>0</v>
      </c>
      <c r="Y119" s="292">
        <f>SUM('PER BULAN'!Z195:AB195)</f>
        <v>0</v>
      </c>
      <c r="Z119" s="292">
        <f>SUM('PER BULAN'!AC195:AE195)</f>
        <v>0</v>
      </c>
      <c r="AA119" s="292">
        <f>SUM('PER BULAN'!AF195:AH195)</f>
        <v>0</v>
      </c>
      <c r="AB119" s="292">
        <f>SUM('PER BULAN'!AI195:AK195)</f>
        <v>0</v>
      </c>
      <c r="AC119" s="292">
        <f>SUM('PER BULAN'!AL195:AN195)</f>
        <v>0</v>
      </c>
      <c r="AD119" s="292">
        <f>SUM('PER BULAN'!AO195:AQ195)</f>
        <v>0</v>
      </c>
      <c r="AE119" s="277" t="s">
        <v>530</v>
      </c>
      <c r="AF119" s="277" t="s">
        <v>576</v>
      </c>
      <c r="AG119" s="277" t="s">
        <v>546</v>
      </c>
      <c r="AH119" s="277" t="s">
        <v>4699</v>
      </c>
      <c r="AI119" s="277" t="s">
        <v>4700</v>
      </c>
      <c r="AJ119" s="277">
        <f t="shared" si="7"/>
        <v>0</v>
      </c>
      <c r="AK119" s="291">
        <f t="shared" si="8"/>
        <v>0</v>
      </c>
      <c r="AL119" s="277">
        <f t="shared" si="9"/>
        <v>0</v>
      </c>
      <c r="AM119" s="291">
        <f t="shared" si="10"/>
        <v>0</v>
      </c>
      <c r="AN119" s="277" t="str">
        <f t="shared" si="11"/>
        <v>WA.2378.EBD.955.301.D.522151</v>
      </c>
      <c r="AO119" s="277" t="str">
        <f>IF(ISNUMBER(SEARCH("COVID",Table7[[#This Row],[Akun]])),"COVID","Non COVID")</f>
        <v>Non COVID</v>
      </c>
      <c r="AP11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1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c r="AY119" s="292">
        <f>SUM('PER BULAN'!BF195)</f>
        <v>0</v>
      </c>
    </row>
    <row r="120" spans="1:51" s="278" customFormat="1" hidden="1" x14ac:dyDescent="0.3">
      <c r="A120" s="277" t="s">
        <v>4693</v>
      </c>
      <c r="B120" s="277" t="s">
        <v>4694</v>
      </c>
      <c r="C120" s="277" t="s">
        <v>4720</v>
      </c>
      <c r="D120" s="277" t="s">
        <v>4721</v>
      </c>
      <c r="E120" s="277" t="s">
        <v>197</v>
      </c>
      <c r="F120" s="277" t="s">
        <v>4722</v>
      </c>
      <c r="G120" s="277" t="s">
        <v>4767</v>
      </c>
      <c r="H120" s="277" t="s">
        <v>4768</v>
      </c>
      <c r="I120" s="277">
        <v>955</v>
      </c>
      <c r="J120" s="277" t="s">
        <v>4778</v>
      </c>
      <c r="K120" s="277">
        <v>301</v>
      </c>
      <c r="L120" s="277" t="s">
        <v>4779</v>
      </c>
      <c r="M120" s="277" t="s">
        <v>514</v>
      </c>
      <c r="N120" s="277" t="s">
        <v>4783</v>
      </c>
      <c r="O120" s="277">
        <v>524111</v>
      </c>
      <c r="P120" s="277" t="s">
        <v>4702</v>
      </c>
      <c r="Q120" s="307" cm="1">
        <f t="array" ref="Q120">SUM(_xlfn._xlws.FILTER(#REF!,#REF!=SP2D!AN120,0))</f>
        <v>20635000</v>
      </c>
      <c r="R120" s="278">
        <v>42000000</v>
      </c>
      <c r="S120" s="292">
        <f>SUM('PER BULAN'!H197:J197)</f>
        <v>0</v>
      </c>
      <c r="T120" s="292">
        <f>SUM('PER BULAN'!K196:M196)</f>
        <v>0</v>
      </c>
      <c r="U120" s="292">
        <f>SUM('PER BULAN'!N196:P196)</f>
        <v>0</v>
      </c>
      <c r="V120" s="292">
        <f>SUM('PER BULAN'!Q196:S196)</f>
        <v>11593200</v>
      </c>
      <c r="W120" s="292">
        <f>SUM('PER BULAN'!T196:V196)</f>
        <v>9041268</v>
      </c>
      <c r="X120" s="292">
        <f>SUM('PER BULAN'!W196:Y196)</f>
        <v>0</v>
      </c>
      <c r="Y120" s="292">
        <f>SUM('PER BULAN'!Z196:AB196)</f>
        <v>0</v>
      </c>
      <c r="Z120" s="292">
        <f>SUM('PER BULAN'!AC196:AE196)</f>
        <v>0</v>
      </c>
      <c r="AA120" s="292">
        <f>SUM('PER BULAN'!AF196:AH196)</f>
        <v>0</v>
      </c>
      <c r="AB120" s="292">
        <f>SUM('PER BULAN'!AI196:AK196)</f>
        <v>0</v>
      </c>
      <c r="AC120" s="292">
        <f>SUM('PER BULAN'!AL196:AN196)</f>
        <v>0</v>
      </c>
      <c r="AD120" s="292">
        <f>SUM('PER BULAN'!AO196:AQ196)</f>
        <v>0</v>
      </c>
      <c r="AE120" s="277" t="s">
        <v>530</v>
      </c>
      <c r="AF120" s="277" t="s">
        <v>576</v>
      </c>
      <c r="AG120" s="277" t="s">
        <v>546</v>
      </c>
      <c r="AH120" s="277" t="s">
        <v>4699</v>
      </c>
      <c r="AI120" s="277" t="s">
        <v>4700</v>
      </c>
      <c r="AJ120" s="277">
        <f t="shared" si="7"/>
        <v>20634468</v>
      </c>
      <c r="AK120" s="291">
        <f t="shared" si="8"/>
        <v>99.997421856069778</v>
      </c>
      <c r="AL120" s="277">
        <f t="shared" si="9"/>
        <v>532</v>
      </c>
      <c r="AM120" s="291">
        <f t="shared" si="10"/>
        <v>2.578143930215653E-3</v>
      </c>
      <c r="AN120" s="277" t="str">
        <f t="shared" si="11"/>
        <v>WA.2378.EBD.955.301.D.524111</v>
      </c>
      <c r="AO120" s="277" t="str">
        <f>IF(ISNUMBER(SEARCH("COVID",Table7[[#This Row],[Akun]])),"COVID","Non COVID")</f>
        <v>Non COVID</v>
      </c>
      <c r="AP12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0" s="292">
        <f>SUM('PER BULAN'!AY196)</f>
        <v>0</v>
      </c>
      <c r="AS120" s="292">
        <f>SUM('PER BULAN'!AZ196)</f>
        <v>0</v>
      </c>
      <c r="AT120" s="292">
        <f>SUM('PER BULAN'!BA196)</f>
        <v>0</v>
      </c>
      <c r="AU120" s="292">
        <f>SUM('PER BULAN'!BB196)</f>
        <v>11593200</v>
      </c>
      <c r="AV120" s="292">
        <f>SUM('PER BULAN'!BC196)</f>
        <v>0</v>
      </c>
      <c r="AW120" s="292">
        <f>SUM('PER BULAN'!BD196)</f>
        <v>0</v>
      </c>
      <c r="AX120" s="292">
        <f>SUM('PER BULAN'!BE196)</f>
        <v>9041268</v>
      </c>
      <c r="AY120" s="292">
        <f>SUM('PER BULAN'!BF196)</f>
        <v>0</v>
      </c>
    </row>
    <row r="121" spans="1:51" s="278" customFormat="1" hidden="1" x14ac:dyDescent="0.3">
      <c r="A121" s="277" t="s">
        <v>4693</v>
      </c>
      <c r="B121" s="277" t="s">
        <v>4694</v>
      </c>
      <c r="C121" s="277" t="s">
        <v>4720</v>
      </c>
      <c r="D121" s="277" t="s">
        <v>4721</v>
      </c>
      <c r="E121" s="277" t="s">
        <v>197</v>
      </c>
      <c r="F121" s="277" t="s">
        <v>4722</v>
      </c>
      <c r="G121" s="277" t="s">
        <v>4767</v>
      </c>
      <c r="H121" s="277" t="s">
        <v>4768</v>
      </c>
      <c r="I121" s="277">
        <v>955</v>
      </c>
      <c r="J121" s="277" t="s">
        <v>4778</v>
      </c>
      <c r="K121" s="277">
        <v>301</v>
      </c>
      <c r="L121" s="277" t="s">
        <v>4779</v>
      </c>
      <c r="M121" s="277" t="s">
        <v>519</v>
      </c>
      <c r="N121" s="277" t="s">
        <v>4784</v>
      </c>
      <c r="O121" s="277">
        <v>521211</v>
      </c>
      <c r="P121" s="277" t="s">
        <v>4698</v>
      </c>
      <c r="Q121" s="307" cm="1">
        <f t="array" ref="Q121">SUM(_xlfn._xlws.FILTER(#REF!,#REF!=SP2D!AN121,0))</f>
        <v>7500000</v>
      </c>
      <c r="R121" s="278">
        <v>15000000</v>
      </c>
      <c r="S121" s="292">
        <f>SUM('PER BULAN'!H198:J198)</f>
        <v>0</v>
      </c>
      <c r="T121" s="292">
        <f>SUM('PER BULAN'!K198:M198)</f>
        <v>0</v>
      </c>
      <c r="U121" s="292">
        <f>SUM('PER BULAN'!N198:P198)</f>
        <v>2499500</v>
      </c>
      <c r="V121" s="292">
        <f>SUM('PER BULAN'!Q198:S198)</f>
        <v>0</v>
      </c>
      <c r="W121" s="292">
        <f>SUM('PER BULAN'!T198:V198)</f>
        <v>2444500</v>
      </c>
      <c r="X121" s="292">
        <f>SUM('PER BULAN'!W198:Y198)</f>
        <v>0</v>
      </c>
      <c r="Y121" s="292">
        <f>SUM('PER BULAN'!Z198:AB198)</f>
        <v>0</v>
      </c>
      <c r="Z121" s="292">
        <f>SUM('PER BULAN'!AC198:AE198)</f>
        <v>0</v>
      </c>
      <c r="AA121" s="292">
        <f>SUM('PER BULAN'!AF198:AH198)</f>
        <v>0</v>
      </c>
      <c r="AB121" s="292">
        <f>SUM('PER BULAN'!AI198:AK198)</f>
        <v>0</v>
      </c>
      <c r="AC121" s="292">
        <f>SUM('PER BULAN'!AL198:AN198)</f>
        <v>0</v>
      </c>
      <c r="AD121" s="292">
        <f>SUM('PER BULAN'!AO198:AQ198)</f>
        <v>0</v>
      </c>
      <c r="AE121" s="277" t="s">
        <v>530</v>
      </c>
      <c r="AF121" s="277" t="s">
        <v>576</v>
      </c>
      <c r="AG121" s="277" t="s">
        <v>546</v>
      </c>
      <c r="AH121" s="277" t="s">
        <v>4699</v>
      </c>
      <c r="AI121" s="277" t="s">
        <v>4700</v>
      </c>
      <c r="AJ121" s="277">
        <f t="shared" si="7"/>
        <v>4944000</v>
      </c>
      <c r="AK121" s="291">
        <f t="shared" si="8"/>
        <v>65.92</v>
      </c>
      <c r="AL121" s="277">
        <f t="shared" si="9"/>
        <v>2556000</v>
      </c>
      <c r="AM121" s="291">
        <f t="shared" si="10"/>
        <v>34.08</v>
      </c>
      <c r="AN121" s="277" t="str">
        <f t="shared" si="11"/>
        <v>WA.2378.EBD.955.301.E.521211</v>
      </c>
      <c r="AO121" s="277" t="str">
        <f>IF(ISNUMBER(SEARCH("COVID",Table7[[#This Row],[Akun]])),"COVID","Non COVID")</f>
        <v>Non COVID</v>
      </c>
      <c r="AP12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1" s="292">
        <f>SUM('PER BULAN'!AY198)</f>
        <v>0</v>
      </c>
      <c r="AS121" s="292">
        <f>SUM('PER BULAN'!AZ198)</f>
        <v>2499500</v>
      </c>
      <c r="AT121" s="292">
        <f>SUM('PER BULAN'!BA198)</f>
        <v>0</v>
      </c>
      <c r="AU121" s="292">
        <f>SUM('PER BULAN'!BB198)</f>
        <v>0</v>
      </c>
      <c r="AV121" s="292">
        <f>SUM('PER BULAN'!BC198)</f>
        <v>0</v>
      </c>
      <c r="AW121" s="292">
        <f>SUM('PER BULAN'!BD198)</f>
        <v>2444500</v>
      </c>
      <c r="AX121" s="292">
        <f>SUM('PER BULAN'!BE198)</f>
        <v>0</v>
      </c>
      <c r="AY121" s="292">
        <f>SUM('PER BULAN'!BF198)</f>
        <v>0</v>
      </c>
    </row>
    <row r="122" spans="1:51" s="278" customFormat="1" hidden="1" x14ac:dyDescent="0.3">
      <c r="A122" s="277" t="s">
        <v>4693</v>
      </c>
      <c r="B122" s="277" t="s">
        <v>4694</v>
      </c>
      <c r="C122" s="277" t="s">
        <v>4720</v>
      </c>
      <c r="D122" s="277" t="s">
        <v>4721</v>
      </c>
      <c r="E122" s="277" t="s">
        <v>197</v>
      </c>
      <c r="F122" s="277" t="s">
        <v>4722</v>
      </c>
      <c r="G122" s="277" t="s">
        <v>4767</v>
      </c>
      <c r="H122" s="277" t="s">
        <v>4768</v>
      </c>
      <c r="I122" s="277">
        <v>955</v>
      </c>
      <c r="J122" s="277" t="s">
        <v>4778</v>
      </c>
      <c r="K122" s="277">
        <v>301</v>
      </c>
      <c r="L122" s="277" t="s">
        <v>4779</v>
      </c>
      <c r="M122" s="277" t="s">
        <v>519</v>
      </c>
      <c r="N122" s="277" t="s">
        <v>4784</v>
      </c>
      <c r="O122" s="277">
        <v>524111</v>
      </c>
      <c r="P122" s="277" t="s">
        <v>4702</v>
      </c>
      <c r="Q122" s="307" cm="1">
        <f t="array" ref="Q122">SUM(_xlfn._xlws.FILTER(#REF!,#REF!=SP2D!AN122,0))</f>
        <v>0</v>
      </c>
      <c r="R122" s="278">
        <v>12000000</v>
      </c>
      <c r="S122" s="292">
        <f>SUM('PER BULAN'!H200:J200)</f>
        <v>0</v>
      </c>
      <c r="T122" s="292">
        <f>SUM('PER BULAN'!K199:M199)</f>
        <v>0</v>
      </c>
      <c r="U122" s="292">
        <f>SUM('PER BULAN'!N199:P199)</f>
        <v>0</v>
      </c>
      <c r="V122" s="292">
        <f>SUM('PER BULAN'!Q199:S199)</f>
        <v>0</v>
      </c>
      <c r="W122" s="292">
        <f>SUM('PER BULAN'!T199:V199)</f>
        <v>0</v>
      </c>
      <c r="X122" s="292">
        <f>SUM('PER BULAN'!W199:Y199)</f>
        <v>0</v>
      </c>
      <c r="Y122" s="292">
        <f>SUM('PER BULAN'!Z199:AB199)</f>
        <v>0</v>
      </c>
      <c r="Z122" s="292">
        <f>SUM('PER BULAN'!AC199:AE199)</f>
        <v>0</v>
      </c>
      <c r="AA122" s="292">
        <f>SUM('PER BULAN'!AF199:AH199)</f>
        <v>0</v>
      </c>
      <c r="AB122" s="292">
        <f>SUM('PER BULAN'!AI199:AK199)</f>
        <v>0</v>
      </c>
      <c r="AC122" s="292">
        <f>SUM('PER BULAN'!AL199:AN199)</f>
        <v>0</v>
      </c>
      <c r="AD122" s="292">
        <f>SUM('PER BULAN'!AO199:AQ199)</f>
        <v>0</v>
      </c>
      <c r="AE122" s="277" t="s">
        <v>530</v>
      </c>
      <c r="AF122" s="277" t="s">
        <v>576</v>
      </c>
      <c r="AG122" s="277" t="s">
        <v>546</v>
      </c>
      <c r="AH122" s="277" t="s">
        <v>4699</v>
      </c>
      <c r="AI122" s="277" t="s">
        <v>4700</v>
      </c>
      <c r="AJ122" s="277">
        <f t="shared" si="7"/>
        <v>0</v>
      </c>
      <c r="AK122" s="291">
        <f t="shared" si="8"/>
        <v>0</v>
      </c>
      <c r="AL122" s="277">
        <f t="shared" si="9"/>
        <v>0</v>
      </c>
      <c r="AM122" s="291">
        <f t="shared" si="10"/>
        <v>0</v>
      </c>
      <c r="AN122" s="277" t="str">
        <f t="shared" si="11"/>
        <v>WA.2378.EBD.955.301.E.524111</v>
      </c>
      <c r="AO122" s="277" t="str">
        <f>IF(ISNUMBER(SEARCH("COVID",Table7[[#This Row],[Akun]])),"COVID","Non COVID")</f>
        <v>Non COVID</v>
      </c>
      <c r="AP12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c r="AY122" s="292">
        <f>SUM('PER BULAN'!BF199)</f>
        <v>0</v>
      </c>
    </row>
    <row r="123" spans="1:51" s="278" customFormat="1" hidden="1" x14ac:dyDescent="0.3">
      <c r="A123" s="277" t="s">
        <v>4693</v>
      </c>
      <c r="B123" s="277" t="s">
        <v>4694</v>
      </c>
      <c r="C123" s="277" t="s">
        <v>4720</v>
      </c>
      <c r="D123" s="277" t="s">
        <v>4721</v>
      </c>
      <c r="E123" s="277" t="s">
        <v>197</v>
      </c>
      <c r="F123" s="277" t="s">
        <v>4722</v>
      </c>
      <c r="G123" s="277" t="s">
        <v>4767</v>
      </c>
      <c r="H123" s="277" t="s">
        <v>4768</v>
      </c>
      <c r="I123" s="277">
        <v>955</v>
      </c>
      <c r="J123" s="277" t="s">
        <v>4778</v>
      </c>
      <c r="K123" s="277">
        <v>301</v>
      </c>
      <c r="L123" s="277" t="s">
        <v>4779</v>
      </c>
      <c r="M123" s="277" t="s">
        <v>578</v>
      </c>
      <c r="N123" s="277" t="s">
        <v>4785</v>
      </c>
      <c r="O123" s="277">
        <v>521211</v>
      </c>
      <c r="P123" s="277" t="s">
        <v>4698</v>
      </c>
      <c r="Q123" s="307" cm="1">
        <f t="array" ref="Q123">SUM(_xlfn._xlws.FILTER(#REF!,#REF!=SP2D!AN123,0))</f>
        <v>4800000</v>
      </c>
      <c r="R123" s="278">
        <v>4800000</v>
      </c>
      <c r="S123" s="292">
        <f>SUM('PER BULAN'!H201:J201)</f>
        <v>0</v>
      </c>
      <c r="T123" s="292">
        <f>SUM('PER BULAN'!K201:M201)</f>
        <v>0</v>
      </c>
      <c r="U123" s="292">
        <f>SUM('PER BULAN'!N201:P201)</f>
        <v>0</v>
      </c>
      <c r="V123" s="292">
        <f>SUM('PER BULAN'!Q201:S201)</f>
        <v>0</v>
      </c>
      <c r="W123" s="292">
        <f>SUM('PER BULAN'!T201:V201)</f>
        <v>0</v>
      </c>
      <c r="X123" s="292">
        <f>SUM('PER BULAN'!W201:Y201)</f>
        <v>0</v>
      </c>
      <c r="Y123" s="292">
        <f>SUM('PER BULAN'!Z201:AB201)</f>
        <v>0</v>
      </c>
      <c r="Z123" s="292">
        <f>SUM('PER BULAN'!AC201:AE201)</f>
        <v>0</v>
      </c>
      <c r="AA123" s="292">
        <f>SUM('PER BULAN'!AF201:AH201)</f>
        <v>0</v>
      </c>
      <c r="AB123" s="292">
        <f>SUM('PER BULAN'!AI201:AK201)</f>
        <v>0</v>
      </c>
      <c r="AC123" s="292">
        <f>SUM('PER BULAN'!AL201:AN201)</f>
        <v>0</v>
      </c>
      <c r="AD123" s="292">
        <f>SUM('PER BULAN'!AO201:AQ201)</f>
        <v>0</v>
      </c>
      <c r="AE123" s="277" t="s">
        <v>530</v>
      </c>
      <c r="AF123" s="277" t="s">
        <v>576</v>
      </c>
      <c r="AG123" s="277" t="s">
        <v>546</v>
      </c>
      <c r="AH123" s="277" t="s">
        <v>4699</v>
      </c>
      <c r="AI123" s="277" t="s">
        <v>4700</v>
      </c>
      <c r="AJ123" s="277">
        <f t="shared" si="7"/>
        <v>0</v>
      </c>
      <c r="AK123" s="291">
        <f t="shared" si="8"/>
        <v>0</v>
      </c>
      <c r="AL123" s="277">
        <f t="shared" si="9"/>
        <v>4800000</v>
      </c>
      <c r="AM123" s="291">
        <f t="shared" si="10"/>
        <v>100</v>
      </c>
      <c r="AN123" s="277" t="str">
        <f t="shared" si="11"/>
        <v>WA.2378.EBD.955.301.F.521211</v>
      </c>
      <c r="AO123" s="277" t="str">
        <f>IF(ISNUMBER(SEARCH("COVID",Table7[[#This Row],[Akun]])),"COVID","Non COVID")</f>
        <v>Non COVID</v>
      </c>
      <c r="AP12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c r="AY123" s="292">
        <f>SUM('PER BULAN'!BF201)</f>
        <v>0</v>
      </c>
    </row>
    <row r="124" spans="1:51" s="278" customFormat="1" hidden="1" x14ac:dyDescent="0.3">
      <c r="A124" s="277" t="s">
        <v>4693</v>
      </c>
      <c r="B124" s="277" t="s">
        <v>4694</v>
      </c>
      <c r="C124" s="277" t="s">
        <v>4720</v>
      </c>
      <c r="D124" s="277" t="s">
        <v>4721</v>
      </c>
      <c r="E124" s="277" t="s">
        <v>197</v>
      </c>
      <c r="F124" s="277" t="s">
        <v>4722</v>
      </c>
      <c r="G124" s="277" t="s">
        <v>4767</v>
      </c>
      <c r="H124" s="277" t="s">
        <v>4768</v>
      </c>
      <c r="I124" s="277">
        <v>955</v>
      </c>
      <c r="J124" s="277" t="s">
        <v>4778</v>
      </c>
      <c r="K124" s="277">
        <v>301</v>
      </c>
      <c r="L124" s="277" t="s">
        <v>4779</v>
      </c>
      <c r="M124" s="277" t="s">
        <v>578</v>
      </c>
      <c r="N124" s="277" t="s">
        <v>4785</v>
      </c>
      <c r="O124" s="277">
        <v>521811</v>
      </c>
      <c r="P124" s="277" t="s">
        <v>4716</v>
      </c>
      <c r="Q124" s="307" cm="1">
        <f t="array" ref="Q124">SUM(_xlfn._xlws.FILTER(#REF!,#REF!=SP2D!AN124,0))</f>
        <v>27500000</v>
      </c>
      <c r="R124" s="278">
        <v>27500000</v>
      </c>
      <c r="S124" s="292">
        <f>SUM('PER BULAN'!H202:J202)</f>
        <v>0</v>
      </c>
      <c r="T124" s="292">
        <f>SUM('PER BULAN'!K202:M202)</f>
        <v>0</v>
      </c>
      <c r="U124" s="292">
        <f>SUM('PER BULAN'!N202:P202)</f>
        <v>4980000</v>
      </c>
      <c r="V124" s="292">
        <f>SUM('PER BULAN'!Q202:S202)</f>
        <v>2490000</v>
      </c>
      <c r="W124" s="292">
        <f>SUM('PER BULAN'!T202:V202)</f>
        <v>2490000</v>
      </c>
      <c r="X124" s="292">
        <f>SUM('PER BULAN'!W202:Y202)</f>
        <v>0</v>
      </c>
      <c r="Y124" s="292">
        <f>SUM('PER BULAN'!Z202:AB202)</f>
        <v>0</v>
      </c>
      <c r="Z124" s="292">
        <f>SUM('PER BULAN'!AC202:AE202)</f>
        <v>0</v>
      </c>
      <c r="AA124" s="292">
        <f>SUM('PER BULAN'!AF202:AH202)</f>
        <v>0</v>
      </c>
      <c r="AB124" s="292">
        <f>SUM('PER BULAN'!AI202:AK202)</f>
        <v>0</v>
      </c>
      <c r="AC124" s="292">
        <f>SUM('PER BULAN'!AL202:AN202)</f>
        <v>0</v>
      </c>
      <c r="AD124" s="292">
        <f>SUM('PER BULAN'!AO202:AQ202)</f>
        <v>0</v>
      </c>
      <c r="AE124" s="277" t="s">
        <v>530</v>
      </c>
      <c r="AF124" s="277" t="s">
        <v>576</v>
      </c>
      <c r="AG124" s="277" t="s">
        <v>546</v>
      </c>
      <c r="AH124" s="277" t="s">
        <v>4699</v>
      </c>
      <c r="AI124" s="277" t="s">
        <v>4700</v>
      </c>
      <c r="AJ124" s="277">
        <f t="shared" si="7"/>
        <v>9960000</v>
      </c>
      <c r="AK124" s="291">
        <f t="shared" si="8"/>
        <v>36.218181818181819</v>
      </c>
      <c r="AL124" s="277">
        <f t="shared" si="9"/>
        <v>17540000</v>
      </c>
      <c r="AM124" s="291">
        <f t="shared" si="10"/>
        <v>63.781818181818181</v>
      </c>
      <c r="AN124" s="277" t="str">
        <f t="shared" si="11"/>
        <v>WA.2378.EBD.955.301.F.521811</v>
      </c>
      <c r="AO124" s="277" t="str">
        <f>IF(ISNUMBER(SEARCH("COVID",Table7[[#This Row],[Akun]])),"COVID","Non COVID")</f>
        <v>Non COVID</v>
      </c>
      <c r="AP12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2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4" s="292">
        <f>SUM('PER BULAN'!AY202)</f>
        <v>0</v>
      </c>
      <c r="AS124" s="292">
        <f>SUM('PER BULAN'!AZ202)</f>
        <v>2490000</v>
      </c>
      <c r="AT124" s="292">
        <f>SUM('PER BULAN'!BA202)</f>
        <v>2490000</v>
      </c>
      <c r="AU124" s="292">
        <f>SUM('PER BULAN'!BB202)</f>
        <v>2490000</v>
      </c>
      <c r="AV124" s="292">
        <f>SUM('PER BULAN'!BC202)</f>
        <v>0</v>
      </c>
      <c r="AW124" s="292">
        <f>SUM('PER BULAN'!BD202)</f>
        <v>0</v>
      </c>
      <c r="AX124" s="292">
        <f>SUM('PER BULAN'!BE202)</f>
        <v>2490000</v>
      </c>
      <c r="AY124" s="292">
        <f>SUM('PER BULAN'!BF202)</f>
        <v>0</v>
      </c>
    </row>
    <row r="125" spans="1:51" s="278" customFormat="1" hidden="1" x14ac:dyDescent="0.3">
      <c r="A125" s="277" t="s">
        <v>4693</v>
      </c>
      <c r="B125" s="277" t="s">
        <v>4694</v>
      </c>
      <c r="C125" s="277" t="s">
        <v>4720</v>
      </c>
      <c r="D125" s="277" t="s">
        <v>4721</v>
      </c>
      <c r="E125" s="277" t="s">
        <v>197</v>
      </c>
      <c r="F125" s="277" t="s">
        <v>4722</v>
      </c>
      <c r="G125" s="277" t="s">
        <v>4767</v>
      </c>
      <c r="H125" s="277" t="s">
        <v>4768</v>
      </c>
      <c r="I125" s="277">
        <v>955</v>
      </c>
      <c r="J125" s="277" t="s">
        <v>4778</v>
      </c>
      <c r="K125" s="277">
        <v>301</v>
      </c>
      <c r="L125" s="277" t="s">
        <v>4779</v>
      </c>
      <c r="M125" s="277" t="s">
        <v>578</v>
      </c>
      <c r="N125" s="277" t="s">
        <v>4785</v>
      </c>
      <c r="O125" s="277">
        <v>524111</v>
      </c>
      <c r="P125" s="277" t="s">
        <v>4702</v>
      </c>
      <c r="Q125" s="307" cm="1">
        <f t="array" ref="Q125">SUM(_xlfn._xlws.FILTER(#REF!,#REF!=SP2D!AN125,0))</f>
        <v>76033000</v>
      </c>
      <c r="R125" s="278">
        <v>56380000</v>
      </c>
      <c r="S125" s="292">
        <f>SUM('PER BULAN'!H208:J208)</f>
        <v>0</v>
      </c>
      <c r="T125" s="292">
        <f>SUM('PER BULAN'!K203:M203)</f>
        <v>0</v>
      </c>
      <c r="U125" s="292">
        <f>SUM('PER BULAN'!N203:P203)</f>
        <v>45420000</v>
      </c>
      <c r="V125" s="292">
        <f>SUM('PER BULAN'!Q203:S203)</f>
        <v>0</v>
      </c>
      <c r="W125" s="292">
        <f>SUM('PER BULAN'!T203:V203)</f>
        <v>7280000</v>
      </c>
      <c r="X125" s="292">
        <f>SUM('PER BULAN'!W203:Y203)</f>
        <v>2030000</v>
      </c>
      <c r="Y125" s="292">
        <f>SUM('PER BULAN'!Z203:AB203)</f>
        <v>0</v>
      </c>
      <c r="Z125" s="292">
        <f>SUM('PER BULAN'!AC203:AE203)</f>
        <v>0</v>
      </c>
      <c r="AA125" s="292">
        <f>SUM('PER BULAN'!AF203:AH203)</f>
        <v>0</v>
      </c>
      <c r="AB125" s="292">
        <f>SUM('PER BULAN'!AI203:AK203)</f>
        <v>0</v>
      </c>
      <c r="AC125" s="292">
        <f>SUM('PER BULAN'!AL203:AN203)</f>
        <v>0</v>
      </c>
      <c r="AD125" s="292">
        <f>SUM('PER BULAN'!AO203:AQ203)</f>
        <v>0</v>
      </c>
      <c r="AE125" s="277" t="s">
        <v>530</v>
      </c>
      <c r="AF125" s="277" t="s">
        <v>576</v>
      </c>
      <c r="AG125" s="277" t="s">
        <v>546</v>
      </c>
      <c r="AH125" s="277" t="s">
        <v>4699</v>
      </c>
      <c r="AI125" s="277" t="s">
        <v>4700</v>
      </c>
      <c r="AJ125" s="277">
        <f t="shared" si="7"/>
        <v>54730000</v>
      </c>
      <c r="AK125" s="291">
        <f t="shared" si="8"/>
        <v>71.981902594925884</v>
      </c>
      <c r="AL125" s="277">
        <f t="shared" si="9"/>
        <v>21303000</v>
      </c>
      <c r="AM125" s="291">
        <f t="shared" si="10"/>
        <v>28.018097405074112</v>
      </c>
      <c r="AN125" s="277" t="str">
        <f t="shared" si="11"/>
        <v>WA.2378.EBD.955.301.F.524111</v>
      </c>
      <c r="AO125" s="277" t="str">
        <f>IF(ISNUMBER(SEARCH("COVID",Table7[[#This Row],[Akun]])),"COVID","Non COVID")</f>
        <v>Non COVID</v>
      </c>
      <c r="AP12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5" s="292">
        <f>SUM('PER BULAN'!AY203)</f>
        <v>0</v>
      </c>
      <c r="AS125" s="292">
        <f>SUM('PER BULAN'!AZ203)</f>
        <v>34560000</v>
      </c>
      <c r="AT125" s="292">
        <f>SUM('PER BULAN'!BA203)</f>
        <v>10860000</v>
      </c>
      <c r="AU125" s="292">
        <f>SUM('PER BULAN'!BB203)</f>
        <v>0</v>
      </c>
      <c r="AV125" s="292">
        <f>SUM('PER BULAN'!BC203)</f>
        <v>5600000</v>
      </c>
      <c r="AW125" s="292">
        <f>SUM('PER BULAN'!BD203)</f>
        <v>0</v>
      </c>
      <c r="AX125" s="292">
        <f>SUM('PER BULAN'!BE203)</f>
        <v>1680000</v>
      </c>
      <c r="AY125" s="292">
        <f>SUM('PER BULAN'!BF203)</f>
        <v>2030000</v>
      </c>
    </row>
    <row r="126" spans="1:51" s="278" customFormat="1" hidden="1" x14ac:dyDescent="0.3">
      <c r="A126" s="277" t="s">
        <v>4693</v>
      </c>
      <c r="B126" s="277" t="s">
        <v>4694</v>
      </c>
      <c r="C126" s="277" t="s">
        <v>4720</v>
      </c>
      <c r="D126" s="277" t="s">
        <v>4721</v>
      </c>
      <c r="E126" s="277" t="s">
        <v>198</v>
      </c>
      <c r="F126" s="277" t="s">
        <v>4728</v>
      </c>
      <c r="G126" s="277" t="s">
        <v>4786</v>
      </c>
      <c r="H126" s="277" t="s">
        <v>4787</v>
      </c>
      <c r="I126" s="277">
        <v>996</v>
      </c>
      <c r="J126" s="277" t="s">
        <v>4788</v>
      </c>
      <c r="K126" s="277">
        <v>301</v>
      </c>
      <c r="L126" s="277" t="s">
        <v>4789</v>
      </c>
      <c r="M126" s="277" t="s">
        <v>8</v>
      </c>
      <c r="N126" s="277" t="s">
        <v>4790</v>
      </c>
      <c r="O126" s="277">
        <v>521211</v>
      </c>
      <c r="P126" s="277" t="s">
        <v>4698</v>
      </c>
      <c r="Q126" s="307" cm="1">
        <f t="array" ref="Q126">SUM(_xlfn._xlws.FILTER(#REF!,#REF!=SP2D!AN126,0))</f>
        <v>99100000</v>
      </c>
      <c r="R126" s="278">
        <v>99100000</v>
      </c>
      <c r="S126" s="292">
        <f>SUM('PER BULAN'!H209:J209)</f>
        <v>0</v>
      </c>
      <c r="T126" s="292">
        <f>SUM('PER BULAN'!K209:M209)</f>
        <v>0</v>
      </c>
      <c r="U126" s="292">
        <f>SUM('PER BULAN'!N209:P209)</f>
        <v>0</v>
      </c>
      <c r="V126" s="292">
        <f>SUM('PER BULAN'!Q209:S209)</f>
        <v>0</v>
      </c>
      <c r="W126" s="292">
        <f>SUM('PER BULAN'!T209:V209)</f>
        <v>0</v>
      </c>
      <c r="X126" s="292">
        <f>SUM('PER BULAN'!W209:Y209)</f>
        <v>0</v>
      </c>
      <c r="Y126" s="292">
        <f>SUM('PER BULAN'!Z209:AB209)</f>
        <v>0</v>
      </c>
      <c r="Z126" s="292">
        <f>SUM('PER BULAN'!AC209:AE209)</f>
        <v>0</v>
      </c>
      <c r="AA126" s="292">
        <f>SUM('PER BULAN'!AF209:AH209)</f>
        <v>0</v>
      </c>
      <c r="AB126" s="292">
        <f>SUM('PER BULAN'!AI209:AK209)</f>
        <v>0</v>
      </c>
      <c r="AC126" s="292">
        <f>SUM('PER BULAN'!AL209:AN209)</f>
        <v>0</v>
      </c>
      <c r="AD126" s="292">
        <f>SUM('PER BULAN'!AO209:AQ209)</f>
        <v>0</v>
      </c>
      <c r="AE126" s="277" t="s">
        <v>530</v>
      </c>
      <c r="AF126" s="277" t="s">
        <v>542</v>
      </c>
      <c r="AG126" s="277" t="s">
        <v>543</v>
      </c>
      <c r="AH126" s="277" t="s">
        <v>4699</v>
      </c>
      <c r="AI126" s="277" t="s">
        <v>4700</v>
      </c>
      <c r="AJ126" s="277">
        <f t="shared" si="7"/>
        <v>0</v>
      </c>
      <c r="AK126" s="291">
        <f t="shared" si="8"/>
        <v>0</v>
      </c>
      <c r="AL126" s="277">
        <f t="shared" si="9"/>
        <v>99100000</v>
      </c>
      <c r="AM126" s="291">
        <f t="shared" si="10"/>
        <v>100</v>
      </c>
      <c r="AN126" s="277" t="str">
        <f t="shared" si="11"/>
        <v>WA.4345.EBC.996.301.A.521211</v>
      </c>
      <c r="AO126" s="277" t="str">
        <f>IF(ISNUMBER(SEARCH("COVID",Table7[[#This Row],[Akun]])),"COVID","Non COVID")</f>
        <v>Non COVID</v>
      </c>
      <c r="AP12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c r="AY126" s="292">
        <f>SUM('PER BULAN'!BF209)</f>
        <v>0</v>
      </c>
    </row>
    <row r="127" spans="1:51" s="278" customFormat="1" hidden="1" x14ac:dyDescent="0.3">
      <c r="A127" s="277" t="s">
        <v>4693</v>
      </c>
      <c r="B127" s="277" t="s">
        <v>4694</v>
      </c>
      <c r="C127" s="277" t="s">
        <v>4720</v>
      </c>
      <c r="D127" s="277" t="s">
        <v>4721</v>
      </c>
      <c r="E127" s="277" t="s">
        <v>198</v>
      </c>
      <c r="F127" s="277" t="s">
        <v>4728</v>
      </c>
      <c r="G127" s="277" t="s">
        <v>4786</v>
      </c>
      <c r="H127" s="277" t="s">
        <v>4787</v>
      </c>
      <c r="I127" s="277">
        <v>996</v>
      </c>
      <c r="J127" s="277" t="s">
        <v>4788</v>
      </c>
      <c r="K127" s="277">
        <v>301</v>
      </c>
      <c r="L127" s="277" t="s">
        <v>4789</v>
      </c>
      <c r="M127" s="277" t="s">
        <v>8</v>
      </c>
      <c r="N127" s="277" t="s">
        <v>4790</v>
      </c>
      <c r="O127" s="277">
        <v>521219</v>
      </c>
      <c r="P127" s="277" t="s">
        <v>4711</v>
      </c>
      <c r="Q127" s="307" cm="1">
        <f t="array" ref="Q127">SUM(_xlfn._xlws.FILTER(#REF!,#REF!=SP2D!AN127,0))</f>
        <v>1333864000</v>
      </c>
      <c r="R127" s="278">
        <v>1333864000</v>
      </c>
      <c r="S127" s="292">
        <f>SUM('PER BULAN'!H210:J210)</f>
        <v>0</v>
      </c>
      <c r="T127" s="292">
        <f>SUM('PER BULAN'!K210:M210)</f>
        <v>0</v>
      </c>
      <c r="U127" s="292">
        <f>SUM('PER BULAN'!N210:P210)</f>
        <v>0</v>
      </c>
      <c r="V127" s="292">
        <f>SUM('PER BULAN'!Q210:S210)</f>
        <v>0</v>
      </c>
      <c r="W127" s="292">
        <f>SUM('PER BULAN'!T210:V210)</f>
        <v>0</v>
      </c>
      <c r="X127" s="292">
        <f>SUM('PER BULAN'!W210:Y210)</f>
        <v>0</v>
      </c>
      <c r="Y127" s="292">
        <f>SUM('PER BULAN'!Z210:AB210)</f>
        <v>0</v>
      </c>
      <c r="Z127" s="292">
        <f>SUM('PER BULAN'!AC210:AE210)</f>
        <v>0</v>
      </c>
      <c r="AA127" s="292">
        <f>SUM('PER BULAN'!AF210:AH210)</f>
        <v>0</v>
      </c>
      <c r="AB127" s="292">
        <f>SUM('PER BULAN'!AI210:AK210)</f>
        <v>0</v>
      </c>
      <c r="AC127" s="292">
        <f>SUM('PER BULAN'!AL210:AN210)</f>
        <v>0</v>
      </c>
      <c r="AD127" s="292">
        <f>SUM('PER BULAN'!AO210:AQ210)</f>
        <v>0</v>
      </c>
      <c r="AE127" s="277" t="s">
        <v>530</v>
      </c>
      <c r="AF127" s="277" t="s">
        <v>542</v>
      </c>
      <c r="AG127" s="277" t="s">
        <v>543</v>
      </c>
      <c r="AH127" s="277" t="s">
        <v>4699</v>
      </c>
      <c r="AI127" s="277" t="s">
        <v>4700</v>
      </c>
      <c r="AJ127" s="277">
        <f t="shared" ref="AJ127:AJ143" si="12">SUM(S127:AD127)</f>
        <v>0</v>
      </c>
      <c r="AK127" s="291">
        <f t="shared" si="8"/>
        <v>0</v>
      </c>
      <c r="AL127" s="277">
        <f t="shared" ref="AL127:AL143" si="13">Q127-AJ127</f>
        <v>1333864000</v>
      </c>
      <c r="AM127" s="291">
        <f t="shared" si="10"/>
        <v>100</v>
      </c>
      <c r="AN127" s="277" t="str">
        <f t="shared" si="11"/>
        <v>WA.4345.EBC.996.301.A.521219</v>
      </c>
      <c r="AO127" s="277" t="str">
        <f>IF(ISNUMBER(SEARCH("COVID",Table7[[#This Row],[Akun]])),"COVID","Non COVID")</f>
        <v>Non COVID</v>
      </c>
      <c r="AP12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2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c r="AY127" s="292">
        <f>SUM('PER BULAN'!BF210)</f>
        <v>0</v>
      </c>
    </row>
    <row r="128" spans="1:51" s="278" customFormat="1" hidden="1" x14ac:dyDescent="0.3">
      <c r="A128" s="277" t="s">
        <v>4693</v>
      </c>
      <c r="B128" s="277" t="s">
        <v>4694</v>
      </c>
      <c r="C128" s="277" t="s">
        <v>4720</v>
      </c>
      <c r="D128" s="277" t="s">
        <v>4721</v>
      </c>
      <c r="E128" s="277" t="s">
        <v>198</v>
      </c>
      <c r="F128" s="277" t="s">
        <v>4728</v>
      </c>
      <c r="G128" s="277" t="s">
        <v>4786</v>
      </c>
      <c r="H128" s="277" t="s">
        <v>4787</v>
      </c>
      <c r="I128" s="277">
        <v>996</v>
      </c>
      <c r="J128" s="277" t="s">
        <v>4788</v>
      </c>
      <c r="K128" s="277">
        <v>301</v>
      </c>
      <c r="L128" s="277" t="s">
        <v>4789</v>
      </c>
      <c r="M128" s="277" t="s">
        <v>8</v>
      </c>
      <c r="N128" s="277" t="s">
        <v>4790</v>
      </c>
      <c r="O128" s="277">
        <v>521811</v>
      </c>
      <c r="P128" s="277" t="s">
        <v>4716</v>
      </c>
      <c r="Q128" s="307" cm="1">
        <f t="array" ref="Q128">SUM(_xlfn._xlws.FILTER(#REF!,#REF!=SP2D!AN128,0))</f>
        <v>25000000</v>
      </c>
      <c r="R128" s="278">
        <v>25000000</v>
      </c>
      <c r="S128" s="292">
        <f>SUM('PER BULAN'!H211:J211)</f>
        <v>0</v>
      </c>
      <c r="T128" s="292">
        <f>SUM('PER BULAN'!K211:M211)</f>
        <v>0</v>
      </c>
      <c r="U128" s="292">
        <f>SUM('PER BULAN'!N211:P211)</f>
        <v>0</v>
      </c>
      <c r="V128" s="292">
        <f>SUM('PER BULAN'!Q211:S211)</f>
        <v>0</v>
      </c>
      <c r="W128" s="292">
        <f>SUM('PER BULAN'!T211:V211)</f>
        <v>4855000</v>
      </c>
      <c r="X128" s="292">
        <f>SUM('PER BULAN'!W211:Y211)</f>
        <v>0</v>
      </c>
      <c r="Y128" s="292">
        <f>SUM('PER BULAN'!Z211:AB211)</f>
        <v>0</v>
      </c>
      <c r="Z128" s="292">
        <f>SUM('PER BULAN'!AC211:AE211)</f>
        <v>0</v>
      </c>
      <c r="AA128" s="292">
        <f>SUM('PER BULAN'!AF211:AH211)</f>
        <v>0</v>
      </c>
      <c r="AB128" s="292">
        <f>SUM('PER BULAN'!AI211:AK211)</f>
        <v>0</v>
      </c>
      <c r="AC128" s="292">
        <f>SUM('PER BULAN'!AL211:AN211)</f>
        <v>0</v>
      </c>
      <c r="AD128" s="292">
        <f>SUM('PER BULAN'!AO211:AQ211)</f>
        <v>0</v>
      </c>
      <c r="AE128" s="277" t="s">
        <v>530</v>
      </c>
      <c r="AF128" s="277" t="s">
        <v>542</v>
      </c>
      <c r="AG128" s="277" t="s">
        <v>543</v>
      </c>
      <c r="AH128" s="277" t="s">
        <v>4699</v>
      </c>
      <c r="AI128" s="277" t="s">
        <v>4700</v>
      </c>
      <c r="AJ128" s="277">
        <f t="shared" si="12"/>
        <v>4855000</v>
      </c>
      <c r="AK128" s="291">
        <f t="shared" si="8"/>
        <v>19.420000000000002</v>
      </c>
      <c r="AL128" s="277">
        <f t="shared" si="13"/>
        <v>20145000</v>
      </c>
      <c r="AM128" s="291">
        <f t="shared" si="10"/>
        <v>80.58</v>
      </c>
      <c r="AN128" s="277" t="str">
        <f t="shared" si="11"/>
        <v>WA.4345.EBC.996.301.A.521811</v>
      </c>
      <c r="AO128" s="277" t="str">
        <f>IF(ISNUMBER(SEARCH("COVID",Table7[[#This Row],[Akun]])),"COVID","Non COVID")</f>
        <v>Non COVID</v>
      </c>
      <c r="AP12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2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8" s="292">
        <f>SUM('PER BULAN'!AY211)</f>
        <v>0</v>
      </c>
      <c r="AS128" s="292">
        <f>SUM('PER BULAN'!AZ211)</f>
        <v>0</v>
      </c>
      <c r="AT128" s="292">
        <f>SUM('PER BULAN'!BA211)</f>
        <v>0</v>
      </c>
      <c r="AU128" s="292">
        <f>SUM('PER BULAN'!BB211)</f>
        <v>0</v>
      </c>
      <c r="AV128" s="292">
        <f>SUM('PER BULAN'!BC211)</f>
        <v>0</v>
      </c>
      <c r="AW128" s="292">
        <f>SUM('PER BULAN'!BD211)</f>
        <v>0</v>
      </c>
      <c r="AX128" s="292">
        <f>SUM('PER BULAN'!BE211)</f>
        <v>4855000</v>
      </c>
      <c r="AY128" s="292">
        <f>SUM('PER BULAN'!BF211)</f>
        <v>0</v>
      </c>
    </row>
    <row r="129" spans="1:51" s="278" customFormat="1" hidden="1" x14ac:dyDescent="0.3">
      <c r="A129" s="277" t="s">
        <v>4693</v>
      </c>
      <c r="B129" s="277" t="s">
        <v>4694</v>
      </c>
      <c r="C129" s="277" t="s">
        <v>4720</v>
      </c>
      <c r="D129" s="277" t="s">
        <v>4721</v>
      </c>
      <c r="E129" s="277" t="s">
        <v>198</v>
      </c>
      <c r="F129" s="277" t="s">
        <v>4728</v>
      </c>
      <c r="G129" s="277" t="s">
        <v>4786</v>
      </c>
      <c r="H129" s="277" t="s">
        <v>4787</v>
      </c>
      <c r="I129" s="277">
        <v>996</v>
      </c>
      <c r="J129" s="277" t="s">
        <v>4788</v>
      </c>
      <c r="K129" s="277">
        <v>301</v>
      </c>
      <c r="L129" s="277" t="s">
        <v>4789</v>
      </c>
      <c r="M129" s="277" t="s">
        <v>8</v>
      </c>
      <c r="N129" s="277" t="s">
        <v>4790</v>
      </c>
      <c r="O129" s="277">
        <v>522151</v>
      </c>
      <c r="P129" s="277" t="s">
        <v>4701</v>
      </c>
      <c r="Q129" s="307" cm="1">
        <f t="array" ref="Q129">SUM(_xlfn._xlws.FILTER(#REF!,#REF!=SP2D!AN129,0))</f>
        <v>15000000</v>
      </c>
      <c r="R129" s="278">
        <v>15000000</v>
      </c>
      <c r="S129" s="292">
        <f>SUM('PER BULAN'!H212:J212)</f>
        <v>0</v>
      </c>
      <c r="T129" s="292">
        <f>SUM('PER BULAN'!K212:M212)</f>
        <v>0</v>
      </c>
      <c r="U129" s="292">
        <f>SUM('PER BULAN'!N212:P212)</f>
        <v>0</v>
      </c>
      <c r="V129" s="292">
        <f>SUM('PER BULAN'!Q212:S212)</f>
        <v>0</v>
      </c>
      <c r="W129" s="292">
        <f>SUM('PER BULAN'!T212:V212)</f>
        <v>0</v>
      </c>
      <c r="X129" s="292">
        <f>SUM('PER BULAN'!W212:Y212)</f>
        <v>0</v>
      </c>
      <c r="Y129" s="292">
        <f>SUM('PER BULAN'!Z212:AB212)</f>
        <v>0</v>
      </c>
      <c r="Z129" s="292">
        <f>SUM('PER BULAN'!AC212:AE212)</f>
        <v>0</v>
      </c>
      <c r="AA129" s="292">
        <f>SUM('PER BULAN'!AF212:AH212)</f>
        <v>0</v>
      </c>
      <c r="AB129" s="292">
        <f>SUM('PER BULAN'!AI212:AK212)</f>
        <v>0</v>
      </c>
      <c r="AC129" s="292">
        <f>SUM('PER BULAN'!AL212:AN212)</f>
        <v>0</v>
      </c>
      <c r="AD129" s="292">
        <f>SUM('PER BULAN'!AO212:AQ212)</f>
        <v>0</v>
      </c>
      <c r="AE129" s="277" t="s">
        <v>530</v>
      </c>
      <c r="AF129" s="277" t="s">
        <v>542</v>
      </c>
      <c r="AG129" s="277" t="s">
        <v>543</v>
      </c>
      <c r="AH129" s="277" t="s">
        <v>4699</v>
      </c>
      <c r="AI129" s="277" t="s">
        <v>4700</v>
      </c>
      <c r="AJ129" s="277">
        <f t="shared" si="12"/>
        <v>0</v>
      </c>
      <c r="AK129" s="291">
        <f t="shared" si="8"/>
        <v>0</v>
      </c>
      <c r="AL129" s="277">
        <f t="shared" si="13"/>
        <v>15000000</v>
      </c>
      <c r="AM129" s="291">
        <f t="shared" si="10"/>
        <v>100</v>
      </c>
      <c r="AN129" s="277" t="str">
        <f t="shared" si="11"/>
        <v>WA.4345.EBC.996.301.A.522151</v>
      </c>
      <c r="AO129" s="277" t="str">
        <f>IF(ISNUMBER(SEARCH("COVID",Table7[[#This Row],[Akun]])),"COVID","Non COVID")</f>
        <v>Non COVID</v>
      </c>
      <c r="AP12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2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c r="AY129" s="292">
        <f>SUM('PER BULAN'!BF212)</f>
        <v>0</v>
      </c>
    </row>
    <row r="130" spans="1:51" s="278" customFormat="1" hidden="1" x14ac:dyDescent="0.3">
      <c r="A130" s="277" t="s">
        <v>4693</v>
      </c>
      <c r="B130" s="277" t="s">
        <v>4694</v>
      </c>
      <c r="C130" s="277" t="s">
        <v>4720</v>
      </c>
      <c r="D130" s="277" t="s">
        <v>4721</v>
      </c>
      <c r="E130" s="277" t="s">
        <v>198</v>
      </c>
      <c r="F130" s="277" t="s">
        <v>4728</v>
      </c>
      <c r="G130" s="277" t="s">
        <v>4786</v>
      </c>
      <c r="H130" s="277" t="s">
        <v>4787</v>
      </c>
      <c r="I130" s="277">
        <v>996</v>
      </c>
      <c r="J130" s="277" t="s">
        <v>4788</v>
      </c>
      <c r="K130" s="277">
        <v>301</v>
      </c>
      <c r="L130" s="277" t="s">
        <v>4789</v>
      </c>
      <c r="M130" s="277" t="s">
        <v>8</v>
      </c>
      <c r="N130" s="277" t="s">
        <v>4790</v>
      </c>
      <c r="O130" s="277">
        <v>522191</v>
      </c>
      <c r="P130" s="277" t="s">
        <v>4791</v>
      </c>
      <c r="Q130" s="307" cm="1">
        <f t="array" ref="Q130">SUM(_xlfn._xlws.FILTER(#REF!,#REF!=SP2D!AN130,0))</f>
        <v>102600000</v>
      </c>
      <c r="R130" s="278">
        <v>102600000</v>
      </c>
      <c r="S130" s="292">
        <f>SUM('PER BULAN'!H213:J213)</f>
        <v>0</v>
      </c>
      <c r="T130" s="292">
        <f>SUM('PER BULAN'!K213:M213)</f>
        <v>0</v>
      </c>
      <c r="U130" s="292">
        <f>SUM('PER BULAN'!N213:P213)</f>
        <v>0</v>
      </c>
      <c r="V130" s="292">
        <f>SUM('PER BULAN'!Q213:S213)</f>
        <v>0</v>
      </c>
      <c r="W130" s="292">
        <f>SUM('PER BULAN'!T213:V213)</f>
        <v>0</v>
      </c>
      <c r="X130" s="292">
        <f>SUM('PER BULAN'!W213:Y213)</f>
        <v>0</v>
      </c>
      <c r="Y130" s="292">
        <f>SUM('PER BULAN'!Z213:AB213)</f>
        <v>0</v>
      </c>
      <c r="Z130" s="292">
        <f>SUM('PER BULAN'!AC213:AE213)</f>
        <v>0</v>
      </c>
      <c r="AA130" s="292">
        <f>SUM('PER BULAN'!AF213:AH213)</f>
        <v>0</v>
      </c>
      <c r="AB130" s="292">
        <f>SUM('PER BULAN'!AI213:AK213)</f>
        <v>0</v>
      </c>
      <c r="AC130" s="292">
        <f>SUM('PER BULAN'!AL213:AN213)</f>
        <v>0</v>
      </c>
      <c r="AD130" s="292">
        <f>SUM('PER BULAN'!AO213:AQ213)</f>
        <v>0</v>
      </c>
      <c r="AE130" s="277" t="s">
        <v>530</v>
      </c>
      <c r="AF130" s="277" t="s">
        <v>542</v>
      </c>
      <c r="AG130" s="277" t="s">
        <v>543</v>
      </c>
      <c r="AH130" s="277" t="s">
        <v>4699</v>
      </c>
      <c r="AI130" s="277" t="s">
        <v>4700</v>
      </c>
      <c r="AJ130" s="277">
        <f t="shared" si="12"/>
        <v>0</v>
      </c>
      <c r="AK130" s="291">
        <f t="shared" si="8"/>
        <v>0</v>
      </c>
      <c r="AL130" s="277">
        <f t="shared" si="13"/>
        <v>102600000</v>
      </c>
      <c r="AM130" s="291">
        <f t="shared" si="10"/>
        <v>100</v>
      </c>
      <c r="AN130" s="277" t="str">
        <f t="shared" si="11"/>
        <v>WA.4345.EBC.996.301.A.522191</v>
      </c>
      <c r="AO130" s="277" t="str">
        <f>IF(ISNUMBER(SEARCH("COVID",Table7[[#This Row],[Akun]])),"COVID","Non COVID")</f>
        <v>Non COVID</v>
      </c>
      <c r="AP13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3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c r="AY130" s="292">
        <f>SUM('PER BULAN'!BF213)</f>
        <v>0</v>
      </c>
    </row>
    <row r="131" spans="1:51" s="278" customFormat="1" hidden="1" x14ac:dyDescent="0.3">
      <c r="A131" s="277" t="s">
        <v>4693</v>
      </c>
      <c r="B131" s="277" t="s">
        <v>4694</v>
      </c>
      <c r="C131" s="277" t="s">
        <v>4720</v>
      </c>
      <c r="D131" s="277" t="s">
        <v>4721</v>
      </c>
      <c r="E131" s="277" t="s">
        <v>198</v>
      </c>
      <c r="F131" s="277" t="s">
        <v>4728</v>
      </c>
      <c r="G131" s="277" t="s">
        <v>4786</v>
      </c>
      <c r="H131" s="277" t="s">
        <v>4787</v>
      </c>
      <c r="I131" s="277">
        <v>996</v>
      </c>
      <c r="J131" s="277" t="s">
        <v>4788</v>
      </c>
      <c r="K131" s="277">
        <v>301</v>
      </c>
      <c r="L131" s="277" t="s">
        <v>4789</v>
      </c>
      <c r="M131" s="277" t="s">
        <v>8</v>
      </c>
      <c r="N131" s="277" t="s">
        <v>4790</v>
      </c>
      <c r="O131" s="277">
        <v>524111</v>
      </c>
      <c r="P131" s="277" t="s">
        <v>4702</v>
      </c>
      <c r="Q131" s="307" cm="1">
        <f t="array" ref="Q131">SUM(_xlfn._xlws.FILTER(#REF!,#REF!=SP2D!AN131,0))</f>
        <v>138000000</v>
      </c>
      <c r="R131" s="278">
        <v>138000000</v>
      </c>
      <c r="S131" s="292">
        <f>SUM('PER BULAN'!H215:J215)</f>
        <v>0</v>
      </c>
      <c r="T131" s="292">
        <f>SUM('PER BULAN'!K214:M214)</f>
        <v>0</v>
      </c>
      <c r="U131" s="292">
        <f>SUM('PER BULAN'!N214:P214)</f>
        <v>0</v>
      </c>
      <c r="V131" s="292">
        <f>SUM('PER BULAN'!Q214:S214)</f>
        <v>5900000</v>
      </c>
      <c r="W131" s="292">
        <f>SUM('PER BULAN'!T214:V214)</f>
        <v>0</v>
      </c>
      <c r="X131" s="292">
        <f>SUM('PER BULAN'!W214:Y214)</f>
        <v>14635000</v>
      </c>
      <c r="Y131" s="292">
        <f>SUM('PER BULAN'!Z214:AB214)</f>
        <v>0</v>
      </c>
      <c r="Z131" s="292">
        <f>SUM('PER BULAN'!AC214:AE214)</f>
        <v>0</v>
      </c>
      <c r="AA131" s="292">
        <f>SUM('PER BULAN'!AF214:AH214)</f>
        <v>0</v>
      </c>
      <c r="AB131" s="292">
        <f>SUM('PER BULAN'!AI214:AK214)</f>
        <v>0</v>
      </c>
      <c r="AC131" s="292">
        <f>SUM('PER BULAN'!AL214:AN214)</f>
        <v>0</v>
      </c>
      <c r="AD131" s="292">
        <f>SUM('PER BULAN'!AO214:AQ214)</f>
        <v>0</v>
      </c>
      <c r="AE131" s="277" t="s">
        <v>530</v>
      </c>
      <c r="AF131" s="277" t="s">
        <v>542</v>
      </c>
      <c r="AG131" s="277" t="s">
        <v>543</v>
      </c>
      <c r="AH131" s="277" t="s">
        <v>4699</v>
      </c>
      <c r="AI131" s="277" t="s">
        <v>4700</v>
      </c>
      <c r="AJ131" s="277">
        <f t="shared" si="12"/>
        <v>20535000</v>
      </c>
      <c r="AK131" s="291">
        <f t="shared" si="8"/>
        <v>14.880434782608695</v>
      </c>
      <c r="AL131" s="277">
        <f t="shared" si="13"/>
        <v>117465000</v>
      </c>
      <c r="AM131" s="291">
        <f t="shared" si="10"/>
        <v>85.119565217391298</v>
      </c>
      <c r="AN131" s="277" t="str">
        <f t="shared" si="11"/>
        <v>WA.4345.EBC.996.301.A.524111</v>
      </c>
      <c r="AO131" s="277" t="str">
        <f>IF(ISNUMBER(SEARCH("COVID",Table7[[#This Row],[Akun]])),"COVID","Non COVID")</f>
        <v>Non COVID</v>
      </c>
      <c r="AP13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c r="AY131" s="292">
        <f>SUM('PER BULAN'!BF214)</f>
        <v>0</v>
      </c>
    </row>
    <row r="132" spans="1:51" s="278" customFormat="1" hidden="1" x14ac:dyDescent="0.3">
      <c r="A132" s="277" t="s">
        <v>4693</v>
      </c>
      <c r="B132" s="277" t="s">
        <v>4694</v>
      </c>
      <c r="C132" s="277" t="s">
        <v>4720</v>
      </c>
      <c r="D132" s="277" t="s">
        <v>4721</v>
      </c>
      <c r="E132" s="277" t="s">
        <v>198</v>
      </c>
      <c r="F132" s="277" t="s">
        <v>4728</v>
      </c>
      <c r="G132" s="277" t="s">
        <v>4786</v>
      </c>
      <c r="H132" s="277" t="s">
        <v>4787</v>
      </c>
      <c r="I132" s="277">
        <v>996</v>
      </c>
      <c r="J132" s="277" t="s">
        <v>4788</v>
      </c>
      <c r="K132" s="277">
        <v>301</v>
      </c>
      <c r="L132" s="277" t="s">
        <v>4789</v>
      </c>
      <c r="M132" s="277" t="s">
        <v>511</v>
      </c>
      <c r="N132" s="277" t="s">
        <v>4792</v>
      </c>
      <c r="O132" s="277">
        <v>521211</v>
      </c>
      <c r="P132" s="277" t="s">
        <v>4698</v>
      </c>
      <c r="Q132" s="307" cm="1">
        <f t="array" ref="Q132">SUM(_xlfn._xlws.FILTER(#REF!,#REF!=SP2D!AN132,0))</f>
        <v>25000000</v>
      </c>
      <c r="R132" s="278">
        <v>25000000</v>
      </c>
      <c r="S132" s="292">
        <f>SUM('PER BULAN'!H216:J216)</f>
        <v>0</v>
      </c>
      <c r="T132" s="292">
        <f>SUM('PER BULAN'!K216:M216)</f>
        <v>0</v>
      </c>
      <c r="U132" s="292">
        <f>SUM('PER BULAN'!N216:P216)</f>
        <v>0</v>
      </c>
      <c r="V132" s="292">
        <f>SUM('PER BULAN'!Q216:S216)</f>
        <v>0</v>
      </c>
      <c r="W132" s="292">
        <f>SUM('PER BULAN'!T216:V216)</f>
        <v>1475000</v>
      </c>
      <c r="X132" s="292">
        <f>SUM('PER BULAN'!W216:Y216)</f>
        <v>1442500</v>
      </c>
      <c r="Y132" s="292">
        <f>SUM('PER BULAN'!Z216:AB216)</f>
        <v>0</v>
      </c>
      <c r="Z132" s="292">
        <f>SUM('PER BULAN'!AC216:AE216)</f>
        <v>0</v>
      </c>
      <c r="AA132" s="292">
        <f>SUM('PER BULAN'!AF216:AH216)</f>
        <v>0</v>
      </c>
      <c r="AB132" s="292">
        <f>SUM('PER BULAN'!AI216:AK216)</f>
        <v>0</v>
      </c>
      <c r="AC132" s="292">
        <f>SUM('PER BULAN'!AL216:AN216)</f>
        <v>0</v>
      </c>
      <c r="AD132" s="292">
        <f>SUM('PER BULAN'!AO216:AQ216)</f>
        <v>0</v>
      </c>
      <c r="AE132" s="277" t="s">
        <v>530</v>
      </c>
      <c r="AF132" s="277" t="s">
        <v>542</v>
      </c>
      <c r="AG132" s="277" t="s">
        <v>543</v>
      </c>
      <c r="AH132" s="277" t="s">
        <v>4699</v>
      </c>
      <c r="AI132" s="277" t="s">
        <v>4700</v>
      </c>
      <c r="AJ132" s="277">
        <f t="shared" si="12"/>
        <v>2917500</v>
      </c>
      <c r="AK132" s="291">
        <f t="shared" si="8"/>
        <v>11.67</v>
      </c>
      <c r="AL132" s="277">
        <f t="shared" si="13"/>
        <v>22082500</v>
      </c>
      <c r="AM132" s="291">
        <f t="shared" si="10"/>
        <v>88.33</v>
      </c>
      <c r="AN132" s="277" t="str">
        <f t="shared" si="11"/>
        <v>WA.4345.EBC.996.301.B.521211</v>
      </c>
      <c r="AO132" s="277" t="str">
        <f>IF(ISNUMBER(SEARCH("COVID",Table7[[#This Row],[Akun]])),"COVID","Non COVID")</f>
        <v>Non COVID</v>
      </c>
      <c r="AP13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3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2" s="292">
        <f>SUM('PER BULAN'!AY216)</f>
        <v>0</v>
      </c>
      <c r="AS132" s="292">
        <f>SUM('PER BULAN'!AZ216)</f>
        <v>0</v>
      </c>
      <c r="AT132" s="292">
        <f>SUM('PER BULAN'!BA216)</f>
        <v>0</v>
      </c>
      <c r="AU132" s="292">
        <f>SUM('PER BULAN'!BB216)</f>
        <v>0</v>
      </c>
      <c r="AV132" s="292">
        <f>SUM('PER BULAN'!BC216)</f>
        <v>0</v>
      </c>
      <c r="AW132" s="292">
        <f>SUM('PER BULAN'!BD216)</f>
        <v>0</v>
      </c>
      <c r="AX132" s="292">
        <f>SUM('PER BULAN'!BE216)</f>
        <v>1475000</v>
      </c>
      <c r="AY132" s="292">
        <f>SUM('PER BULAN'!BF216)</f>
        <v>1442500</v>
      </c>
    </row>
    <row r="133" spans="1:51" s="278" customFormat="1" hidden="1" x14ac:dyDescent="0.3">
      <c r="A133" s="277" t="s">
        <v>4693</v>
      </c>
      <c r="B133" s="277" t="s">
        <v>4694</v>
      </c>
      <c r="C133" s="277" t="s">
        <v>4720</v>
      </c>
      <c r="D133" s="277" t="s">
        <v>4721</v>
      </c>
      <c r="E133" s="277" t="s">
        <v>198</v>
      </c>
      <c r="F133" s="277" t="s">
        <v>4728</v>
      </c>
      <c r="G133" s="277" t="s">
        <v>4786</v>
      </c>
      <c r="H133" s="277" t="s">
        <v>4787</v>
      </c>
      <c r="I133" s="277">
        <v>996</v>
      </c>
      <c r="J133" s="277" t="s">
        <v>4788</v>
      </c>
      <c r="K133" s="277">
        <v>301</v>
      </c>
      <c r="L133" s="277" t="s">
        <v>4789</v>
      </c>
      <c r="M133" s="277" t="s">
        <v>511</v>
      </c>
      <c r="N133" s="277" t="s">
        <v>4792</v>
      </c>
      <c r="O133" s="277">
        <v>521219</v>
      </c>
      <c r="P133" s="277" t="s">
        <v>4711</v>
      </c>
      <c r="Q133" s="307" cm="1">
        <f t="array" ref="Q133">SUM(_xlfn._xlws.FILTER(#REF!,#REF!=SP2D!AN133,0))</f>
        <v>3808695000</v>
      </c>
      <c r="R133" s="278">
        <v>6308695000</v>
      </c>
      <c r="S133" s="292">
        <f>SUM('PER BULAN'!H217:J217)</f>
        <v>0</v>
      </c>
      <c r="T133" s="292">
        <f>SUM('PER BULAN'!K217:M217)</f>
        <v>0</v>
      </c>
      <c r="U133" s="292">
        <f>SUM('PER BULAN'!N217:P217)</f>
        <v>0</v>
      </c>
      <c r="V133" s="292">
        <f>SUM('PER BULAN'!Q217:S217)</f>
        <v>1549795356</v>
      </c>
      <c r="W133" s="292">
        <f>SUM('PER BULAN'!T217:V217)</f>
        <v>0</v>
      </c>
      <c r="X133" s="292">
        <f>SUM('PER BULAN'!W217:Y217)</f>
        <v>1843270850</v>
      </c>
      <c r="Y133" s="292">
        <f>SUM('PER BULAN'!Z217:AB217)</f>
        <v>0</v>
      </c>
      <c r="Z133" s="292">
        <f>SUM('PER BULAN'!AC217:AE217)</f>
        <v>0</v>
      </c>
      <c r="AA133" s="292">
        <f>SUM('PER BULAN'!AF217:AH217)</f>
        <v>0</v>
      </c>
      <c r="AB133" s="292">
        <f>SUM('PER BULAN'!AI217:AK217)</f>
        <v>0</v>
      </c>
      <c r="AC133" s="292">
        <f>SUM('PER BULAN'!AL217:AN217)</f>
        <v>0</v>
      </c>
      <c r="AD133" s="292">
        <f>SUM('PER BULAN'!AO217:AQ217)</f>
        <v>0</v>
      </c>
      <c r="AE133" s="277" t="s">
        <v>530</v>
      </c>
      <c r="AF133" s="277" t="s">
        <v>542</v>
      </c>
      <c r="AG133" s="277" t="s">
        <v>543</v>
      </c>
      <c r="AH133" s="277" t="s">
        <v>4699</v>
      </c>
      <c r="AI133" s="277" t="s">
        <v>4700</v>
      </c>
      <c r="AJ133" s="277">
        <f t="shared" si="12"/>
        <v>3393066206</v>
      </c>
      <c r="AK133" s="291">
        <f t="shared" ref="AK133:AK143" si="14">IFERROR(AJ133/Q133*100,0)</f>
        <v>89.087369978430928</v>
      </c>
      <c r="AL133" s="277">
        <f t="shared" si="13"/>
        <v>415628794</v>
      </c>
      <c r="AM133" s="291">
        <f t="shared" ref="AM133:AM143" si="15">IFERROR(AL133/Q133*100,0)</f>
        <v>10.912630021569068</v>
      </c>
      <c r="AN133" s="277" t="str">
        <f t="shared" ref="AN133:AN143" si="16">_xlfn.TEXTJOIN(".",TRUE,C133,E133,G133,I133,K133,M133,O133)</f>
        <v>WA.4345.EBC.996.301.B.521219</v>
      </c>
      <c r="AO133" s="277" t="str">
        <f>IF(ISNUMBER(SEARCH("COVID",Table7[[#This Row],[Akun]])),"COVID","Non COVID")</f>
        <v>Non COVID</v>
      </c>
      <c r="AP13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c r="AY133" s="292">
        <f>SUM('PER BULAN'!BF217)</f>
        <v>0</v>
      </c>
    </row>
    <row r="134" spans="1:51" s="278" customFormat="1" hidden="1" x14ac:dyDescent="0.3">
      <c r="A134" s="277" t="s">
        <v>4693</v>
      </c>
      <c r="B134" s="277" t="s">
        <v>4694</v>
      </c>
      <c r="C134" s="277" t="s">
        <v>4720</v>
      </c>
      <c r="D134" s="277" t="s">
        <v>4721</v>
      </c>
      <c r="E134" s="277" t="s">
        <v>198</v>
      </c>
      <c r="F134" s="277" t="s">
        <v>4728</v>
      </c>
      <c r="G134" s="277" t="s">
        <v>4786</v>
      </c>
      <c r="H134" s="277" t="s">
        <v>4787</v>
      </c>
      <c r="I134" s="277">
        <v>996</v>
      </c>
      <c r="J134" s="277" t="s">
        <v>4788</v>
      </c>
      <c r="K134" s="277">
        <v>301</v>
      </c>
      <c r="L134" s="277" t="s">
        <v>4789</v>
      </c>
      <c r="M134" s="277" t="s">
        <v>511</v>
      </c>
      <c r="N134" s="277" t="s">
        <v>4792</v>
      </c>
      <c r="O134" s="277">
        <v>521811</v>
      </c>
      <c r="P134" s="277" t="s">
        <v>4716</v>
      </c>
      <c r="Q134" s="307" cm="1">
        <f t="array" ref="Q134">SUM(_xlfn._xlws.FILTER(#REF!,#REF!=SP2D!AN134,0))</f>
        <v>30000000</v>
      </c>
      <c r="R134" s="278">
        <v>30000000</v>
      </c>
      <c r="S134" s="292">
        <f>SUM('PER BULAN'!H218:J218)</f>
        <v>0</v>
      </c>
      <c r="T134" s="292">
        <f>SUM('PER BULAN'!K218:M218)</f>
        <v>0</v>
      </c>
      <c r="U134" s="292">
        <f>SUM('PER BULAN'!N218:P218)</f>
        <v>0</v>
      </c>
      <c r="V134" s="292">
        <f>SUM('PER BULAN'!Q218:S218)</f>
        <v>0</v>
      </c>
      <c r="W134" s="292">
        <f>SUM('PER BULAN'!T218:V218)</f>
        <v>3364000</v>
      </c>
      <c r="X134" s="292">
        <f>SUM('PER BULAN'!W218:Y218)</f>
        <v>1447000</v>
      </c>
      <c r="Y134" s="292">
        <f>SUM('PER BULAN'!Z218:AB218)</f>
        <v>0</v>
      </c>
      <c r="Z134" s="292">
        <f>SUM('PER BULAN'!AC218:AE218)</f>
        <v>0</v>
      </c>
      <c r="AA134" s="292">
        <f>SUM('PER BULAN'!AF218:AH218)</f>
        <v>0</v>
      </c>
      <c r="AB134" s="292">
        <f>SUM('PER BULAN'!AI218:AK218)</f>
        <v>0</v>
      </c>
      <c r="AC134" s="292">
        <f>SUM('PER BULAN'!AL218:AN218)</f>
        <v>0</v>
      </c>
      <c r="AD134" s="292">
        <f>SUM('PER BULAN'!AO218:AQ218)</f>
        <v>0</v>
      </c>
      <c r="AE134" s="277" t="s">
        <v>530</v>
      </c>
      <c r="AF134" s="277" t="s">
        <v>542</v>
      </c>
      <c r="AG134" s="277" t="s">
        <v>543</v>
      </c>
      <c r="AH134" s="277" t="s">
        <v>4699</v>
      </c>
      <c r="AI134" s="277" t="s">
        <v>4700</v>
      </c>
      <c r="AJ134" s="277">
        <f t="shared" si="12"/>
        <v>4811000</v>
      </c>
      <c r="AK134" s="291">
        <f t="shared" si="14"/>
        <v>16.036666666666665</v>
      </c>
      <c r="AL134" s="277">
        <f t="shared" si="13"/>
        <v>25189000</v>
      </c>
      <c r="AM134" s="291">
        <f t="shared" si="15"/>
        <v>83.963333333333338</v>
      </c>
      <c r="AN134" s="277" t="str">
        <f t="shared" si="16"/>
        <v>WA.4345.EBC.996.301.B.521811</v>
      </c>
      <c r="AO134" s="277" t="str">
        <f>IF(ISNUMBER(SEARCH("COVID",Table7[[#This Row],[Akun]])),"COVID","Non COVID")</f>
        <v>Non COVID</v>
      </c>
      <c r="AP13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3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4" s="292">
        <f>SUM('PER BULAN'!AY218)</f>
        <v>0</v>
      </c>
      <c r="AS134" s="292">
        <f>SUM('PER BULAN'!AZ218)</f>
        <v>0</v>
      </c>
      <c r="AT134" s="292">
        <f>SUM('PER BULAN'!BA218)</f>
        <v>0</v>
      </c>
      <c r="AU134" s="292">
        <f>SUM('PER BULAN'!BB218)</f>
        <v>0</v>
      </c>
      <c r="AV134" s="292">
        <f>SUM('PER BULAN'!BC218)</f>
        <v>0</v>
      </c>
      <c r="AW134" s="292">
        <f>SUM('PER BULAN'!BD218)</f>
        <v>0</v>
      </c>
      <c r="AX134" s="292">
        <f>SUM('PER BULAN'!BE218)</f>
        <v>3364000</v>
      </c>
      <c r="AY134" s="292">
        <f>SUM('PER BULAN'!BF218)</f>
        <v>1447000</v>
      </c>
    </row>
    <row r="135" spans="1:51" s="278" customFormat="1" hidden="1" x14ac:dyDescent="0.3">
      <c r="A135" s="277" t="s">
        <v>4693</v>
      </c>
      <c r="B135" s="277" t="s">
        <v>4694</v>
      </c>
      <c r="C135" s="277" t="s">
        <v>4720</v>
      </c>
      <c r="D135" s="277" t="s">
        <v>4721</v>
      </c>
      <c r="E135" s="277" t="s">
        <v>198</v>
      </c>
      <c r="F135" s="277" t="s">
        <v>4728</v>
      </c>
      <c r="G135" s="277" t="s">
        <v>4786</v>
      </c>
      <c r="H135" s="277" t="s">
        <v>4787</v>
      </c>
      <c r="I135" s="277">
        <v>996</v>
      </c>
      <c r="J135" s="277" t="s">
        <v>4788</v>
      </c>
      <c r="K135" s="277">
        <v>301</v>
      </c>
      <c r="L135" s="277" t="s">
        <v>4789</v>
      </c>
      <c r="M135" s="277" t="s">
        <v>511</v>
      </c>
      <c r="N135" s="277" t="s">
        <v>4792</v>
      </c>
      <c r="O135" s="277">
        <v>522151</v>
      </c>
      <c r="P135" s="277" t="s">
        <v>4701</v>
      </c>
      <c r="Q135" s="307" cm="1">
        <f t="array" ref="Q135">SUM(_xlfn._xlws.FILTER(#REF!,#REF!=SP2D!AN135,0))</f>
        <v>6000000</v>
      </c>
      <c r="R135" s="278">
        <v>6000000</v>
      </c>
      <c r="S135" s="292">
        <f>SUM('PER BULAN'!H219:J219)</f>
        <v>0</v>
      </c>
      <c r="T135" s="292">
        <f>SUM('PER BULAN'!K219:M219)</f>
        <v>0</v>
      </c>
      <c r="U135" s="292">
        <f>SUM('PER BULAN'!N219:P219)</f>
        <v>0</v>
      </c>
      <c r="V135" s="292">
        <f>SUM('PER BULAN'!Q219:S219)</f>
        <v>0</v>
      </c>
      <c r="W135" s="292">
        <f>SUM('PER BULAN'!T219:V219)</f>
        <v>0</v>
      </c>
      <c r="X135" s="292">
        <f>SUM('PER BULAN'!W219:Y219)</f>
        <v>0</v>
      </c>
      <c r="Y135" s="292">
        <f>SUM('PER BULAN'!Z219:AB219)</f>
        <v>0</v>
      </c>
      <c r="Z135" s="292">
        <f>SUM('PER BULAN'!AC219:AE219)</f>
        <v>0</v>
      </c>
      <c r="AA135" s="292">
        <f>SUM('PER BULAN'!AF219:AH219)</f>
        <v>0</v>
      </c>
      <c r="AB135" s="292">
        <f>SUM('PER BULAN'!AI219:AK219)</f>
        <v>0</v>
      </c>
      <c r="AC135" s="292">
        <f>SUM('PER BULAN'!AL219:AN219)</f>
        <v>0</v>
      </c>
      <c r="AD135" s="292">
        <f>SUM('PER BULAN'!AO219:AQ219)</f>
        <v>0</v>
      </c>
      <c r="AE135" s="277" t="s">
        <v>530</v>
      </c>
      <c r="AF135" s="277" t="s">
        <v>542</v>
      </c>
      <c r="AG135" s="277" t="s">
        <v>543</v>
      </c>
      <c r="AH135" s="277" t="s">
        <v>4699</v>
      </c>
      <c r="AI135" s="277" t="s">
        <v>4700</v>
      </c>
      <c r="AJ135" s="277">
        <f t="shared" si="12"/>
        <v>0</v>
      </c>
      <c r="AK135" s="291">
        <f t="shared" si="14"/>
        <v>0</v>
      </c>
      <c r="AL135" s="277">
        <f t="shared" si="13"/>
        <v>6000000</v>
      </c>
      <c r="AM135" s="291">
        <f t="shared" si="15"/>
        <v>100</v>
      </c>
      <c r="AN135" s="277" t="str">
        <f t="shared" si="16"/>
        <v>WA.4345.EBC.996.301.B.522151</v>
      </c>
      <c r="AO135" s="277" t="str">
        <f>IF(ISNUMBER(SEARCH("COVID",Table7[[#This Row],[Akun]])),"COVID","Non COVID")</f>
        <v>Non COVID</v>
      </c>
      <c r="AP13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3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c r="AY135" s="292">
        <f>SUM('PER BULAN'!BF219)</f>
        <v>0</v>
      </c>
    </row>
    <row r="136" spans="1:51" s="278" customFormat="1" hidden="1" x14ac:dyDescent="0.3">
      <c r="A136" s="277" t="s">
        <v>4693</v>
      </c>
      <c r="B136" s="277" t="s">
        <v>4694</v>
      </c>
      <c r="C136" s="277" t="s">
        <v>4720</v>
      </c>
      <c r="D136" s="277" t="s">
        <v>4721</v>
      </c>
      <c r="E136" s="277" t="s">
        <v>198</v>
      </c>
      <c r="F136" s="277" t="s">
        <v>4728</v>
      </c>
      <c r="G136" s="277" t="s">
        <v>4786</v>
      </c>
      <c r="H136" s="277" t="s">
        <v>4787</v>
      </c>
      <c r="I136" s="277">
        <v>996</v>
      </c>
      <c r="J136" s="277" t="s">
        <v>4788</v>
      </c>
      <c r="K136" s="277">
        <v>301</v>
      </c>
      <c r="L136" s="277" t="s">
        <v>4789</v>
      </c>
      <c r="M136" s="277" t="s">
        <v>511</v>
      </c>
      <c r="N136" s="277" t="s">
        <v>4792</v>
      </c>
      <c r="O136" s="277">
        <v>524111</v>
      </c>
      <c r="P136" s="277" t="s">
        <v>4702</v>
      </c>
      <c r="Q136" s="307" cm="1">
        <f t="array" ref="Q136">SUM(_xlfn._xlws.FILTER(#REF!,#REF!=SP2D!AN136,0))</f>
        <v>216000000</v>
      </c>
      <c r="R136" s="278">
        <v>186000000</v>
      </c>
      <c r="S136" s="292">
        <f>SUM('PER BULAN'!H221:J221)</f>
        <v>0</v>
      </c>
      <c r="T136" s="292">
        <f>SUM('PER BULAN'!K220:M220)</f>
        <v>0</v>
      </c>
      <c r="U136" s="292">
        <f>SUM('PER BULAN'!N220:P220)</f>
        <v>0</v>
      </c>
      <c r="V136" s="292">
        <f>SUM('PER BULAN'!Q220:S220)</f>
        <v>0</v>
      </c>
      <c r="W136" s="292">
        <f>SUM('PER BULAN'!T220:V220)</f>
        <v>20392633</v>
      </c>
      <c r="X136" s="292">
        <f>SUM('PER BULAN'!W220:Y220)</f>
        <v>22330573</v>
      </c>
      <c r="Y136" s="292">
        <f>SUM('PER BULAN'!Z220:AB220)</f>
        <v>0</v>
      </c>
      <c r="Z136" s="292">
        <f>SUM('PER BULAN'!AC220:AE220)</f>
        <v>0</v>
      </c>
      <c r="AA136" s="292">
        <f>SUM('PER BULAN'!AF220:AH220)</f>
        <v>0</v>
      </c>
      <c r="AB136" s="292">
        <f>SUM('PER BULAN'!AI220:AK220)</f>
        <v>0</v>
      </c>
      <c r="AC136" s="292">
        <f>SUM('PER BULAN'!AL220:AN220)</f>
        <v>0</v>
      </c>
      <c r="AD136" s="292">
        <f>SUM('PER BULAN'!AO220:AQ220)</f>
        <v>0</v>
      </c>
      <c r="AE136" s="277" t="s">
        <v>530</v>
      </c>
      <c r="AF136" s="277" t="s">
        <v>542</v>
      </c>
      <c r="AG136" s="277" t="s">
        <v>543</v>
      </c>
      <c r="AH136" s="277" t="s">
        <v>4699</v>
      </c>
      <c r="AI136" s="277" t="s">
        <v>4700</v>
      </c>
      <c r="AJ136" s="277">
        <f t="shared" si="12"/>
        <v>42723206</v>
      </c>
      <c r="AK136" s="291">
        <f t="shared" si="14"/>
        <v>19.779262037037036</v>
      </c>
      <c r="AL136" s="277">
        <f t="shared" si="13"/>
        <v>173276794</v>
      </c>
      <c r="AM136" s="291">
        <f t="shared" si="15"/>
        <v>80.220737962962957</v>
      </c>
      <c r="AN136" s="277" t="str">
        <f t="shared" si="16"/>
        <v>WA.4345.EBC.996.301.B.524111</v>
      </c>
      <c r="AO136" s="277" t="str">
        <f>IF(ISNUMBER(SEARCH("COVID",Table7[[#This Row],[Akun]])),"COVID","Non COVID")</f>
        <v>Non COVID</v>
      </c>
      <c r="AP13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6" s="292">
        <f>SUM('PER BULAN'!AY220)</f>
        <v>0</v>
      </c>
      <c r="AS136" s="292">
        <f>SUM('PER BULAN'!AZ220)</f>
        <v>0</v>
      </c>
      <c r="AT136" s="292">
        <f>SUM('PER BULAN'!BA220)</f>
        <v>0</v>
      </c>
      <c r="AU136" s="292">
        <f>SUM('PER BULAN'!BB220)</f>
        <v>0</v>
      </c>
      <c r="AV136" s="292">
        <f>SUM('PER BULAN'!BC220)</f>
        <v>0</v>
      </c>
      <c r="AW136" s="292">
        <f>SUM('PER BULAN'!BD220)</f>
        <v>0</v>
      </c>
      <c r="AX136" s="292">
        <f>SUM('PER BULAN'!BE220)</f>
        <v>20392633</v>
      </c>
      <c r="AY136" s="292">
        <f>SUM('PER BULAN'!BF220)</f>
        <v>0</v>
      </c>
    </row>
    <row r="137" spans="1:51" s="278" customFormat="1" hidden="1" x14ac:dyDescent="0.3">
      <c r="A137" s="277" t="s">
        <v>4693</v>
      </c>
      <c r="B137" s="277" t="s">
        <v>4694</v>
      </c>
      <c r="C137" s="277" t="s">
        <v>4720</v>
      </c>
      <c r="D137" s="277" t="s">
        <v>4721</v>
      </c>
      <c r="E137" s="277" t="s">
        <v>198</v>
      </c>
      <c r="F137" s="277" t="s">
        <v>4728</v>
      </c>
      <c r="G137" s="277" t="s">
        <v>4786</v>
      </c>
      <c r="H137" s="277" t="s">
        <v>4787</v>
      </c>
      <c r="I137" s="277">
        <v>996</v>
      </c>
      <c r="J137" s="277" t="s">
        <v>4788</v>
      </c>
      <c r="K137" s="277">
        <v>301</v>
      </c>
      <c r="L137" s="277" t="s">
        <v>4789</v>
      </c>
      <c r="M137" s="277" t="s">
        <v>512</v>
      </c>
      <c r="N137" s="277" t="s">
        <v>4793</v>
      </c>
      <c r="O137" s="277">
        <v>521211</v>
      </c>
      <c r="P137" s="277" t="s">
        <v>4698</v>
      </c>
      <c r="Q137" s="307" cm="1">
        <f t="array" ref="Q137">SUM(_xlfn._xlws.FILTER(#REF!,#REF!=SP2D!AN137,0))</f>
        <v>12000000</v>
      </c>
      <c r="R137" s="278">
        <v>12000000</v>
      </c>
      <c r="S137" s="292">
        <f>SUM('PER BULAN'!H222:J222)</f>
        <v>0</v>
      </c>
      <c r="T137" s="292">
        <f>SUM('PER BULAN'!K222:M222)</f>
        <v>0</v>
      </c>
      <c r="U137" s="292">
        <f>SUM('PER BULAN'!N222:P222)</f>
        <v>0</v>
      </c>
      <c r="V137" s="292">
        <f>SUM('PER BULAN'!Q222:S222)</f>
        <v>0</v>
      </c>
      <c r="W137" s="292">
        <f>SUM('PER BULAN'!T222:V222)</f>
        <v>0</v>
      </c>
      <c r="X137" s="292">
        <f>SUM('PER BULAN'!W222:Y222)</f>
        <v>0</v>
      </c>
      <c r="Y137" s="292">
        <f>SUM('PER BULAN'!Z222:AB222)</f>
        <v>0</v>
      </c>
      <c r="Z137" s="292">
        <f>SUM('PER BULAN'!AC222:AE222)</f>
        <v>0</v>
      </c>
      <c r="AA137" s="292">
        <f>SUM('PER BULAN'!AF222:AH222)</f>
        <v>0</v>
      </c>
      <c r="AB137" s="292">
        <f>SUM('PER BULAN'!AI222:AK222)</f>
        <v>0</v>
      </c>
      <c r="AC137" s="292">
        <f>SUM('PER BULAN'!AL222:AN222)</f>
        <v>0</v>
      </c>
      <c r="AD137" s="292">
        <f>SUM('PER BULAN'!AO222:AQ222)</f>
        <v>0</v>
      </c>
      <c r="AE137" s="277" t="s">
        <v>530</v>
      </c>
      <c r="AF137" s="277" t="s">
        <v>542</v>
      </c>
      <c r="AG137" s="277" t="s">
        <v>543</v>
      </c>
      <c r="AH137" s="277" t="s">
        <v>4699</v>
      </c>
      <c r="AI137" s="277" t="s">
        <v>4700</v>
      </c>
      <c r="AJ137" s="277">
        <f t="shared" si="12"/>
        <v>0</v>
      </c>
      <c r="AK137" s="291">
        <f t="shared" si="14"/>
        <v>0</v>
      </c>
      <c r="AL137" s="277">
        <f t="shared" si="13"/>
        <v>12000000</v>
      </c>
      <c r="AM137" s="291">
        <f t="shared" si="15"/>
        <v>100</v>
      </c>
      <c r="AN137" s="277" t="str">
        <f t="shared" si="16"/>
        <v>WA.4345.EBC.996.301.C.521211</v>
      </c>
      <c r="AO137" s="277" t="str">
        <f>IF(ISNUMBER(SEARCH("COVID",Table7[[#This Row],[Akun]])),"COVID","Non COVID")</f>
        <v>Non COVID</v>
      </c>
      <c r="AP13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3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c r="AY137" s="292">
        <f>SUM('PER BULAN'!BF222)</f>
        <v>0</v>
      </c>
    </row>
    <row r="138" spans="1:51" s="278" customFormat="1" hidden="1" x14ac:dyDescent="0.3">
      <c r="A138" s="277" t="s">
        <v>4693</v>
      </c>
      <c r="B138" s="277" t="s">
        <v>4694</v>
      </c>
      <c r="C138" s="277" t="s">
        <v>4720</v>
      </c>
      <c r="D138" s="277" t="s">
        <v>4721</v>
      </c>
      <c r="E138" s="277" t="s">
        <v>198</v>
      </c>
      <c r="F138" s="277" t="s">
        <v>4728</v>
      </c>
      <c r="G138" s="277" t="s">
        <v>4786</v>
      </c>
      <c r="H138" s="277" t="s">
        <v>4787</v>
      </c>
      <c r="I138" s="277">
        <v>996</v>
      </c>
      <c r="J138" s="277" t="s">
        <v>4788</v>
      </c>
      <c r="K138" s="277">
        <v>301</v>
      </c>
      <c r="L138" s="277" t="s">
        <v>4789</v>
      </c>
      <c r="M138" s="277" t="s">
        <v>512</v>
      </c>
      <c r="N138" s="277" t="s">
        <v>4793</v>
      </c>
      <c r="O138" s="277">
        <v>521219</v>
      </c>
      <c r="P138" s="277" t="s">
        <v>4711</v>
      </c>
      <c r="Q138" s="307" cm="1">
        <f t="array" ref="Q138">SUM(_xlfn._xlws.FILTER(#REF!,#REF!=SP2D!AN138,0))</f>
        <v>20000000</v>
      </c>
      <c r="R138" s="278">
        <v>20000000</v>
      </c>
      <c r="S138" s="292">
        <f>SUM('PER BULAN'!H223:J223)</f>
        <v>0</v>
      </c>
      <c r="T138" s="292">
        <f>SUM('PER BULAN'!K223:M223)</f>
        <v>0</v>
      </c>
      <c r="U138" s="292">
        <f>SUM('PER BULAN'!N223:P223)</f>
        <v>0</v>
      </c>
      <c r="V138" s="292">
        <f>SUM('PER BULAN'!Q223:S223)</f>
        <v>0</v>
      </c>
      <c r="W138" s="292">
        <f>SUM('PER BULAN'!T223:V223)</f>
        <v>0</v>
      </c>
      <c r="X138" s="292">
        <f>SUM('PER BULAN'!W223:Y223)</f>
        <v>0</v>
      </c>
      <c r="Y138" s="292">
        <f>SUM('PER BULAN'!Z223:AB223)</f>
        <v>0</v>
      </c>
      <c r="Z138" s="292">
        <f>SUM('PER BULAN'!AC223:AE223)</f>
        <v>0</v>
      </c>
      <c r="AA138" s="292">
        <f>SUM('PER BULAN'!AF223:AH223)</f>
        <v>0</v>
      </c>
      <c r="AB138" s="292">
        <f>SUM('PER BULAN'!AI223:AK223)</f>
        <v>0</v>
      </c>
      <c r="AC138" s="292">
        <f>SUM('PER BULAN'!AL223:AN223)</f>
        <v>0</v>
      </c>
      <c r="AD138" s="292">
        <f>SUM('PER BULAN'!AO223:AQ223)</f>
        <v>0</v>
      </c>
      <c r="AE138" s="277" t="s">
        <v>530</v>
      </c>
      <c r="AF138" s="277" t="s">
        <v>542</v>
      </c>
      <c r="AG138" s="277" t="s">
        <v>543</v>
      </c>
      <c r="AH138" s="277" t="s">
        <v>4699</v>
      </c>
      <c r="AI138" s="277" t="s">
        <v>4700</v>
      </c>
      <c r="AJ138" s="277">
        <f t="shared" si="12"/>
        <v>0</v>
      </c>
      <c r="AK138" s="291">
        <f t="shared" si="14"/>
        <v>0</v>
      </c>
      <c r="AL138" s="277">
        <f t="shared" si="13"/>
        <v>20000000</v>
      </c>
      <c r="AM138" s="291">
        <f t="shared" si="15"/>
        <v>100</v>
      </c>
      <c r="AN138" s="277" t="str">
        <f t="shared" si="16"/>
        <v>WA.4345.EBC.996.301.C.521219</v>
      </c>
      <c r="AO138" s="277" t="str">
        <f>IF(ISNUMBER(SEARCH("COVID",Table7[[#This Row],[Akun]])),"COVID","Non COVID")</f>
        <v>Non COVID</v>
      </c>
      <c r="AP13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c r="AY138" s="292">
        <f>SUM('PER BULAN'!BF223)</f>
        <v>0</v>
      </c>
    </row>
    <row r="139" spans="1:51" s="278" customFormat="1" hidden="1" x14ac:dyDescent="0.3">
      <c r="A139" s="277" t="s">
        <v>4693</v>
      </c>
      <c r="B139" s="277" t="s">
        <v>4694</v>
      </c>
      <c r="C139" s="277" t="s">
        <v>4720</v>
      </c>
      <c r="D139" s="277" t="s">
        <v>4721</v>
      </c>
      <c r="E139" s="277" t="s">
        <v>198</v>
      </c>
      <c r="F139" s="277" t="s">
        <v>4728</v>
      </c>
      <c r="G139" s="277" t="s">
        <v>4786</v>
      </c>
      <c r="H139" s="277" t="s">
        <v>4787</v>
      </c>
      <c r="I139" s="277">
        <v>996</v>
      </c>
      <c r="J139" s="277" t="s">
        <v>4788</v>
      </c>
      <c r="K139" s="277">
        <v>301</v>
      </c>
      <c r="L139" s="277" t="s">
        <v>4789</v>
      </c>
      <c r="M139" s="277" t="s">
        <v>512</v>
      </c>
      <c r="N139" s="277" t="s">
        <v>4793</v>
      </c>
      <c r="O139" s="277">
        <v>524211</v>
      </c>
      <c r="P139" s="277" t="s">
        <v>4795</v>
      </c>
      <c r="Q139" s="307" cm="1">
        <f t="array" ref="Q139">SUM(_xlfn._xlws.FILTER(#REF!,#REF!=SP2D!AN139,0))</f>
        <v>142041000</v>
      </c>
      <c r="R139" s="278">
        <v>142041000</v>
      </c>
      <c r="S139" s="292">
        <f>SUM('PER BULAN'!H225:J225)</f>
        <v>0</v>
      </c>
      <c r="T139" s="292">
        <f>SUM('PER BULAN'!K224:M224)</f>
        <v>0</v>
      </c>
      <c r="U139" s="292">
        <f>SUM('PER BULAN'!N224:P224)</f>
        <v>0</v>
      </c>
      <c r="V139" s="292">
        <f>SUM('PER BULAN'!Q224:S224)</f>
        <v>0</v>
      </c>
      <c r="W139" s="292">
        <f>SUM('PER BULAN'!T224:V224)</f>
        <v>0</v>
      </c>
      <c r="X139" s="292">
        <f>SUM('PER BULAN'!W224:Y224)</f>
        <v>0</v>
      </c>
      <c r="Y139" s="292">
        <f>SUM('PER BULAN'!Z224:AB224)</f>
        <v>0</v>
      </c>
      <c r="Z139" s="292">
        <f>SUM('PER BULAN'!AC224:AE224)</f>
        <v>0</v>
      </c>
      <c r="AA139" s="292">
        <f>SUM('PER BULAN'!AF224:AH224)</f>
        <v>0</v>
      </c>
      <c r="AB139" s="292">
        <f>SUM('PER BULAN'!AI224:AK224)</f>
        <v>0</v>
      </c>
      <c r="AC139" s="292">
        <f>SUM('PER BULAN'!AL224:AN224)</f>
        <v>0</v>
      </c>
      <c r="AD139" s="292">
        <f>SUM('PER BULAN'!AO224:AQ224)</f>
        <v>0</v>
      </c>
      <c r="AE139" s="277" t="s">
        <v>530</v>
      </c>
      <c r="AF139" s="277" t="s">
        <v>542</v>
      </c>
      <c r="AG139" s="277" t="s">
        <v>543</v>
      </c>
      <c r="AH139" s="277" t="s">
        <v>4699</v>
      </c>
      <c r="AI139" s="277" t="s">
        <v>4700</v>
      </c>
      <c r="AJ139" s="277">
        <f t="shared" si="12"/>
        <v>0</v>
      </c>
      <c r="AK139" s="291">
        <f t="shared" si="14"/>
        <v>0</v>
      </c>
      <c r="AL139" s="277">
        <f t="shared" si="13"/>
        <v>142041000</v>
      </c>
      <c r="AM139" s="291">
        <f t="shared" si="15"/>
        <v>100</v>
      </c>
      <c r="AN139" s="277" t="str">
        <f t="shared" si="16"/>
        <v>WA.4345.EBC.996.301.C.524211</v>
      </c>
      <c r="AO139" s="277" t="str">
        <f>IF(ISNUMBER(SEARCH("COVID",Table7[[#This Row],[Akun]])),"COVID","Non COVID")</f>
        <v>Non COVID</v>
      </c>
      <c r="AP13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c r="AY139" s="292">
        <f>SUM('PER BULAN'!BF224)</f>
        <v>0</v>
      </c>
    </row>
    <row r="140" spans="1:51" s="278" customFormat="1" x14ac:dyDescent="0.3">
      <c r="A140" s="277" t="s">
        <v>4693</v>
      </c>
      <c r="B140" s="277" t="s">
        <v>4694</v>
      </c>
      <c r="C140" s="277" t="s">
        <v>4720</v>
      </c>
      <c r="D140" s="277" t="s">
        <v>4721</v>
      </c>
      <c r="E140" s="277" t="s">
        <v>198</v>
      </c>
      <c r="F140" s="277" t="s">
        <v>4728</v>
      </c>
      <c r="G140" s="277" t="s">
        <v>4786</v>
      </c>
      <c r="H140" s="277" t="s">
        <v>4787</v>
      </c>
      <c r="I140" s="277">
        <v>996</v>
      </c>
      <c r="J140" s="277" t="s">
        <v>4788</v>
      </c>
      <c r="K140" s="277">
        <v>301</v>
      </c>
      <c r="L140" s="277" t="s">
        <v>4789</v>
      </c>
      <c r="M140" s="277" t="s">
        <v>514</v>
      </c>
      <c r="N140" s="277" t="s">
        <v>4794</v>
      </c>
      <c r="O140" s="277">
        <v>522192</v>
      </c>
      <c r="P140" s="277" t="s">
        <v>4703</v>
      </c>
      <c r="Q140" s="307" cm="1">
        <f t="array" ref="Q140">SUM(_xlfn._xlws.FILTER(#REF!,#REF!=SP2D!AN140,0))</f>
        <v>0</v>
      </c>
      <c r="R140" s="278">
        <v>30000000</v>
      </c>
      <c r="S140" s="292">
        <f>SUM('PER BULAN'!H228:J228)</f>
        <v>0</v>
      </c>
      <c r="T140" s="292">
        <f>SUM('PER BULAN'!K226:M226)</f>
        <v>0</v>
      </c>
      <c r="U140" s="292">
        <f>SUM('PER BULAN'!N226:P226)</f>
        <v>0</v>
      </c>
      <c r="V140" s="292">
        <f>SUM('PER BULAN'!Q226:S226)</f>
        <v>0</v>
      </c>
      <c r="W140" s="292">
        <f>SUM('PER BULAN'!T226:V226)</f>
        <v>0</v>
      </c>
      <c r="X140" s="292">
        <f>SUM('PER BULAN'!W226:Y226)</f>
        <v>0</v>
      </c>
      <c r="Y140" s="292">
        <f>SUM('PER BULAN'!Z226:AB226)</f>
        <v>0</v>
      </c>
      <c r="Z140" s="292">
        <f>SUM('PER BULAN'!AC226:AE226)</f>
        <v>0</v>
      </c>
      <c r="AA140" s="292">
        <f>SUM('PER BULAN'!AF226:AH226)</f>
        <v>0</v>
      </c>
      <c r="AB140" s="292">
        <f>SUM('PER BULAN'!AI226:AK226)</f>
        <v>0</v>
      </c>
      <c r="AC140" s="292">
        <f>SUM('PER BULAN'!AL226:AN226)</f>
        <v>0</v>
      </c>
      <c r="AD140" s="292">
        <f>SUM('PER BULAN'!AO226:AQ226)</f>
        <v>0</v>
      </c>
      <c r="AE140" s="277" t="s">
        <v>530</v>
      </c>
      <c r="AF140" s="277" t="s">
        <v>542</v>
      </c>
      <c r="AG140" s="277" t="s">
        <v>543</v>
      </c>
      <c r="AH140" s="277" t="s">
        <v>4699</v>
      </c>
      <c r="AI140" s="277" t="s">
        <v>4700</v>
      </c>
      <c r="AJ140" s="277">
        <f t="shared" si="12"/>
        <v>0</v>
      </c>
      <c r="AK140" s="291">
        <f t="shared" si="14"/>
        <v>0</v>
      </c>
      <c r="AL140" s="277">
        <f t="shared" si="13"/>
        <v>0</v>
      </c>
      <c r="AM140" s="291">
        <f t="shared" si="15"/>
        <v>0</v>
      </c>
      <c r="AN140" s="277" t="str">
        <f t="shared" si="16"/>
        <v>WA.4345.EBC.996.301.D.522192</v>
      </c>
      <c r="AO140" s="277" t="str">
        <f>IF(ISNUMBER(SEARCH("COVID",Table7[[#This Row],[Akun]])),"COVID","Non COVID")</f>
        <v>COVID</v>
      </c>
      <c r="AP14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4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c r="AY140" s="292">
        <f>SUM('PER BULAN'!BF226)</f>
        <v>0</v>
      </c>
    </row>
    <row r="141" spans="1:51" s="278" customFormat="1" hidden="1" x14ac:dyDescent="0.3">
      <c r="A141" s="277" t="s">
        <v>4693</v>
      </c>
      <c r="B141" s="277" t="s">
        <v>4694</v>
      </c>
      <c r="C141" s="277" t="s">
        <v>4720</v>
      </c>
      <c r="D141" s="277" t="s">
        <v>4721</v>
      </c>
      <c r="E141" s="277" t="s">
        <v>198</v>
      </c>
      <c r="F141" s="277" t="s">
        <v>4728</v>
      </c>
      <c r="G141" s="277" t="s">
        <v>4786</v>
      </c>
      <c r="H141" s="277" t="s">
        <v>4787</v>
      </c>
      <c r="I141" s="277">
        <v>996</v>
      </c>
      <c r="J141" s="277" t="s">
        <v>4788</v>
      </c>
      <c r="K141" s="277">
        <v>302</v>
      </c>
      <c r="L141" s="277" t="s">
        <v>4809</v>
      </c>
      <c r="M141" s="277" t="s">
        <v>8</v>
      </c>
      <c r="N141" s="277" t="s">
        <v>4810</v>
      </c>
      <c r="O141" s="277">
        <v>521211</v>
      </c>
      <c r="P141" s="277" t="s">
        <v>4698</v>
      </c>
      <c r="Q141" s="307" cm="1">
        <f t="array" ref="Q141">SUM(_xlfn._xlws.FILTER(#REF!,#REF!=SP2D!AN141,0))</f>
        <v>25000000</v>
      </c>
      <c r="R141" s="278">
        <v>25000000</v>
      </c>
      <c r="S141" s="292">
        <f>SUM('PER BULAN'!H229:J229)</f>
        <v>0</v>
      </c>
      <c r="T141" s="292">
        <f>SUM('PER BULAN'!K229:M229)</f>
        <v>0</v>
      </c>
      <c r="U141" s="292">
        <f>SUM('PER BULAN'!N229:P229)</f>
        <v>0</v>
      </c>
      <c r="V141" s="292">
        <f>SUM('PER BULAN'!Q229:S229)</f>
        <v>0</v>
      </c>
      <c r="W141" s="292">
        <f>SUM('PER BULAN'!T229:V229)</f>
        <v>2961000</v>
      </c>
      <c r="X141" s="292">
        <f>SUM('PER BULAN'!W229:Y229)</f>
        <v>0</v>
      </c>
      <c r="Y141" s="292">
        <f>SUM('PER BULAN'!Z229:AB229)</f>
        <v>0</v>
      </c>
      <c r="Z141" s="292">
        <f>SUM('PER BULAN'!AC229:AE229)</f>
        <v>0</v>
      </c>
      <c r="AA141" s="292">
        <f>SUM('PER BULAN'!AF229:AH229)</f>
        <v>0</v>
      </c>
      <c r="AB141" s="292">
        <f>SUM('PER BULAN'!AI229:AK229)</f>
        <v>0</v>
      </c>
      <c r="AC141" s="292">
        <f>SUM('PER BULAN'!AL229:AN229)</f>
        <v>0</v>
      </c>
      <c r="AD141" s="292">
        <f>SUM('PER BULAN'!AO229:AQ229)</f>
        <v>0</v>
      </c>
      <c r="AE141" s="277" t="s">
        <v>530</v>
      </c>
      <c r="AF141" s="277" t="s">
        <v>542</v>
      </c>
      <c r="AG141" s="277" t="s">
        <v>543</v>
      </c>
      <c r="AH141" s="277" t="s">
        <v>4699</v>
      </c>
      <c r="AI141" s="277" t="s">
        <v>4700</v>
      </c>
      <c r="AJ141" s="277">
        <f t="shared" si="12"/>
        <v>2961000</v>
      </c>
      <c r="AK141" s="291">
        <f t="shared" si="14"/>
        <v>11.844000000000001</v>
      </c>
      <c r="AL141" s="277">
        <f t="shared" si="13"/>
        <v>22039000</v>
      </c>
      <c r="AM141" s="291">
        <f t="shared" si="15"/>
        <v>88.156000000000006</v>
      </c>
      <c r="AN141" s="277" t="str">
        <f t="shared" si="16"/>
        <v>WA.4345.EBC.996.302.A.521211</v>
      </c>
      <c r="AO141" s="277" t="str">
        <f>IF(ISNUMBER(SEARCH("COVID",Table7[[#This Row],[Akun]])),"COVID","Non COVID")</f>
        <v>Non COVID</v>
      </c>
      <c r="AP14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4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1" s="292">
        <f>SUM('PER BULAN'!AY229)</f>
        <v>0</v>
      </c>
      <c r="AS141" s="292">
        <f>SUM('PER BULAN'!AZ229)</f>
        <v>0</v>
      </c>
      <c r="AT141" s="292">
        <f>SUM('PER BULAN'!BA229)</f>
        <v>0</v>
      </c>
      <c r="AU141" s="292">
        <f>SUM('PER BULAN'!BB229)</f>
        <v>0</v>
      </c>
      <c r="AV141" s="292">
        <f>SUM('PER BULAN'!BC229)</f>
        <v>0</v>
      </c>
      <c r="AW141" s="292">
        <f>SUM('PER BULAN'!BD229)</f>
        <v>0</v>
      </c>
      <c r="AX141" s="292">
        <f>SUM('PER BULAN'!BE229)</f>
        <v>2961000</v>
      </c>
      <c r="AY141" s="292">
        <f>SUM('PER BULAN'!BF229)</f>
        <v>0</v>
      </c>
    </row>
    <row r="142" spans="1:51" s="278" customFormat="1" hidden="1" x14ac:dyDescent="0.3">
      <c r="A142" s="277" t="s">
        <v>4693</v>
      </c>
      <c r="B142" s="277" t="s">
        <v>4694</v>
      </c>
      <c r="C142" s="277" t="s">
        <v>4720</v>
      </c>
      <c r="D142" s="277" t="s">
        <v>4721</v>
      </c>
      <c r="E142" s="277" t="s">
        <v>198</v>
      </c>
      <c r="F142" s="277" t="s">
        <v>4728</v>
      </c>
      <c r="G142" s="277" t="s">
        <v>4786</v>
      </c>
      <c r="H142" s="277" t="s">
        <v>4787</v>
      </c>
      <c r="I142" s="277">
        <v>996</v>
      </c>
      <c r="J142" s="277" t="s">
        <v>4788</v>
      </c>
      <c r="K142" s="277">
        <v>302</v>
      </c>
      <c r="L142" s="277" t="s">
        <v>4809</v>
      </c>
      <c r="M142" s="277" t="s">
        <v>8</v>
      </c>
      <c r="N142" s="277" t="s">
        <v>4810</v>
      </c>
      <c r="O142" s="277">
        <v>521811</v>
      </c>
      <c r="P142" s="277" t="s">
        <v>4716</v>
      </c>
      <c r="Q142" s="307" cm="1">
        <f t="array" ref="Q142">SUM(_xlfn._xlws.FILTER(#REF!,#REF!=SP2D!AN142,0))</f>
        <v>30000000</v>
      </c>
      <c r="R142" s="278">
        <v>30000000</v>
      </c>
      <c r="S142" s="292">
        <f>SUM('PER BULAN'!H230:J230)</f>
        <v>0</v>
      </c>
      <c r="T142" s="292">
        <f>SUM('PER BULAN'!K230:M230)</f>
        <v>0</v>
      </c>
      <c r="U142" s="292">
        <f>SUM('PER BULAN'!N230:P230)</f>
        <v>0</v>
      </c>
      <c r="V142" s="292">
        <f>SUM('PER BULAN'!Q230:S230)</f>
        <v>0</v>
      </c>
      <c r="W142" s="292">
        <f>SUM('PER BULAN'!T230:V230)</f>
        <v>4845000</v>
      </c>
      <c r="X142" s="292">
        <f>SUM('PER BULAN'!W230:Y230)</f>
        <v>0</v>
      </c>
      <c r="Y142" s="292">
        <f>SUM('PER BULAN'!Z230:AB230)</f>
        <v>0</v>
      </c>
      <c r="Z142" s="292">
        <f>SUM('PER BULAN'!AC230:AE230)</f>
        <v>0</v>
      </c>
      <c r="AA142" s="292">
        <f>SUM('PER BULAN'!AF230:AH230)</f>
        <v>0</v>
      </c>
      <c r="AB142" s="292">
        <f>SUM('PER BULAN'!AI230:AK230)</f>
        <v>0</v>
      </c>
      <c r="AC142" s="292">
        <f>SUM('PER BULAN'!AL230:AN230)</f>
        <v>0</v>
      </c>
      <c r="AD142" s="292">
        <f>SUM('PER BULAN'!AO230:AQ230)</f>
        <v>0</v>
      </c>
      <c r="AE142" s="277" t="s">
        <v>530</v>
      </c>
      <c r="AF142" s="277" t="s">
        <v>542</v>
      </c>
      <c r="AG142" s="277" t="s">
        <v>543</v>
      </c>
      <c r="AH142" s="277" t="s">
        <v>4699</v>
      </c>
      <c r="AI142" s="277" t="s">
        <v>4700</v>
      </c>
      <c r="AJ142" s="277">
        <f t="shared" si="12"/>
        <v>4845000</v>
      </c>
      <c r="AK142" s="291">
        <f t="shared" si="14"/>
        <v>16.150000000000002</v>
      </c>
      <c r="AL142" s="277">
        <f t="shared" si="13"/>
        <v>25155000</v>
      </c>
      <c r="AM142" s="291">
        <f t="shared" si="15"/>
        <v>83.850000000000009</v>
      </c>
      <c r="AN142" s="277" t="str">
        <f t="shared" si="16"/>
        <v>WA.4345.EBC.996.302.A.521811</v>
      </c>
      <c r="AO142" s="277" t="str">
        <f>IF(ISNUMBER(SEARCH("COVID",Table7[[#This Row],[Akun]])),"COVID","Non COVID")</f>
        <v>Non COVID</v>
      </c>
      <c r="AP14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4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2" s="292">
        <f>SUM('PER BULAN'!AY230)</f>
        <v>0</v>
      </c>
      <c r="AS142" s="292">
        <f>SUM('PER BULAN'!AZ230)</f>
        <v>0</v>
      </c>
      <c r="AT142" s="292">
        <f>SUM('PER BULAN'!BA230)</f>
        <v>0</v>
      </c>
      <c r="AU142" s="292">
        <f>SUM('PER BULAN'!BB230)</f>
        <v>0</v>
      </c>
      <c r="AV142" s="292">
        <f>SUM('PER BULAN'!BC230)</f>
        <v>0</v>
      </c>
      <c r="AW142" s="292">
        <f>SUM('PER BULAN'!BD230)</f>
        <v>0</v>
      </c>
      <c r="AX142" s="292">
        <f>SUM('PER BULAN'!BE230)</f>
        <v>4845000</v>
      </c>
      <c r="AY142" s="292">
        <f>SUM('PER BULAN'!BF230)</f>
        <v>0</v>
      </c>
    </row>
    <row r="143" spans="1:51" s="278" customFormat="1" hidden="1" x14ac:dyDescent="0.3">
      <c r="A143" s="277" t="s">
        <v>4693</v>
      </c>
      <c r="B143" s="277" t="s">
        <v>4694</v>
      </c>
      <c r="C143" s="277" t="s">
        <v>4720</v>
      </c>
      <c r="D143" s="277" t="s">
        <v>4721</v>
      </c>
      <c r="E143" s="277" t="s">
        <v>198</v>
      </c>
      <c r="F143" s="277" t="s">
        <v>4728</v>
      </c>
      <c r="G143" s="277" t="s">
        <v>4786</v>
      </c>
      <c r="H143" s="277" t="s">
        <v>4787</v>
      </c>
      <c r="I143" s="277">
        <v>996</v>
      </c>
      <c r="J143" s="277" t="s">
        <v>4788</v>
      </c>
      <c r="K143" s="277">
        <v>302</v>
      </c>
      <c r="L143" s="277" t="s">
        <v>4809</v>
      </c>
      <c r="M143" s="277" t="s">
        <v>8</v>
      </c>
      <c r="N143" s="277" t="s">
        <v>4810</v>
      </c>
      <c r="O143" s="277">
        <v>524111</v>
      </c>
      <c r="P143" s="277" t="s">
        <v>4702</v>
      </c>
      <c r="Q143" s="307" cm="1">
        <f t="array" ref="Q143">SUM(_xlfn._xlws.FILTER(#REF!,#REF!=SP2D!AN143,0))</f>
        <v>54200000</v>
      </c>
      <c r="R143" s="278">
        <v>54200000</v>
      </c>
      <c r="S143" s="292">
        <f>SUM('PER BULAN'!H231:J231)</f>
        <v>0</v>
      </c>
      <c r="T143" s="292">
        <f>SUM('PER BULAN'!K231:M231)</f>
        <v>0</v>
      </c>
      <c r="U143" s="292">
        <f>SUM('PER BULAN'!N231:P231)</f>
        <v>0</v>
      </c>
      <c r="V143" s="292">
        <f>SUM('PER BULAN'!Q231:S231)</f>
        <v>0</v>
      </c>
      <c r="W143" s="292">
        <f>SUM('PER BULAN'!T231:V231)</f>
        <v>0</v>
      </c>
      <c r="X143" s="292">
        <f>SUM('PER BULAN'!W231:Y231)</f>
        <v>0</v>
      </c>
      <c r="Y143" s="292">
        <f>SUM('PER BULAN'!Z231:AB231)</f>
        <v>0</v>
      </c>
      <c r="Z143" s="292">
        <f>SUM('PER BULAN'!AC231:AE231)</f>
        <v>0</v>
      </c>
      <c r="AA143" s="292">
        <f>SUM('PER BULAN'!AF231:AH231)</f>
        <v>0</v>
      </c>
      <c r="AB143" s="292">
        <f>SUM('PER BULAN'!AI231:AK231)</f>
        <v>0</v>
      </c>
      <c r="AC143" s="292">
        <f>SUM('PER BULAN'!AL231:AN231)</f>
        <v>0</v>
      </c>
      <c r="AD143" s="292">
        <f>SUM('PER BULAN'!AO231:AQ231)</f>
        <v>0</v>
      </c>
      <c r="AE143" s="277" t="s">
        <v>530</v>
      </c>
      <c r="AF143" s="277" t="s">
        <v>542</v>
      </c>
      <c r="AG143" s="277" t="s">
        <v>543</v>
      </c>
      <c r="AH143" s="277" t="s">
        <v>4699</v>
      </c>
      <c r="AI143" s="277" t="s">
        <v>4700</v>
      </c>
      <c r="AJ143" s="277">
        <f t="shared" si="12"/>
        <v>0</v>
      </c>
      <c r="AK143" s="291">
        <f t="shared" si="14"/>
        <v>0</v>
      </c>
      <c r="AL143" s="277">
        <f t="shared" si="13"/>
        <v>54200000</v>
      </c>
      <c r="AM143" s="291">
        <f t="shared" si="15"/>
        <v>100</v>
      </c>
      <c r="AN143" s="277" t="str">
        <f t="shared" si="16"/>
        <v>WA.4345.EBC.996.302.A.524111</v>
      </c>
      <c r="AO143" s="277" t="str">
        <f>IF(ISNUMBER(SEARCH("COVID",Table7[[#This Row],[Akun]])),"COVID","Non COVID")</f>
        <v>Non COVID</v>
      </c>
      <c r="AP14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4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c r="AY143" s="292">
        <f>SUM('PER BULAN'!BF231)</f>
        <v>0</v>
      </c>
    </row>
    <row r="144" spans="1:51" x14ac:dyDescent="0.3">
      <c r="Q144" s="297">
        <f t="shared" ref="Q144:AD144" si="17">SUM(Q4:Q143)</f>
        <v>11375804000</v>
      </c>
      <c r="R144" s="297">
        <f t="shared" ref="R144" si="18">SUM(R4:R143)</f>
        <v>16863164000</v>
      </c>
      <c r="S144" s="297">
        <f t="shared" si="17"/>
        <v>0</v>
      </c>
      <c r="T144" s="297">
        <f t="shared" si="17"/>
        <v>74237800</v>
      </c>
      <c r="U144" s="297">
        <f t="shared" si="17"/>
        <v>672277677</v>
      </c>
      <c r="V144" s="297">
        <f t="shared" si="17"/>
        <v>1892688850</v>
      </c>
      <c r="W144" s="297">
        <f t="shared" si="17"/>
        <v>1260934024</v>
      </c>
      <c r="X144" s="297">
        <f t="shared" si="17"/>
        <v>2167184581</v>
      </c>
      <c r="Y144" s="297">
        <f t="shared" si="17"/>
        <v>0</v>
      </c>
      <c r="Z144" s="297">
        <f t="shared" si="17"/>
        <v>0</v>
      </c>
      <c r="AA144" s="297">
        <f t="shared" si="17"/>
        <v>0</v>
      </c>
      <c r="AB144" s="297">
        <f t="shared" si="17"/>
        <v>0</v>
      </c>
      <c r="AC144" s="297">
        <f t="shared" si="17"/>
        <v>0</v>
      </c>
      <c r="AD144" s="297">
        <f t="shared" si="17"/>
        <v>0</v>
      </c>
      <c r="AJ144" s="297">
        <f>SUM(AJ4:AJ143)</f>
        <v>6067322932</v>
      </c>
      <c r="AK144" s="298">
        <f>AJ144/Q144*100</f>
        <v>53.33533288724032</v>
      </c>
      <c r="AL144" s="297">
        <f>SUM(AL4:AL143)</f>
        <v>5308481068</v>
      </c>
      <c r="AM144" s="298">
        <f>AL144/Q144*100</f>
        <v>46.66466711275968</v>
      </c>
      <c r="AR144" s="297">
        <f>SUM(AR4:AR143)</f>
        <v>99961115</v>
      </c>
      <c r="AS144" s="297">
        <f>SUM(AS4:AS143)</f>
        <v>410500187</v>
      </c>
      <c r="AT144" s="297">
        <f t="shared" ref="AT144:AV144" si="19">SUM(AT4:AT143)</f>
        <v>98176375</v>
      </c>
      <c r="AU144" s="297">
        <f t="shared" si="19"/>
        <v>95254996</v>
      </c>
      <c r="AV144" s="297">
        <f t="shared" si="19"/>
        <v>95439616</v>
      </c>
      <c r="AW144" s="297">
        <f t="shared" ref="AW144:AX144" si="20">SUM(AW4:AW143)</f>
        <v>93838577</v>
      </c>
      <c r="AX144" s="297">
        <f t="shared" si="20"/>
        <v>312088731</v>
      </c>
      <c r="AY144" s="297">
        <f t="shared" ref="AY144" si="21">SUM(AY4:AY143)</f>
        <v>7559500</v>
      </c>
    </row>
    <row r="145" spans="17:46" x14ac:dyDescent="0.3">
      <c r="U145" s="276"/>
    </row>
    <row r="146" spans="17:46" x14ac:dyDescent="0.3">
      <c r="Q146" s="276">
        <f>Q144-'PER BULAN'!F14</f>
        <v>0</v>
      </c>
      <c r="R146" s="274">
        <f>R144-'PER BULAN'!G14</f>
        <v>0</v>
      </c>
      <c r="U146" s="276"/>
    </row>
    <row r="147" spans="17:46" x14ac:dyDescent="0.3">
      <c r="U147" s="276"/>
      <c r="AT147" s="275" t="s">
        <v>4644</v>
      </c>
    </row>
  </sheetData>
  <phoneticPr fontId="27"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J233"/>
  <sheetViews>
    <sheetView showGridLines="0" zoomScale="70" zoomScaleNormal="70" workbookViewId="0">
      <pane xSplit="3" ySplit="14" topLeftCell="AX156" activePane="bottomRight" state="frozen"/>
      <selection pane="topRight" activeCell="D1" sqref="D1"/>
      <selection pane="bottomLeft" activeCell="A15" sqref="A15"/>
      <selection pane="bottomRight" activeCell="W177" sqref="W177"/>
    </sheetView>
  </sheetViews>
  <sheetFormatPr defaultRowHeight="14.4" x14ac:dyDescent="0.3"/>
  <cols>
    <col min="1" max="1" width="8.6640625" customWidth="1"/>
    <col min="2" max="2" width="16.33203125" customWidth="1"/>
    <col min="3" max="3" width="62.44140625" customWidth="1"/>
    <col min="4" max="5" width="9.109375" customWidth="1"/>
    <col min="6" max="7" width="17.44140625" customWidth="1"/>
    <col min="8" max="8" width="13.44140625" customWidth="1"/>
    <col min="9" max="9" width="15.44140625" customWidth="1"/>
    <col min="10" max="10" width="16.44140625" customWidth="1"/>
    <col min="11" max="11" width="13.44140625" customWidth="1"/>
    <col min="12" max="13" width="9.109375" customWidth="1"/>
    <col min="14" max="14" width="13" customWidth="1"/>
    <col min="15" max="16" width="15.6640625" customWidth="1"/>
    <col min="17" max="17" width="14.33203125" customWidth="1"/>
    <col min="18" max="18" width="11.5546875" customWidth="1"/>
    <col min="19" max="19" width="9.109375" customWidth="1"/>
    <col min="20" max="20" width="13" customWidth="1"/>
    <col min="21" max="21" width="15.109375" customWidth="1"/>
    <col min="22" max="22" width="13.33203125" bestFit="1" customWidth="1"/>
    <col min="23" max="23" width="14.88671875" bestFit="1" customWidth="1"/>
    <col min="24" max="24" width="9.109375" customWidth="1"/>
    <col min="25" max="25" width="12.109375" customWidth="1"/>
    <col min="26" max="43" width="9.109375" hidden="1" customWidth="1"/>
    <col min="44" max="44" width="15.88671875" customWidth="1"/>
    <col min="45" max="45" width="7.6640625" customWidth="1"/>
    <col min="46" max="46" width="18.44140625" customWidth="1"/>
    <col min="47" max="47" width="8.5546875" customWidth="1"/>
    <col min="48" max="48" width="28.109375" customWidth="1"/>
    <col min="49" max="49" width="33" customWidth="1"/>
    <col min="50" max="50" width="34.109375" customWidth="1"/>
    <col min="51" max="51" width="11.5546875" customWidth="1"/>
    <col min="52" max="52" width="12.5546875" style="274" customWidth="1"/>
    <col min="53" max="53" width="11.5546875" customWidth="1"/>
    <col min="54" max="54" width="11.5546875" style="274" customWidth="1"/>
    <col min="55" max="55" width="12.6640625" customWidth="1"/>
    <col min="56" max="56" width="15.88671875" customWidth="1"/>
    <col min="57" max="57" width="13.5546875" customWidth="1"/>
    <col min="58" max="58" width="17.88671875" customWidth="1"/>
  </cols>
  <sheetData>
    <row r="4" spans="2:58" x14ac:dyDescent="0.3">
      <c r="B4" s="245" t="s">
        <v>598</v>
      </c>
      <c r="C4" s="245"/>
    </row>
    <row r="5" spans="2:58" x14ac:dyDescent="0.3">
      <c r="B5" s="245" t="s">
        <v>4835</v>
      </c>
      <c r="C5" s="245"/>
    </row>
    <row r="6" spans="2:58" x14ac:dyDescent="0.3">
      <c r="B6" s="245"/>
      <c r="C6" s="245"/>
    </row>
    <row r="7" spans="2:58" x14ac:dyDescent="0.3">
      <c r="B7" s="245" t="s">
        <v>599</v>
      </c>
      <c r="C7" s="245" t="s">
        <v>600</v>
      </c>
    </row>
    <row r="8" spans="2:58" x14ac:dyDescent="0.3">
      <c r="B8" s="245" t="s">
        <v>601</v>
      </c>
      <c r="C8" s="245" t="s">
        <v>602</v>
      </c>
    </row>
    <row r="9" spans="2:58" x14ac:dyDescent="0.3">
      <c r="B9" s="245" t="s">
        <v>603</v>
      </c>
      <c r="C9" s="245" t="s">
        <v>604</v>
      </c>
    </row>
    <row r="10" spans="2:58" x14ac:dyDescent="0.3">
      <c r="B10" s="245" t="s">
        <v>605</v>
      </c>
      <c r="C10" s="245" t="s">
        <v>4816</v>
      </c>
    </row>
    <row r="12" spans="2:58" s="219" customFormat="1" x14ac:dyDescent="0.3">
      <c r="B12" s="305" t="s">
        <v>606</v>
      </c>
      <c r="C12" s="305" t="s">
        <v>607</v>
      </c>
      <c r="D12" s="305" t="s">
        <v>608</v>
      </c>
      <c r="E12" s="305" t="s">
        <v>609</v>
      </c>
      <c r="F12" s="305" t="s">
        <v>6234</v>
      </c>
      <c r="G12" s="411" t="s">
        <v>6235</v>
      </c>
      <c r="H12" s="459" t="s">
        <v>4629</v>
      </c>
      <c r="I12" s="459"/>
      <c r="J12" s="459"/>
      <c r="K12" s="459" t="s">
        <v>4630</v>
      </c>
      <c r="L12" s="459"/>
      <c r="M12" s="459"/>
      <c r="N12" s="459" t="s">
        <v>4631</v>
      </c>
      <c r="O12" s="459"/>
      <c r="P12" s="459"/>
      <c r="Q12" s="459" t="s">
        <v>4632</v>
      </c>
      <c r="R12" s="459"/>
      <c r="S12" s="459"/>
      <c r="T12" s="459" t="s">
        <v>4633</v>
      </c>
      <c r="U12" s="459"/>
      <c r="V12" s="459"/>
      <c r="W12" s="459" t="s">
        <v>4634</v>
      </c>
      <c r="X12" s="459"/>
      <c r="Y12" s="459"/>
      <c r="Z12" s="459" t="s">
        <v>4635</v>
      </c>
      <c r="AA12" s="459"/>
      <c r="AB12" s="459"/>
      <c r="AC12" s="459" t="s">
        <v>4636</v>
      </c>
      <c r="AD12" s="459"/>
      <c r="AE12" s="459"/>
      <c r="AF12" s="459" t="s">
        <v>4637</v>
      </c>
      <c r="AG12" s="459"/>
      <c r="AH12" s="459"/>
      <c r="AI12" s="459" t="s">
        <v>4638</v>
      </c>
      <c r="AJ12" s="459"/>
      <c r="AK12" s="459"/>
      <c r="AL12" s="459" t="s">
        <v>4639</v>
      </c>
      <c r="AM12" s="459"/>
      <c r="AN12" s="459"/>
      <c r="AO12" s="459" t="s">
        <v>4640</v>
      </c>
      <c r="AP12" s="459"/>
      <c r="AQ12" s="459"/>
      <c r="AR12" s="461" t="s">
        <v>4647</v>
      </c>
      <c r="AS12" s="462" t="s">
        <v>4648</v>
      </c>
      <c r="AT12" s="460" t="s">
        <v>4649</v>
      </c>
      <c r="AU12" s="460" t="s">
        <v>4648</v>
      </c>
      <c r="AV12" s="304" t="s">
        <v>4830</v>
      </c>
      <c r="AW12" s="304" t="s">
        <v>500</v>
      </c>
      <c r="AX12" s="304" t="s">
        <v>4814</v>
      </c>
      <c r="AY12" s="303" t="s">
        <v>4829</v>
      </c>
      <c r="AZ12" s="303"/>
      <c r="BA12" s="303"/>
      <c r="BB12" s="303"/>
      <c r="BC12" s="303"/>
      <c r="BD12" s="303"/>
      <c r="BE12" s="303"/>
      <c r="BF12" s="303"/>
    </row>
    <row r="13" spans="2:58" x14ac:dyDescent="0.3">
      <c r="B13" s="305"/>
      <c r="C13" s="305"/>
      <c r="D13" s="305"/>
      <c r="E13" s="305"/>
      <c r="F13" s="305"/>
      <c r="G13" s="411"/>
      <c r="H13" s="306" t="s">
        <v>4643</v>
      </c>
      <c r="I13" s="306" t="s">
        <v>4641</v>
      </c>
      <c r="J13" s="306" t="s">
        <v>4642</v>
      </c>
      <c r="K13" s="306" t="s">
        <v>4643</v>
      </c>
      <c r="L13" s="306" t="s">
        <v>4641</v>
      </c>
      <c r="M13" s="306" t="s">
        <v>4642</v>
      </c>
      <c r="N13" s="306" t="s">
        <v>4643</v>
      </c>
      <c r="O13" s="306" t="s">
        <v>4641</v>
      </c>
      <c r="P13" s="306" t="s">
        <v>4642</v>
      </c>
      <c r="Q13" s="306" t="s">
        <v>4643</v>
      </c>
      <c r="R13" s="306" t="s">
        <v>4641</v>
      </c>
      <c r="S13" s="306" t="s">
        <v>4642</v>
      </c>
      <c r="T13" s="306" t="s">
        <v>4643</v>
      </c>
      <c r="U13" s="306" t="s">
        <v>4641</v>
      </c>
      <c r="V13" s="306" t="s">
        <v>4642</v>
      </c>
      <c r="W13" s="306" t="s">
        <v>4643</v>
      </c>
      <c r="X13" s="306" t="s">
        <v>4641</v>
      </c>
      <c r="Y13" s="306" t="s">
        <v>4642</v>
      </c>
      <c r="Z13" s="306" t="s">
        <v>4643</v>
      </c>
      <c r="AA13" s="306" t="s">
        <v>4641</v>
      </c>
      <c r="AB13" s="306" t="s">
        <v>4642</v>
      </c>
      <c r="AC13" s="306" t="s">
        <v>4643</v>
      </c>
      <c r="AD13" s="306" t="s">
        <v>4641</v>
      </c>
      <c r="AE13" s="306" t="s">
        <v>4642</v>
      </c>
      <c r="AF13" s="306" t="s">
        <v>4643</v>
      </c>
      <c r="AG13" s="306" t="s">
        <v>4641</v>
      </c>
      <c r="AH13" s="306" t="s">
        <v>4642</v>
      </c>
      <c r="AI13" s="306" t="s">
        <v>4643</v>
      </c>
      <c r="AJ13" s="306" t="s">
        <v>4641</v>
      </c>
      <c r="AK13" s="306" t="s">
        <v>4642</v>
      </c>
      <c r="AL13" s="306" t="s">
        <v>4643</v>
      </c>
      <c r="AM13" s="306" t="s">
        <v>4641</v>
      </c>
      <c r="AN13" s="306" t="s">
        <v>4642</v>
      </c>
      <c r="AO13" s="306" t="s">
        <v>4643</v>
      </c>
      <c r="AP13" s="306" t="s">
        <v>4641</v>
      </c>
      <c r="AQ13" s="306" t="s">
        <v>4642</v>
      </c>
      <c r="AR13" s="461"/>
      <c r="AS13" s="462"/>
      <c r="AT13" s="460"/>
      <c r="AU13" s="460"/>
      <c r="AV13" s="304"/>
      <c r="AW13" s="304"/>
      <c r="AX13" s="304"/>
      <c r="AY13" s="302" t="s">
        <v>4826</v>
      </c>
      <c r="AZ13" s="301" t="s">
        <v>4827</v>
      </c>
      <c r="BA13" s="302" t="s">
        <v>4828</v>
      </c>
      <c r="BB13" s="301" t="s">
        <v>4837</v>
      </c>
      <c r="BC13" s="358" t="s">
        <v>5161</v>
      </c>
      <c r="BD13" s="358" t="s">
        <v>5197</v>
      </c>
      <c r="BE13" s="358" t="s">
        <v>5198</v>
      </c>
      <c r="BF13" s="358" t="s">
        <v>5353</v>
      </c>
    </row>
    <row r="14" spans="2:58" x14ac:dyDescent="0.3">
      <c r="B14" s="308" t="s">
        <v>4646</v>
      </c>
      <c r="C14" s="309" t="s">
        <v>613</v>
      </c>
      <c r="D14" s="309"/>
      <c r="E14" s="309"/>
      <c r="F14" s="310">
        <f>F15+F60</f>
        <v>11375804000</v>
      </c>
      <c r="G14" s="310">
        <f>G15+G60</f>
        <v>16863164000</v>
      </c>
      <c r="H14" s="310">
        <f>H15+H60</f>
        <v>0</v>
      </c>
      <c r="I14" s="310">
        <f>I15+I60</f>
        <v>0</v>
      </c>
      <c r="J14" s="310">
        <f t="shared" ref="J14:AQ14" si="0">J15+J60</f>
        <v>0</v>
      </c>
      <c r="K14" s="310">
        <f t="shared" si="0"/>
        <v>74237800</v>
      </c>
      <c r="L14" s="310">
        <f t="shared" si="0"/>
        <v>0</v>
      </c>
      <c r="M14" s="310">
        <f t="shared" si="0"/>
        <v>0</v>
      </c>
      <c r="N14" s="310">
        <f t="shared" si="0"/>
        <v>63640000</v>
      </c>
      <c r="O14" s="310">
        <f t="shared" si="0"/>
        <v>198137490</v>
      </c>
      <c r="P14" s="310">
        <f t="shared" si="0"/>
        <v>410500187</v>
      </c>
      <c r="Q14" s="310">
        <f>Q15+Q60</f>
        <v>1797433854</v>
      </c>
      <c r="R14" s="310">
        <f t="shared" si="0"/>
        <v>95254996</v>
      </c>
      <c r="S14" s="310">
        <f t="shared" si="0"/>
        <v>0</v>
      </c>
      <c r="T14" s="310">
        <f t="shared" si="0"/>
        <v>759567100</v>
      </c>
      <c r="U14" s="310">
        <f t="shared" si="0"/>
        <v>189278193</v>
      </c>
      <c r="V14" s="310">
        <f t="shared" si="0"/>
        <v>312088731</v>
      </c>
      <c r="W14" s="310">
        <f t="shared" si="0"/>
        <v>2159625081</v>
      </c>
      <c r="X14" s="310">
        <f t="shared" si="0"/>
        <v>0</v>
      </c>
      <c r="Y14" s="310">
        <f t="shared" si="0"/>
        <v>7559500</v>
      </c>
      <c r="Z14" s="310">
        <f t="shared" si="0"/>
        <v>0</v>
      </c>
      <c r="AA14" s="310">
        <f t="shared" si="0"/>
        <v>0</v>
      </c>
      <c r="AB14" s="310">
        <f t="shared" si="0"/>
        <v>0</v>
      </c>
      <c r="AC14" s="310">
        <f t="shared" si="0"/>
        <v>0</v>
      </c>
      <c r="AD14" s="310">
        <f t="shared" si="0"/>
        <v>0</v>
      </c>
      <c r="AE14" s="310">
        <f t="shared" si="0"/>
        <v>0</v>
      </c>
      <c r="AF14" s="310">
        <f t="shared" si="0"/>
        <v>0</v>
      </c>
      <c r="AG14" s="310">
        <f t="shared" si="0"/>
        <v>0</v>
      </c>
      <c r="AH14" s="310">
        <f t="shared" si="0"/>
        <v>0</v>
      </c>
      <c r="AI14" s="310">
        <f t="shared" si="0"/>
        <v>0</v>
      </c>
      <c r="AJ14" s="310">
        <f t="shared" si="0"/>
        <v>0</v>
      </c>
      <c r="AK14" s="310">
        <f t="shared" si="0"/>
        <v>0</v>
      </c>
      <c r="AL14" s="310">
        <f t="shared" si="0"/>
        <v>0</v>
      </c>
      <c r="AM14" s="310">
        <f t="shared" si="0"/>
        <v>0</v>
      </c>
      <c r="AN14" s="310">
        <f t="shared" si="0"/>
        <v>0</v>
      </c>
      <c r="AO14" s="310">
        <f>AO15+AO60</f>
        <v>0</v>
      </c>
      <c r="AP14" s="310">
        <f>AP15+AP60</f>
        <v>0</v>
      </c>
      <c r="AQ14" s="310">
        <f t="shared" si="0"/>
        <v>0</v>
      </c>
      <c r="AR14" s="310">
        <f>SUM(H14:AQ14)</f>
        <v>6067322932</v>
      </c>
      <c r="AS14" s="311">
        <f>AR14/F14*100</f>
        <v>53.33533288724032</v>
      </c>
      <c r="AT14" s="312">
        <f>F14-AR14</f>
        <v>5308481068</v>
      </c>
      <c r="AU14" s="311">
        <f>AT14/F14*100</f>
        <v>46.66466711275968</v>
      </c>
      <c r="AV14" s="220"/>
      <c r="AW14" s="220"/>
      <c r="AX14" s="220" t="s">
        <v>4729</v>
      </c>
      <c r="AY14" s="310">
        <f>AY15+AY60</f>
        <v>99961115</v>
      </c>
      <c r="AZ14" s="310">
        <f>AZ15+AZ60</f>
        <v>410500187</v>
      </c>
      <c r="BA14" s="310">
        <f>BA15+BA60</f>
        <v>98176375</v>
      </c>
      <c r="BB14" s="310">
        <f>BB15+BB60</f>
        <v>95254996</v>
      </c>
      <c r="BC14" s="310">
        <f t="shared" ref="BC14" si="1">BC15+BC60</f>
        <v>95439616</v>
      </c>
      <c r="BD14" s="310">
        <f t="shared" ref="BD14:BE14" si="2">BD15+BD60</f>
        <v>93838577</v>
      </c>
      <c r="BE14" s="310">
        <f t="shared" si="2"/>
        <v>312088731</v>
      </c>
      <c r="BF14" s="310">
        <f t="shared" ref="BF14" si="3">BF15+BF60</f>
        <v>7559500</v>
      </c>
    </row>
    <row r="15" spans="2:58" x14ac:dyDescent="0.3">
      <c r="B15" s="246" t="s">
        <v>0</v>
      </c>
      <c r="C15" s="247" t="s">
        <v>1</v>
      </c>
      <c r="D15" s="247"/>
      <c r="E15" s="247"/>
      <c r="F15" s="248">
        <f>F16</f>
        <v>1000000000</v>
      </c>
      <c r="G15" s="248">
        <f>G16</f>
        <v>1000000000</v>
      </c>
      <c r="H15" s="248">
        <f t="shared" ref="H15:AQ17" si="4">H16</f>
        <v>0</v>
      </c>
      <c r="I15" s="248">
        <f t="shared" si="4"/>
        <v>0</v>
      </c>
      <c r="J15" s="248">
        <f t="shared" si="4"/>
        <v>0</v>
      </c>
      <c r="K15" s="248">
        <f t="shared" si="4"/>
        <v>0</v>
      </c>
      <c r="L15" s="248">
        <f t="shared" si="4"/>
        <v>0</v>
      </c>
      <c r="M15" s="248">
        <f t="shared" si="4"/>
        <v>0</v>
      </c>
      <c r="N15" s="248">
        <f t="shared" si="4"/>
        <v>0</v>
      </c>
      <c r="O15" s="248">
        <f t="shared" si="4"/>
        <v>30802300</v>
      </c>
      <c r="P15" s="248">
        <f t="shared" si="4"/>
        <v>89962700</v>
      </c>
      <c r="Q15" s="248">
        <f t="shared" si="4"/>
        <v>34256000</v>
      </c>
      <c r="R15" s="248">
        <f t="shared" si="4"/>
        <v>0</v>
      </c>
      <c r="S15" s="248">
        <f t="shared" si="4"/>
        <v>0</v>
      </c>
      <c r="T15" s="248">
        <f t="shared" si="4"/>
        <v>2180000</v>
      </c>
      <c r="U15" s="248">
        <f t="shared" si="4"/>
        <v>10260100</v>
      </c>
      <c r="V15" s="248">
        <f t="shared" si="4"/>
        <v>76123900</v>
      </c>
      <c r="W15" s="248">
        <f t="shared" si="4"/>
        <v>124937100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 t="shared" si="4"/>
        <v>0</v>
      </c>
      <c r="AR15" s="248">
        <f>SUM(H15:AQ15)</f>
        <v>368522100</v>
      </c>
      <c r="AS15" s="249">
        <f t="shared" ref="AS15:AS46" si="5">AR15/F15/100</f>
        <v>3.6852210000000002E-3</v>
      </c>
      <c r="AT15" s="250">
        <f t="shared" ref="AT15:AT78" si="6">F15-AR15</f>
        <v>631477900</v>
      </c>
      <c r="AU15" s="249">
        <f>AT15/F15*100</f>
        <v>63.147790000000001</v>
      </c>
      <c r="AV15" s="220"/>
      <c r="AW15" s="220"/>
      <c r="AX15" s="220" t="s">
        <v>4729</v>
      </c>
      <c r="AY15" s="248">
        <f t="shared" ref="AY15:BF17" si="7">AY16</f>
        <v>0</v>
      </c>
      <c r="AZ15" s="248">
        <f t="shared" si="7"/>
        <v>89962700</v>
      </c>
      <c r="BA15" s="248">
        <f t="shared" si="7"/>
        <v>30802300</v>
      </c>
      <c r="BB15" s="248">
        <f t="shared" si="7"/>
        <v>0</v>
      </c>
      <c r="BC15" s="248">
        <f t="shared" si="7"/>
        <v>1500000</v>
      </c>
      <c r="BD15" s="248">
        <f t="shared" si="7"/>
        <v>8760100</v>
      </c>
      <c r="BE15" s="248">
        <f t="shared" si="7"/>
        <v>76123900</v>
      </c>
      <c r="BF15" s="248">
        <f t="shared" si="7"/>
        <v>0</v>
      </c>
    </row>
    <row r="16" spans="2:58" x14ac:dyDescent="0.3">
      <c r="B16" s="240">
        <v>2376</v>
      </c>
      <c r="C16" s="241" t="s">
        <v>47</v>
      </c>
      <c r="D16" s="241"/>
      <c r="E16" s="241"/>
      <c r="F16" s="242">
        <f t="shared" ref="F16:V17" si="8">F17</f>
        <v>1000000000</v>
      </c>
      <c r="G16" s="242">
        <f t="shared" si="8"/>
        <v>1000000000</v>
      </c>
      <c r="H16" s="242">
        <f t="shared" si="8"/>
        <v>0</v>
      </c>
      <c r="I16" s="242">
        <f t="shared" si="8"/>
        <v>0</v>
      </c>
      <c r="J16" s="242">
        <f t="shared" si="8"/>
        <v>0</v>
      </c>
      <c r="K16" s="242">
        <f t="shared" si="8"/>
        <v>0</v>
      </c>
      <c r="L16" s="242">
        <f t="shared" si="8"/>
        <v>0</v>
      </c>
      <c r="M16" s="242">
        <f t="shared" si="8"/>
        <v>0</v>
      </c>
      <c r="N16" s="242">
        <f t="shared" si="8"/>
        <v>0</v>
      </c>
      <c r="O16" s="242">
        <f t="shared" si="8"/>
        <v>30802300</v>
      </c>
      <c r="P16" s="242">
        <f t="shared" si="8"/>
        <v>89962700</v>
      </c>
      <c r="Q16" s="242">
        <f t="shared" si="8"/>
        <v>34256000</v>
      </c>
      <c r="R16" s="242">
        <f t="shared" si="8"/>
        <v>0</v>
      </c>
      <c r="S16" s="242">
        <f t="shared" si="8"/>
        <v>0</v>
      </c>
      <c r="T16" s="242">
        <f t="shared" si="8"/>
        <v>2180000</v>
      </c>
      <c r="U16" s="242">
        <f t="shared" si="8"/>
        <v>10260100</v>
      </c>
      <c r="V16" s="242">
        <f t="shared" si="8"/>
        <v>76123900</v>
      </c>
      <c r="W16" s="242">
        <f t="shared" si="4"/>
        <v>124937100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 t="shared" si="4"/>
        <v>0</v>
      </c>
      <c r="AR16" s="242">
        <f>SUM(H16:AQ16)</f>
        <v>368522100</v>
      </c>
      <c r="AS16" s="243">
        <f t="shared" si="5"/>
        <v>3.6852210000000002E-3</v>
      </c>
      <c r="AT16" s="244">
        <f t="shared" si="6"/>
        <v>631477900</v>
      </c>
      <c r="AU16" s="243">
        <f t="shared" ref="AU16:AU78" si="9">AT16/F16*100</f>
        <v>63.147790000000001</v>
      </c>
      <c r="AV16" s="220"/>
      <c r="AW16" s="220"/>
      <c r="AX16" s="220" t="s">
        <v>4729</v>
      </c>
      <c r="AY16" s="242">
        <f t="shared" si="7"/>
        <v>0</v>
      </c>
      <c r="AZ16" s="242">
        <f t="shared" si="7"/>
        <v>89962700</v>
      </c>
      <c r="BA16" s="242">
        <f t="shared" si="7"/>
        <v>30802300</v>
      </c>
      <c r="BB16" s="242">
        <f t="shared" si="7"/>
        <v>0</v>
      </c>
      <c r="BC16" s="242">
        <f t="shared" si="7"/>
        <v>1500000</v>
      </c>
      <c r="BD16" s="242">
        <f t="shared" si="7"/>
        <v>8760100</v>
      </c>
      <c r="BE16" s="242">
        <f t="shared" si="7"/>
        <v>76123900</v>
      </c>
      <c r="BF16" s="242">
        <f t="shared" si="7"/>
        <v>0</v>
      </c>
    </row>
    <row r="17" spans="2:58" x14ac:dyDescent="0.3">
      <c r="B17" s="236" t="s">
        <v>48</v>
      </c>
      <c r="C17" s="237" t="s">
        <v>615</v>
      </c>
      <c r="D17" s="237">
        <v>4</v>
      </c>
      <c r="E17" s="237" t="s">
        <v>3596</v>
      </c>
      <c r="F17" s="235">
        <f t="shared" si="8"/>
        <v>1000000000</v>
      </c>
      <c r="G17" s="235">
        <f t="shared" si="8"/>
        <v>1000000000</v>
      </c>
      <c r="H17" s="235">
        <f t="shared" si="4"/>
        <v>0</v>
      </c>
      <c r="I17" s="235">
        <f t="shared" si="4"/>
        <v>0</v>
      </c>
      <c r="J17" s="235">
        <f t="shared" si="4"/>
        <v>0</v>
      </c>
      <c r="K17" s="235">
        <f t="shared" si="4"/>
        <v>0</v>
      </c>
      <c r="L17" s="235">
        <f t="shared" si="4"/>
        <v>0</v>
      </c>
      <c r="M17" s="235">
        <f t="shared" si="4"/>
        <v>0</v>
      </c>
      <c r="N17" s="235">
        <f t="shared" si="4"/>
        <v>0</v>
      </c>
      <c r="O17" s="235">
        <f t="shared" si="4"/>
        <v>30802300</v>
      </c>
      <c r="P17" s="235">
        <f t="shared" si="4"/>
        <v>89962700</v>
      </c>
      <c r="Q17" s="235">
        <f t="shared" si="4"/>
        <v>34256000</v>
      </c>
      <c r="R17" s="235">
        <f t="shared" si="4"/>
        <v>0</v>
      </c>
      <c r="S17" s="235">
        <f t="shared" si="4"/>
        <v>0</v>
      </c>
      <c r="T17" s="235">
        <f t="shared" si="4"/>
        <v>2180000</v>
      </c>
      <c r="U17" s="235">
        <f t="shared" si="4"/>
        <v>10260100</v>
      </c>
      <c r="V17" s="235">
        <f t="shared" si="4"/>
        <v>76123900</v>
      </c>
      <c r="W17" s="235">
        <f t="shared" si="4"/>
        <v>124937100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 t="shared" si="4"/>
        <v>0</v>
      </c>
      <c r="AR17" s="235">
        <f>SUM(H17:AQ17)</f>
        <v>368522100</v>
      </c>
      <c r="AS17" s="238">
        <f t="shared" si="5"/>
        <v>3.6852210000000002E-3</v>
      </c>
      <c r="AT17" s="239">
        <f t="shared" si="6"/>
        <v>631477900</v>
      </c>
      <c r="AU17" s="238">
        <f>AT17/F17*100</f>
        <v>63.147790000000001</v>
      </c>
      <c r="AV17" s="220"/>
      <c r="AW17" s="220"/>
      <c r="AX17" s="220" t="s">
        <v>4729</v>
      </c>
      <c r="AY17" s="235">
        <f t="shared" si="7"/>
        <v>0</v>
      </c>
      <c r="AZ17" s="235">
        <f t="shared" si="7"/>
        <v>89962700</v>
      </c>
      <c r="BA17" s="235">
        <f t="shared" si="7"/>
        <v>30802300</v>
      </c>
      <c r="BB17" s="235">
        <f t="shared" si="7"/>
        <v>0</v>
      </c>
      <c r="BC17" s="235">
        <f t="shared" si="7"/>
        <v>1500000</v>
      </c>
      <c r="BD17" s="235">
        <f t="shared" si="7"/>
        <v>8760100</v>
      </c>
      <c r="BE17" s="235">
        <f t="shared" si="7"/>
        <v>76123900</v>
      </c>
      <c r="BF17" s="235">
        <f t="shared" si="7"/>
        <v>0</v>
      </c>
    </row>
    <row r="18" spans="2:58" x14ac:dyDescent="0.3">
      <c r="B18" s="226" t="s">
        <v>3712</v>
      </c>
      <c r="C18" s="227" t="s">
        <v>49</v>
      </c>
      <c r="D18" s="227">
        <v>4</v>
      </c>
      <c r="E18" s="227" t="s">
        <v>3596</v>
      </c>
      <c r="F18" s="228">
        <f>F19+F28+F32+F53</f>
        <v>1000000000</v>
      </c>
      <c r="G18" s="228">
        <f>G19+G28+G32+G53</f>
        <v>1000000000</v>
      </c>
      <c r="H18" s="228">
        <f t="shared" ref="H18:AQ18" si="10">H19+H28+H32+H53</f>
        <v>0</v>
      </c>
      <c r="I18" s="228">
        <f t="shared" si="10"/>
        <v>0</v>
      </c>
      <c r="J18" s="228">
        <f t="shared" si="10"/>
        <v>0</v>
      </c>
      <c r="K18" s="228">
        <f t="shared" si="10"/>
        <v>0</v>
      </c>
      <c r="L18" s="228">
        <f t="shared" si="10"/>
        <v>0</v>
      </c>
      <c r="M18" s="228">
        <f t="shared" si="10"/>
        <v>0</v>
      </c>
      <c r="N18" s="228">
        <f t="shared" si="10"/>
        <v>0</v>
      </c>
      <c r="O18" s="228">
        <f t="shared" si="10"/>
        <v>30802300</v>
      </c>
      <c r="P18" s="228">
        <f t="shared" si="10"/>
        <v>89962700</v>
      </c>
      <c r="Q18" s="228">
        <f t="shared" si="10"/>
        <v>34256000</v>
      </c>
      <c r="R18" s="228">
        <f t="shared" si="10"/>
        <v>0</v>
      </c>
      <c r="S18" s="228">
        <f t="shared" si="10"/>
        <v>0</v>
      </c>
      <c r="T18" s="228">
        <f t="shared" si="10"/>
        <v>2180000</v>
      </c>
      <c r="U18" s="228">
        <f t="shared" si="10"/>
        <v>10260100</v>
      </c>
      <c r="V18" s="228">
        <f t="shared" si="10"/>
        <v>76123900</v>
      </c>
      <c r="W18" s="228">
        <f t="shared" si="10"/>
        <v>124937100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 t="shared" si="10"/>
        <v>0</v>
      </c>
      <c r="AR18" s="228">
        <f>SUM(H18:AQ18)</f>
        <v>368522100</v>
      </c>
      <c r="AS18" s="229">
        <f t="shared" si="5"/>
        <v>3.6852210000000002E-3</v>
      </c>
      <c r="AT18" s="230">
        <f t="shared" si="6"/>
        <v>631477900</v>
      </c>
      <c r="AU18" s="229">
        <f t="shared" si="9"/>
        <v>63.147790000000001</v>
      </c>
      <c r="AV18" s="220"/>
      <c r="AW18" s="220"/>
      <c r="AX18" s="220" t="s">
        <v>4729</v>
      </c>
      <c r="AY18" s="228">
        <f>AY19+AY28+AY32+AY53</f>
        <v>0</v>
      </c>
      <c r="AZ18" s="228">
        <f>AZ19+AZ28+AZ32+AZ53</f>
        <v>89962700</v>
      </c>
      <c r="BA18" s="228">
        <f>BA19+BA28+BA32+BA53</f>
        <v>30802300</v>
      </c>
      <c r="BB18" s="228">
        <f>BB19+BB28+BB32+BB53</f>
        <v>0</v>
      </c>
      <c r="BC18" s="228">
        <f t="shared" ref="BC18" si="11">BC19+BC28+BC32+BC53</f>
        <v>1500000</v>
      </c>
      <c r="BD18" s="228">
        <f t="shared" ref="BD18:BE18" si="12">BD19+BD28+BD32+BD53</f>
        <v>8760100</v>
      </c>
      <c r="BE18" s="228">
        <f t="shared" si="12"/>
        <v>76123900</v>
      </c>
      <c r="BF18" s="228">
        <f t="shared" ref="BF18" si="13">BF19+BF28+BF32+BF53</f>
        <v>0</v>
      </c>
    </row>
    <row r="19" spans="2:58" x14ac:dyDescent="0.3">
      <c r="B19" s="254" t="s">
        <v>502</v>
      </c>
      <c r="C19" s="255" t="s">
        <v>50</v>
      </c>
      <c r="D19" s="255"/>
      <c r="E19" s="255"/>
      <c r="F19" s="256">
        <f>F20+F24</f>
        <v>124100000</v>
      </c>
      <c r="G19" s="256">
        <f>G20+G24</f>
        <v>124100000</v>
      </c>
      <c r="H19" s="256">
        <f t="shared" ref="H19:AQ19" si="14">H20+H24</f>
        <v>0</v>
      </c>
      <c r="I19" s="256">
        <f t="shared" si="14"/>
        <v>0</v>
      </c>
      <c r="J19" s="256">
        <f t="shared" si="14"/>
        <v>0</v>
      </c>
      <c r="K19" s="256">
        <f t="shared" si="14"/>
        <v>0</v>
      </c>
      <c r="L19" s="256">
        <f t="shared" si="14"/>
        <v>0</v>
      </c>
      <c r="M19" s="256">
        <f t="shared" si="14"/>
        <v>0</v>
      </c>
      <c r="N19" s="256">
        <f t="shared" si="14"/>
        <v>0</v>
      </c>
      <c r="O19" s="256">
        <f t="shared" si="14"/>
        <v>6196000</v>
      </c>
      <c r="P19" s="256">
        <f t="shared" si="14"/>
        <v>28225000</v>
      </c>
      <c r="Q19" s="256">
        <f t="shared" si="14"/>
        <v>11716000</v>
      </c>
      <c r="R19" s="256">
        <f t="shared" si="14"/>
        <v>0</v>
      </c>
      <c r="S19" s="256">
        <f t="shared" si="14"/>
        <v>0</v>
      </c>
      <c r="T19" s="256">
        <f t="shared" si="14"/>
        <v>0</v>
      </c>
      <c r="U19" s="256">
        <f t="shared" si="14"/>
        <v>3406000</v>
      </c>
      <c r="V19" s="256">
        <f t="shared" si="14"/>
        <v>2965000</v>
      </c>
      <c r="W19" s="256">
        <f t="shared" si="14"/>
        <v>3010000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si="14"/>
        <v>0</v>
      </c>
      <c r="AR19" s="256">
        <f t="shared" ref="AR19:AR23" si="15">SUM(H19:AQ19)</f>
        <v>55518000</v>
      </c>
      <c r="AS19" s="257">
        <f t="shared" si="5"/>
        <v>4.4736502820306202E-3</v>
      </c>
      <c r="AT19" s="258">
        <f t="shared" si="6"/>
        <v>68582000</v>
      </c>
      <c r="AU19" s="257">
        <f t="shared" si="9"/>
        <v>55.2634971796938</v>
      </c>
      <c r="AV19" s="220" t="s">
        <v>531</v>
      </c>
      <c r="AW19" s="220" t="s">
        <v>532</v>
      </c>
      <c r="AX19" s="220" t="s">
        <v>4729</v>
      </c>
      <c r="AY19" s="256">
        <f t="shared" ref="AY19:AZ19" si="16">AY20+AY24</f>
        <v>0</v>
      </c>
      <c r="AZ19" s="256">
        <f t="shared" si="16"/>
        <v>28225000</v>
      </c>
      <c r="BA19" s="256">
        <f t="shared" ref="BA19:BB19" si="17">BA20+BA24</f>
        <v>6196000</v>
      </c>
      <c r="BB19" s="256">
        <f t="shared" si="17"/>
        <v>0</v>
      </c>
      <c r="BC19" s="256">
        <f t="shared" ref="BC19" si="18">BC20+BC24</f>
        <v>0</v>
      </c>
      <c r="BD19" s="256">
        <f t="shared" ref="BD19:BE19" si="19">BD20+BD24</f>
        <v>3406000</v>
      </c>
      <c r="BE19" s="256">
        <f t="shared" si="19"/>
        <v>2965000</v>
      </c>
      <c r="BF19" s="256">
        <f t="shared" ref="BF19" si="20">BF20+BF24</f>
        <v>0</v>
      </c>
    </row>
    <row r="20" spans="2:58" x14ac:dyDescent="0.3">
      <c r="B20" s="290" t="s">
        <v>8</v>
      </c>
      <c r="C20" s="222" t="s">
        <v>51</v>
      </c>
      <c r="D20" s="222"/>
      <c r="E20" s="222"/>
      <c r="F20" s="223">
        <f>SUM(F21:F23)</f>
        <v>83135000</v>
      </c>
      <c r="G20" s="223">
        <f>SUM(G21:G23)</f>
        <v>83135000</v>
      </c>
      <c r="H20" s="223">
        <f>SUM(H21:H23)</f>
        <v>0</v>
      </c>
      <c r="I20" s="223">
        <f t="shared" ref="I20:AQ20" si="21">SUM(I21:I23)</f>
        <v>0</v>
      </c>
      <c r="J20" s="223">
        <f t="shared" si="21"/>
        <v>0</v>
      </c>
      <c r="K20" s="223">
        <f t="shared" si="21"/>
        <v>0</v>
      </c>
      <c r="L20" s="223">
        <f t="shared" si="21"/>
        <v>0</v>
      </c>
      <c r="M20" s="223">
        <f t="shared" si="21"/>
        <v>0</v>
      </c>
      <c r="N20" s="223">
        <f t="shared" si="21"/>
        <v>0</v>
      </c>
      <c r="O20" s="223">
        <f t="shared" si="21"/>
        <v>1500000</v>
      </c>
      <c r="P20" s="223">
        <f t="shared" si="21"/>
        <v>12840000</v>
      </c>
      <c r="Q20" s="223">
        <f t="shared" si="21"/>
        <v>11716000</v>
      </c>
      <c r="R20" s="223">
        <f t="shared" si="21"/>
        <v>0</v>
      </c>
      <c r="S20" s="223">
        <f t="shared" si="21"/>
        <v>0</v>
      </c>
      <c r="T20" s="223">
        <f t="shared" si="21"/>
        <v>0</v>
      </c>
      <c r="U20" s="223">
        <f t="shared" si="21"/>
        <v>3406000</v>
      </c>
      <c r="V20" s="223">
        <f t="shared" si="21"/>
        <v>1485000</v>
      </c>
      <c r="W20" s="223">
        <f t="shared" si="21"/>
        <v>3010000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 t="shared" si="21"/>
        <v>0</v>
      </c>
      <c r="AR20" s="223">
        <f>SUM(H20:AQ20)</f>
        <v>33957000</v>
      </c>
      <c r="AS20" s="231">
        <f t="shared" si="5"/>
        <v>4.0845612557887769E-3</v>
      </c>
      <c r="AT20" s="232">
        <f t="shared" si="6"/>
        <v>49178000</v>
      </c>
      <c r="AU20" s="231">
        <f t="shared" si="9"/>
        <v>59.154387442112224</v>
      </c>
      <c r="AV20" s="220" t="s">
        <v>531</v>
      </c>
      <c r="AW20" s="220" t="s">
        <v>532</v>
      </c>
      <c r="AX20" s="220" t="s">
        <v>4729</v>
      </c>
      <c r="AY20" s="223">
        <f>SUM(AY21:AY23)</f>
        <v>0</v>
      </c>
      <c r="AZ20" s="223">
        <f>SUM(AZ21:AZ23)</f>
        <v>12840000</v>
      </c>
      <c r="BA20" s="223">
        <f>SUM(BA21:BA23)</f>
        <v>1500000</v>
      </c>
      <c r="BB20" s="223">
        <f>SUM(BB21:BB23)</f>
        <v>0</v>
      </c>
      <c r="BC20" s="223">
        <f t="shared" ref="BC20" si="22">SUM(BC21:BC23)</f>
        <v>0</v>
      </c>
      <c r="BD20" s="223">
        <f t="shared" ref="BD20:BE20" si="23">SUM(BD21:BD23)</f>
        <v>3406000</v>
      </c>
      <c r="BE20" s="223">
        <f t="shared" si="23"/>
        <v>1485000</v>
      </c>
      <c r="BF20" s="223">
        <f t="shared" ref="BF20" si="24">SUM(BF21:BF23)</f>
        <v>0</v>
      </c>
    </row>
    <row r="21" spans="2:58" x14ac:dyDescent="0.3">
      <c r="B21" s="288">
        <v>521211</v>
      </c>
      <c r="C21" s="220" t="s">
        <v>7</v>
      </c>
      <c r="D21" s="220"/>
      <c r="E21" s="220"/>
      <c r="F21" s="221">
        <v>19875000</v>
      </c>
      <c r="G21" s="221">
        <v>19875000</v>
      </c>
      <c r="H21" s="221"/>
      <c r="I21" s="221"/>
      <c r="J21" s="221"/>
      <c r="K21" s="221"/>
      <c r="L21" s="221"/>
      <c r="M21" s="221"/>
      <c r="N21" s="221"/>
      <c r="O21" s="300">
        <v>1500000</v>
      </c>
      <c r="P21" s="300">
        <v>990000</v>
      </c>
      <c r="Q21" s="221"/>
      <c r="R21" s="221"/>
      <c r="S21" s="221"/>
      <c r="T21" s="221"/>
      <c r="U21" s="221">
        <v>1606000</v>
      </c>
      <c r="V21" s="221">
        <v>1485000</v>
      </c>
      <c r="W21" s="221"/>
      <c r="X21" s="221"/>
      <c r="Y21" s="221"/>
      <c r="Z21" s="221"/>
      <c r="AA21" s="221"/>
      <c r="AB21" s="221"/>
      <c r="AC21" s="221"/>
      <c r="AD21" s="221"/>
      <c r="AE21" s="221"/>
      <c r="AF21" s="221"/>
      <c r="AG21" s="221"/>
      <c r="AH21" s="221"/>
      <c r="AI21" s="221"/>
      <c r="AJ21" s="221"/>
      <c r="AK21" s="221"/>
      <c r="AL21" s="221"/>
      <c r="AM21" s="221"/>
      <c r="AN21" s="221"/>
      <c r="AO21" s="221"/>
      <c r="AP21" s="221"/>
      <c r="AQ21" s="221"/>
      <c r="AR21" s="221">
        <f t="shared" si="15"/>
        <v>5581000</v>
      </c>
      <c r="AS21" s="224">
        <f t="shared" si="5"/>
        <v>2.8080503144654089E-3</v>
      </c>
      <c r="AT21" s="225">
        <f t="shared" si="6"/>
        <v>14294000</v>
      </c>
      <c r="AU21" s="224">
        <f t="shared" si="9"/>
        <v>71.919496855345912</v>
      </c>
      <c r="AV21" s="220" t="s">
        <v>531</v>
      </c>
      <c r="AW21" s="220" t="s">
        <v>532</v>
      </c>
      <c r="AX21" s="220" t="s">
        <v>4729</v>
      </c>
      <c r="AY21" s="221"/>
      <c r="AZ21" s="300">
        <v>990000</v>
      </c>
      <c r="BA21" s="300">
        <v>1500000</v>
      </c>
      <c r="BB21" s="221"/>
      <c r="BC21" s="221"/>
      <c r="BD21" s="221">
        <v>1606000</v>
      </c>
      <c r="BE21" s="221">
        <v>1485000</v>
      </c>
      <c r="BF21" s="221"/>
    </row>
    <row r="22" spans="2:58" x14ac:dyDescent="0.3">
      <c r="B22" s="288">
        <v>522151</v>
      </c>
      <c r="C22" s="220" t="s">
        <v>11</v>
      </c>
      <c r="D22" s="220"/>
      <c r="E22" s="220"/>
      <c r="F22" s="221">
        <v>20000000</v>
      </c>
      <c r="G22" s="221">
        <v>20000000</v>
      </c>
      <c r="H22" s="221"/>
      <c r="I22" s="221"/>
      <c r="J22" s="221"/>
      <c r="K22" s="221"/>
      <c r="L22" s="221"/>
      <c r="M22" s="221"/>
      <c r="N22" s="221"/>
      <c r="O22" s="221"/>
      <c r="P22" s="300">
        <v>900000</v>
      </c>
      <c r="Q22" s="221"/>
      <c r="R22" s="221"/>
      <c r="S22" s="221"/>
      <c r="T22" s="221"/>
      <c r="U22" s="221"/>
      <c r="V22" s="221"/>
      <c r="W22" s="221">
        <v>1200000</v>
      </c>
      <c r="X22" s="221"/>
      <c r="Y22" s="221"/>
      <c r="Z22" s="221"/>
      <c r="AA22" s="221"/>
      <c r="AB22" s="221"/>
      <c r="AC22" s="221"/>
      <c r="AD22" s="221"/>
      <c r="AE22" s="221"/>
      <c r="AF22" s="221"/>
      <c r="AG22" s="221"/>
      <c r="AH22" s="221"/>
      <c r="AI22" s="221"/>
      <c r="AJ22" s="221"/>
      <c r="AK22" s="221"/>
      <c r="AL22" s="221"/>
      <c r="AM22" s="221"/>
      <c r="AN22" s="221"/>
      <c r="AO22" s="221"/>
      <c r="AP22" s="221"/>
      <c r="AQ22" s="221"/>
      <c r="AR22" s="221">
        <f t="shared" si="15"/>
        <v>2100000</v>
      </c>
      <c r="AS22" s="224">
        <f t="shared" si="5"/>
        <v>1.0499999999999999E-3</v>
      </c>
      <c r="AT22" s="225">
        <f t="shared" si="6"/>
        <v>17900000</v>
      </c>
      <c r="AU22" s="224">
        <f t="shared" si="9"/>
        <v>89.5</v>
      </c>
      <c r="AV22" s="220" t="s">
        <v>531</v>
      </c>
      <c r="AW22" s="220" t="s">
        <v>532</v>
      </c>
      <c r="AX22" s="220" t="s">
        <v>4729</v>
      </c>
      <c r="AY22" s="221"/>
      <c r="AZ22" s="300">
        <v>900000</v>
      </c>
      <c r="BA22" s="300"/>
      <c r="BB22" s="221"/>
      <c r="BC22" s="221"/>
      <c r="BD22" s="221"/>
      <c r="BE22" s="221"/>
      <c r="BF22" s="221"/>
    </row>
    <row r="23" spans="2:58" x14ac:dyDescent="0.3">
      <c r="B23" s="288">
        <v>524111</v>
      </c>
      <c r="C23" s="220" t="s">
        <v>19</v>
      </c>
      <c r="D23" s="220"/>
      <c r="E23" s="220"/>
      <c r="F23" s="221">
        <v>43260000</v>
      </c>
      <c r="G23" s="221">
        <v>43260000</v>
      </c>
      <c r="H23" s="221"/>
      <c r="I23" s="221"/>
      <c r="J23" s="221"/>
      <c r="K23" s="221"/>
      <c r="L23" s="221"/>
      <c r="M23" s="221"/>
      <c r="N23" s="221"/>
      <c r="O23" s="221"/>
      <c r="P23" s="300">
        <v>10950000</v>
      </c>
      <c r="Q23" s="221">
        <f>6060000+5656000</f>
        <v>11716000</v>
      </c>
      <c r="R23" s="221"/>
      <c r="S23" s="221"/>
      <c r="T23" s="221"/>
      <c r="U23" s="221">
        <v>1800000</v>
      </c>
      <c r="V23" s="221"/>
      <c r="W23" s="221">
        <v>1810000</v>
      </c>
      <c r="X23" s="221"/>
      <c r="Y23" s="221"/>
      <c r="Z23" s="221"/>
      <c r="AA23" s="221"/>
      <c r="AB23" s="221"/>
      <c r="AC23" s="221"/>
      <c r="AD23" s="221"/>
      <c r="AE23" s="221"/>
      <c r="AF23" s="221"/>
      <c r="AG23" s="221"/>
      <c r="AH23" s="221"/>
      <c r="AI23" s="221"/>
      <c r="AJ23" s="221"/>
      <c r="AK23" s="221"/>
      <c r="AL23" s="221"/>
      <c r="AM23" s="221"/>
      <c r="AN23" s="221"/>
      <c r="AO23" s="221"/>
      <c r="AP23" s="221"/>
      <c r="AQ23" s="221"/>
      <c r="AR23" s="221">
        <f t="shared" si="15"/>
        <v>26276000</v>
      </c>
      <c r="AS23" s="224">
        <f t="shared" si="5"/>
        <v>6.0739713361072593E-3</v>
      </c>
      <c r="AT23" s="225">
        <f t="shared" si="6"/>
        <v>16984000</v>
      </c>
      <c r="AU23" s="224">
        <f t="shared" si="9"/>
        <v>39.260286638927418</v>
      </c>
      <c r="AV23" s="220" t="s">
        <v>531</v>
      </c>
      <c r="AW23" s="220" t="s">
        <v>532</v>
      </c>
      <c r="AX23" s="220" t="s">
        <v>4729</v>
      </c>
      <c r="AY23" s="221"/>
      <c r="AZ23" s="300">
        <v>10950000</v>
      </c>
      <c r="BA23" s="300"/>
      <c r="BB23" s="221"/>
      <c r="BC23" s="221"/>
      <c r="BD23" s="221">
        <v>1800000</v>
      </c>
      <c r="BE23" s="221"/>
      <c r="BF23" s="221"/>
    </row>
    <row r="24" spans="2:58" x14ac:dyDescent="0.3">
      <c r="B24" s="290" t="s">
        <v>511</v>
      </c>
      <c r="C24" s="222" t="s">
        <v>55</v>
      </c>
      <c r="D24" s="222"/>
      <c r="E24" s="222"/>
      <c r="F24" s="223">
        <f>SUM(F25:F27)</f>
        <v>40965000</v>
      </c>
      <c r="G24" s="223">
        <f>SUM(G25:G27)</f>
        <v>40965000</v>
      </c>
      <c r="H24" s="223">
        <f t="shared" ref="H24:AQ24" si="25">SUM(H25:H27)</f>
        <v>0</v>
      </c>
      <c r="I24" s="223">
        <f t="shared" si="25"/>
        <v>0</v>
      </c>
      <c r="J24" s="223">
        <f t="shared" si="25"/>
        <v>0</v>
      </c>
      <c r="K24" s="223">
        <f t="shared" si="25"/>
        <v>0</v>
      </c>
      <c r="L24" s="223">
        <f t="shared" si="25"/>
        <v>0</v>
      </c>
      <c r="M24" s="223">
        <f t="shared" si="25"/>
        <v>0</v>
      </c>
      <c r="N24" s="223">
        <f t="shared" si="25"/>
        <v>0</v>
      </c>
      <c r="O24" s="223">
        <f t="shared" si="25"/>
        <v>4696000</v>
      </c>
      <c r="P24" s="223">
        <f t="shared" si="25"/>
        <v>15385000</v>
      </c>
      <c r="Q24" s="223">
        <f t="shared" si="25"/>
        <v>0</v>
      </c>
      <c r="R24" s="223">
        <f t="shared" si="25"/>
        <v>0</v>
      </c>
      <c r="S24" s="223">
        <f t="shared" si="25"/>
        <v>0</v>
      </c>
      <c r="T24" s="223">
        <f t="shared" si="25"/>
        <v>0</v>
      </c>
      <c r="U24" s="223">
        <f t="shared" si="25"/>
        <v>0</v>
      </c>
      <c r="V24" s="223">
        <f t="shared" si="25"/>
        <v>1480000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 t="shared" si="25"/>
        <v>0</v>
      </c>
      <c r="AR24" s="223">
        <f>SUM(H24:AQ24)</f>
        <v>21561000</v>
      </c>
      <c r="AS24" s="231">
        <f t="shared" si="5"/>
        <v>5.2632735261808859E-3</v>
      </c>
      <c r="AT24" s="232">
        <f t="shared" si="6"/>
        <v>19404000</v>
      </c>
      <c r="AU24" s="231">
        <f t="shared" si="9"/>
        <v>47.367264738191139</v>
      </c>
      <c r="AV24" s="220" t="s">
        <v>531</v>
      </c>
      <c r="AW24" s="220" t="s">
        <v>532</v>
      </c>
      <c r="AX24" s="220" t="s">
        <v>4729</v>
      </c>
      <c r="AY24" s="223">
        <f t="shared" ref="AY24:BB24" si="26">SUM(AY25:AY27)</f>
        <v>0</v>
      </c>
      <c r="AZ24" s="223">
        <f t="shared" si="26"/>
        <v>15385000</v>
      </c>
      <c r="BA24" s="223">
        <f t="shared" si="26"/>
        <v>4696000</v>
      </c>
      <c r="BB24" s="223">
        <f t="shared" si="26"/>
        <v>0</v>
      </c>
      <c r="BC24" s="223">
        <f t="shared" ref="BC24" si="27">SUM(BC25:BC27)</f>
        <v>0</v>
      </c>
      <c r="BD24" s="223">
        <f t="shared" ref="BD24:BE24" si="28">SUM(BD25:BD27)</f>
        <v>0</v>
      </c>
      <c r="BE24" s="223">
        <f t="shared" si="28"/>
        <v>1480000</v>
      </c>
      <c r="BF24" s="223">
        <f t="shared" ref="BF24" si="29">SUM(BF25:BF27)</f>
        <v>0</v>
      </c>
    </row>
    <row r="25" spans="2:58" x14ac:dyDescent="0.3">
      <c r="B25" s="288">
        <v>521211</v>
      </c>
      <c r="C25" s="220" t="s">
        <v>7</v>
      </c>
      <c r="D25" s="220"/>
      <c r="E25" s="220"/>
      <c r="F25" s="221">
        <v>19500000</v>
      </c>
      <c r="G25" s="221">
        <v>19500000</v>
      </c>
      <c r="H25" s="221"/>
      <c r="I25" s="221"/>
      <c r="J25" s="221"/>
      <c r="K25" s="221"/>
      <c r="L25" s="221"/>
      <c r="M25" s="221"/>
      <c r="N25" s="221"/>
      <c r="O25" s="300">
        <v>1036000</v>
      </c>
      <c r="P25" s="300">
        <v>1525000</v>
      </c>
      <c r="Q25" s="221"/>
      <c r="R25" s="221"/>
      <c r="S25" s="221"/>
      <c r="T25" s="221"/>
      <c r="U25" s="221"/>
      <c r="V25" s="221">
        <v>1480000</v>
      </c>
      <c r="W25" s="221"/>
      <c r="X25" s="221"/>
      <c r="Y25" s="221"/>
      <c r="Z25" s="221"/>
      <c r="AA25" s="221"/>
      <c r="AB25" s="221"/>
      <c r="AC25" s="221"/>
      <c r="AD25" s="221"/>
      <c r="AE25" s="221"/>
      <c r="AF25" s="221"/>
      <c r="AG25" s="221"/>
      <c r="AH25" s="221"/>
      <c r="AI25" s="221"/>
      <c r="AJ25" s="221"/>
      <c r="AK25" s="221"/>
      <c r="AL25" s="221"/>
      <c r="AM25" s="221"/>
      <c r="AN25" s="221"/>
      <c r="AO25" s="221"/>
      <c r="AP25" s="221"/>
      <c r="AQ25" s="221"/>
      <c r="AR25" s="221">
        <f t="shared" ref="AR25:AR78" si="30">SUM(H25:AQ25)</f>
        <v>4041000</v>
      </c>
      <c r="AS25" s="224">
        <f t="shared" si="5"/>
        <v>2.0723076923076923E-3</v>
      </c>
      <c r="AT25" s="225">
        <f t="shared" si="6"/>
        <v>15459000</v>
      </c>
      <c r="AU25" s="224">
        <f t="shared" si="9"/>
        <v>79.276923076923083</v>
      </c>
      <c r="AV25" s="220" t="s">
        <v>531</v>
      </c>
      <c r="AW25" s="220" t="s">
        <v>532</v>
      </c>
      <c r="AX25" s="220" t="s">
        <v>4729</v>
      </c>
      <c r="AY25" s="221"/>
      <c r="AZ25" s="300">
        <v>1525000</v>
      </c>
      <c r="BA25" s="300">
        <v>1036000</v>
      </c>
      <c r="BB25" s="221"/>
      <c r="BC25" s="221"/>
      <c r="BD25" s="221"/>
      <c r="BE25" s="221">
        <v>1480000</v>
      </c>
      <c r="BF25" s="221"/>
    </row>
    <row r="26" spans="2:58" x14ac:dyDescent="0.3">
      <c r="B26" s="288">
        <v>522151</v>
      </c>
      <c r="C26" s="220" t="s">
        <v>11</v>
      </c>
      <c r="D26" s="220"/>
      <c r="E26" s="220"/>
      <c r="F26" s="221">
        <v>4000000</v>
      </c>
      <c r="G26" s="221">
        <v>4000000</v>
      </c>
      <c r="H26" s="221"/>
      <c r="I26" s="221"/>
      <c r="J26" s="221"/>
      <c r="K26" s="221"/>
      <c r="L26" s="221"/>
      <c r="M26" s="221"/>
      <c r="N26" s="221"/>
      <c r="O26" s="300"/>
      <c r="P26" s="300">
        <v>900000</v>
      </c>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f t="shared" si="30"/>
        <v>900000</v>
      </c>
      <c r="AS26" s="224">
        <f t="shared" si="5"/>
        <v>2.2500000000000003E-3</v>
      </c>
      <c r="AT26" s="225">
        <f t="shared" si="6"/>
        <v>3100000</v>
      </c>
      <c r="AU26" s="224">
        <f t="shared" si="9"/>
        <v>77.5</v>
      </c>
      <c r="AV26" s="220" t="s">
        <v>531</v>
      </c>
      <c r="AW26" s="220" t="s">
        <v>532</v>
      </c>
      <c r="AX26" s="220" t="s">
        <v>4729</v>
      </c>
      <c r="AY26" s="221"/>
      <c r="AZ26" s="300">
        <v>900000</v>
      </c>
      <c r="BA26" s="300"/>
      <c r="BB26" s="221"/>
      <c r="BC26" s="221"/>
      <c r="BD26" s="221"/>
      <c r="BE26" s="221"/>
      <c r="BF26" s="221"/>
    </row>
    <row r="27" spans="2:58" x14ac:dyDescent="0.3">
      <c r="B27" s="288">
        <v>524111</v>
      </c>
      <c r="C27" s="220" t="s">
        <v>19</v>
      </c>
      <c r="D27" s="220"/>
      <c r="E27" s="220"/>
      <c r="F27" s="221">
        <v>17465000</v>
      </c>
      <c r="G27" s="221">
        <v>17465000</v>
      </c>
      <c r="H27" s="221"/>
      <c r="I27" s="221"/>
      <c r="J27" s="221"/>
      <c r="K27" s="221"/>
      <c r="L27" s="221"/>
      <c r="M27" s="221"/>
      <c r="N27" s="221"/>
      <c r="O27" s="300">
        <v>3660000</v>
      </c>
      <c r="P27" s="300">
        <v>12960000</v>
      </c>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f t="shared" si="30"/>
        <v>16620000</v>
      </c>
      <c r="AS27" s="224">
        <f t="shared" si="5"/>
        <v>9.5161752075579725E-3</v>
      </c>
      <c r="AT27" s="225">
        <f t="shared" si="6"/>
        <v>845000</v>
      </c>
      <c r="AU27" s="224">
        <f t="shared" si="9"/>
        <v>4.8382479244202692</v>
      </c>
      <c r="AV27" s="220" t="s">
        <v>531</v>
      </c>
      <c r="AW27" s="220" t="s">
        <v>532</v>
      </c>
      <c r="AX27" s="220" t="s">
        <v>4729</v>
      </c>
      <c r="AY27" s="221"/>
      <c r="AZ27" s="300">
        <v>12960000</v>
      </c>
      <c r="BA27" s="300">
        <v>3660000</v>
      </c>
      <c r="BB27" s="221"/>
      <c r="BC27" s="221"/>
      <c r="BD27" s="221"/>
      <c r="BE27" s="221"/>
      <c r="BF27" s="221"/>
    </row>
    <row r="28" spans="2:58" x14ac:dyDescent="0.3">
      <c r="B28" s="254" t="s">
        <v>520</v>
      </c>
      <c r="C28" s="255" t="s">
        <v>57</v>
      </c>
      <c r="D28" s="255"/>
      <c r="E28" s="255"/>
      <c r="F28" s="256">
        <f>F29</f>
        <v>54500000</v>
      </c>
      <c r="G28" s="256">
        <f>G29</f>
        <v>54500000</v>
      </c>
      <c r="H28" s="256">
        <f t="shared" ref="H28:AP28" si="31">H29</f>
        <v>0</v>
      </c>
      <c r="I28" s="256">
        <f t="shared" si="31"/>
        <v>0</v>
      </c>
      <c r="J28" s="256">
        <f t="shared" si="31"/>
        <v>0</v>
      </c>
      <c r="K28" s="256">
        <f t="shared" si="31"/>
        <v>0</v>
      </c>
      <c r="L28" s="256">
        <f t="shared" si="31"/>
        <v>0</v>
      </c>
      <c r="M28" s="256">
        <f t="shared" si="31"/>
        <v>0</v>
      </c>
      <c r="N28" s="256">
        <f t="shared" si="31"/>
        <v>0</v>
      </c>
      <c r="O28" s="256">
        <f t="shared" si="31"/>
        <v>2700000</v>
      </c>
      <c r="P28" s="256">
        <f t="shared" si="31"/>
        <v>3540000</v>
      </c>
      <c r="Q28" s="256">
        <f t="shared" si="31"/>
        <v>2840000</v>
      </c>
      <c r="R28" s="256">
        <f t="shared" si="31"/>
        <v>0</v>
      </c>
      <c r="S28" s="256">
        <f t="shared" si="31"/>
        <v>0</v>
      </c>
      <c r="T28" s="256">
        <f t="shared" si="31"/>
        <v>1250000</v>
      </c>
      <c r="U28" s="256">
        <f t="shared" si="31"/>
        <v>4280000</v>
      </c>
      <c r="V28" s="256">
        <f t="shared" si="31"/>
        <v>9244500</v>
      </c>
      <c r="W28" s="256">
        <f t="shared" si="31"/>
        <v>360000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 t="shared" si="31"/>
        <v>0</v>
      </c>
      <c r="AQ28" s="256">
        <f>AQ29</f>
        <v>0</v>
      </c>
      <c r="AR28" s="256">
        <f>SUM(H28:AQ28)</f>
        <v>24214500</v>
      </c>
      <c r="AS28" s="257">
        <f t="shared" si="5"/>
        <v>4.4430275229357793E-3</v>
      </c>
      <c r="AT28" s="258">
        <f>F28-AR28</f>
        <v>30285500</v>
      </c>
      <c r="AU28" s="257">
        <f t="shared" si="9"/>
        <v>55.569724770642203</v>
      </c>
      <c r="AV28" s="220" t="s">
        <v>531</v>
      </c>
      <c r="AW28" s="220" t="s">
        <v>534</v>
      </c>
      <c r="AX28" s="220" t="s">
        <v>4729</v>
      </c>
      <c r="AY28" s="256">
        <f t="shared" ref="AY28:BF28" si="32">AY29</f>
        <v>0</v>
      </c>
      <c r="AZ28" s="256">
        <f t="shared" si="32"/>
        <v>3540000</v>
      </c>
      <c r="BA28" s="256">
        <f t="shared" si="32"/>
        <v>2700000</v>
      </c>
      <c r="BB28" s="256">
        <f t="shared" si="32"/>
        <v>0</v>
      </c>
      <c r="BC28" s="256">
        <f t="shared" si="32"/>
        <v>0</v>
      </c>
      <c r="BD28" s="256">
        <f t="shared" si="32"/>
        <v>4280000</v>
      </c>
      <c r="BE28" s="256">
        <f t="shared" si="32"/>
        <v>9244500</v>
      </c>
      <c r="BF28" s="256">
        <f t="shared" si="32"/>
        <v>0</v>
      </c>
    </row>
    <row r="29" spans="2:58" x14ac:dyDescent="0.3">
      <c r="B29" s="290" t="s">
        <v>8</v>
      </c>
      <c r="C29" s="222" t="s">
        <v>59</v>
      </c>
      <c r="D29" s="222"/>
      <c r="E29" s="222"/>
      <c r="F29" s="223">
        <f>SUM(F30:F31)</f>
        <v>54500000</v>
      </c>
      <c r="G29" s="223">
        <f>SUM(G30:G31)</f>
        <v>54500000</v>
      </c>
      <c r="H29" s="223">
        <f t="shared" ref="H29:AQ29" si="33">SUM(H30:H31)</f>
        <v>0</v>
      </c>
      <c r="I29" s="223">
        <f t="shared" si="33"/>
        <v>0</v>
      </c>
      <c r="J29" s="223">
        <f t="shared" si="33"/>
        <v>0</v>
      </c>
      <c r="K29" s="223">
        <f t="shared" si="33"/>
        <v>0</v>
      </c>
      <c r="L29" s="223">
        <f t="shared" si="33"/>
        <v>0</v>
      </c>
      <c r="M29" s="223">
        <f t="shared" si="33"/>
        <v>0</v>
      </c>
      <c r="N29" s="223">
        <f t="shared" si="33"/>
        <v>0</v>
      </c>
      <c r="O29" s="223">
        <f t="shared" si="33"/>
        <v>2700000</v>
      </c>
      <c r="P29" s="223">
        <f t="shared" si="33"/>
        <v>3540000</v>
      </c>
      <c r="Q29" s="223">
        <f t="shared" si="33"/>
        <v>2840000</v>
      </c>
      <c r="R29" s="223">
        <f t="shared" si="33"/>
        <v>0</v>
      </c>
      <c r="S29" s="223">
        <f t="shared" si="33"/>
        <v>0</v>
      </c>
      <c r="T29" s="223">
        <f t="shared" si="33"/>
        <v>1250000</v>
      </c>
      <c r="U29" s="223">
        <f t="shared" si="33"/>
        <v>4280000</v>
      </c>
      <c r="V29" s="223">
        <f t="shared" si="33"/>
        <v>9244500</v>
      </c>
      <c r="W29" s="223">
        <f t="shared" si="33"/>
        <v>360000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3"/>
        <v>0</v>
      </c>
      <c r="AR29" s="223">
        <f t="shared" si="30"/>
        <v>24214500</v>
      </c>
      <c r="AS29" s="231">
        <f t="shared" si="5"/>
        <v>4.4430275229357793E-3</v>
      </c>
      <c r="AT29" s="232">
        <f t="shared" si="6"/>
        <v>30285500</v>
      </c>
      <c r="AU29" s="231">
        <f t="shared" si="9"/>
        <v>55.569724770642203</v>
      </c>
      <c r="AV29" s="220" t="s">
        <v>531</v>
      </c>
      <c r="AW29" s="220" t="s">
        <v>534</v>
      </c>
      <c r="AX29" s="220" t="s">
        <v>4729</v>
      </c>
      <c r="AY29" s="223">
        <f t="shared" ref="AY29" si="34">SUM(AY30:AY31)</f>
        <v>0</v>
      </c>
      <c r="AZ29" s="223">
        <f t="shared" ref="AZ29:BA29" si="35">SUM(AZ30:AZ31)</f>
        <v>3540000</v>
      </c>
      <c r="BA29" s="223">
        <f t="shared" si="35"/>
        <v>2700000</v>
      </c>
      <c r="BB29" s="223">
        <f t="shared" ref="BB29" si="36">SUM(BB30:BB31)</f>
        <v>0</v>
      </c>
      <c r="BC29" s="223">
        <f t="shared" ref="BC29" si="37">SUM(BC30:BC31)</f>
        <v>0</v>
      </c>
      <c r="BD29" s="223">
        <f t="shared" ref="BD29:BE29" si="38">SUM(BD30:BD31)</f>
        <v>4280000</v>
      </c>
      <c r="BE29" s="223">
        <f t="shared" si="38"/>
        <v>9244500</v>
      </c>
      <c r="BF29" s="223">
        <f t="shared" ref="BF29" si="39">SUM(BF30:BF31)</f>
        <v>0</v>
      </c>
    </row>
    <row r="30" spans="2:58" x14ac:dyDescent="0.3">
      <c r="B30" s="288">
        <v>521211</v>
      </c>
      <c r="C30" s="220" t="s">
        <v>7</v>
      </c>
      <c r="D30" s="220"/>
      <c r="E30" s="220"/>
      <c r="F30" s="221">
        <v>21250000</v>
      </c>
      <c r="G30" s="221">
        <v>21250000</v>
      </c>
      <c r="H30" s="221"/>
      <c r="I30" s="221"/>
      <c r="J30" s="221"/>
      <c r="K30" s="221"/>
      <c r="L30" s="221"/>
      <c r="M30" s="221"/>
      <c r="N30" s="221"/>
      <c r="O30" s="221"/>
      <c r="P30" s="300">
        <v>2460000</v>
      </c>
      <c r="Q30" s="221"/>
      <c r="R30" s="221"/>
      <c r="S30" s="221"/>
      <c r="T30" s="221"/>
      <c r="U30" s="221">
        <v>660000</v>
      </c>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c r="AR30" s="221">
        <f t="shared" si="30"/>
        <v>3120000</v>
      </c>
      <c r="AS30" s="224">
        <f t="shared" si="5"/>
        <v>1.4682352941176471E-3</v>
      </c>
      <c r="AT30" s="225">
        <f>F30-AR30</f>
        <v>18130000</v>
      </c>
      <c r="AU30" s="224">
        <f t="shared" si="9"/>
        <v>85.317647058823525</v>
      </c>
      <c r="AV30" s="220" t="s">
        <v>531</v>
      </c>
      <c r="AW30" s="220" t="s">
        <v>534</v>
      </c>
      <c r="AX30" s="220" t="s">
        <v>4729</v>
      </c>
      <c r="AY30" s="221"/>
      <c r="AZ30" s="300">
        <v>2460000</v>
      </c>
      <c r="BA30" s="300"/>
      <c r="BB30" s="221"/>
      <c r="BC30" s="221"/>
      <c r="BD30" s="221">
        <v>660000</v>
      </c>
      <c r="BE30" s="221"/>
      <c r="BF30" s="221"/>
    </row>
    <row r="31" spans="2:58" x14ac:dyDescent="0.3">
      <c r="B31" s="288">
        <v>524111</v>
      </c>
      <c r="C31" s="220" t="s">
        <v>19</v>
      </c>
      <c r="D31" s="220"/>
      <c r="E31" s="220"/>
      <c r="F31" s="221">
        <v>33250000</v>
      </c>
      <c r="G31" s="221">
        <v>33250000</v>
      </c>
      <c r="H31" s="221"/>
      <c r="I31" s="221"/>
      <c r="J31" s="221"/>
      <c r="K31" s="221"/>
      <c r="L31" s="221"/>
      <c r="M31" s="221"/>
      <c r="N31" s="221"/>
      <c r="O31" s="300">
        <v>2700000</v>
      </c>
      <c r="P31" s="300">
        <v>1080000</v>
      </c>
      <c r="Q31" s="221">
        <f>1800000+1040000</f>
        <v>2840000</v>
      </c>
      <c r="R31" s="221"/>
      <c r="S31" s="221"/>
      <c r="T31" s="221">
        <v>1250000</v>
      </c>
      <c r="U31" s="221">
        <v>3620000</v>
      </c>
      <c r="V31" s="221">
        <v>9244500</v>
      </c>
      <c r="W31" s="221">
        <v>360000</v>
      </c>
      <c r="X31" s="221"/>
      <c r="Y31" s="221"/>
      <c r="Z31" s="221"/>
      <c r="AA31" s="221"/>
      <c r="AB31" s="221"/>
      <c r="AC31" s="221"/>
      <c r="AD31" s="221"/>
      <c r="AE31" s="221"/>
      <c r="AF31" s="221"/>
      <c r="AG31" s="221"/>
      <c r="AH31" s="221"/>
      <c r="AI31" s="221"/>
      <c r="AJ31" s="221"/>
      <c r="AK31" s="221"/>
      <c r="AL31" s="221"/>
      <c r="AM31" s="221"/>
      <c r="AN31" s="221"/>
      <c r="AO31" s="221"/>
      <c r="AP31" s="221"/>
      <c r="AQ31" s="221"/>
      <c r="AR31" s="221">
        <f t="shared" si="30"/>
        <v>21094500</v>
      </c>
      <c r="AS31" s="224">
        <f t="shared" si="5"/>
        <v>6.3442105263157899E-3</v>
      </c>
      <c r="AT31" s="225">
        <f t="shared" si="6"/>
        <v>12155500</v>
      </c>
      <c r="AU31" s="224">
        <f t="shared" si="9"/>
        <v>36.557894736842108</v>
      </c>
      <c r="AV31" s="220" t="s">
        <v>531</v>
      </c>
      <c r="AW31" s="220" t="s">
        <v>534</v>
      </c>
      <c r="AX31" s="220" t="s">
        <v>4729</v>
      </c>
      <c r="AY31" s="221"/>
      <c r="AZ31" s="300">
        <v>1080000</v>
      </c>
      <c r="BA31" s="300">
        <v>2700000</v>
      </c>
      <c r="BB31" s="221"/>
      <c r="BC31" s="221"/>
      <c r="BD31" s="221">
        <v>3620000</v>
      </c>
      <c r="BE31" s="221">
        <v>9244500</v>
      </c>
      <c r="BF31" s="221"/>
    </row>
    <row r="32" spans="2:58" x14ac:dyDescent="0.3">
      <c r="B32" s="254" t="s">
        <v>523</v>
      </c>
      <c r="C32" s="255" t="s">
        <v>61</v>
      </c>
      <c r="D32" s="255"/>
      <c r="E32" s="255"/>
      <c r="F32" s="256">
        <f>F33+F41+F48</f>
        <v>686300000</v>
      </c>
      <c r="G32" s="256">
        <f>G33+G41+G48</f>
        <v>686300000</v>
      </c>
      <c r="H32" s="256">
        <f t="shared" ref="H32:AQ32" si="40">H33+H41+H48</f>
        <v>0</v>
      </c>
      <c r="I32" s="256">
        <f t="shared" si="40"/>
        <v>0</v>
      </c>
      <c r="J32" s="256">
        <f t="shared" si="40"/>
        <v>0</v>
      </c>
      <c r="K32" s="256">
        <f t="shared" si="40"/>
        <v>0</v>
      </c>
      <c r="L32" s="256">
        <f t="shared" si="40"/>
        <v>0</v>
      </c>
      <c r="M32" s="256">
        <f t="shared" si="40"/>
        <v>0</v>
      </c>
      <c r="N32" s="256">
        <f t="shared" si="40"/>
        <v>0</v>
      </c>
      <c r="O32" s="256">
        <f t="shared" si="40"/>
        <v>7572800</v>
      </c>
      <c r="P32" s="256">
        <f t="shared" si="40"/>
        <v>35690450</v>
      </c>
      <c r="Q32" s="256">
        <f t="shared" si="40"/>
        <v>6180000</v>
      </c>
      <c r="R32" s="256">
        <f t="shared" si="40"/>
        <v>0</v>
      </c>
      <c r="S32" s="256">
        <f t="shared" si="40"/>
        <v>0</v>
      </c>
      <c r="T32" s="256">
        <f t="shared" si="40"/>
        <v>930000</v>
      </c>
      <c r="U32" s="256">
        <f t="shared" si="40"/>
        <v>1074100</v>
      </c>
      <c r="V32" s="256">
        <f t="shared" si="40"/>
        <v>63914400</v>
      </c>
      <c r="W32" s="256">
        <f t="shared" si="40"/>
        <v>98818490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 t="shared" si="40"/>
        <v>0</v>
      </c>
      <c r="AR32" s="256">
        <f>SUM(H32:AQ32)</f>
        <v>214180240</v>
      </c>
      <c r="AS32" s="257">
        <f t="shared" si="5"/>
        <v>3.1207961532857351E-3</v>
      </c>
      <c r="AT32" s="258">
        <f t="shared" si="6"/>
        <v>472119760</v>
      </c>
      <c r="AU32" s="257">
        <f t="shared" si="9"/>
        <v>68.792038467142646</v>
      </c>
      <c r="AV32" s="220" t="s">
        <v>535</v>
      </c>
      <c r="AW32" s="220" t="s">
        <v>536</v>
      </c>
      <c r="AX32" s="220" t="s">
        <v>4729</v>
      </c>
      <c r="AY32" s="256">
        <f t="shared" ref="AY32" si="41">AY33+AY41+AY48</f>
        <v>0</v>
      </c>
      <c r="AZ32" s="256">
        <f t="shared" ref="AZ32:BA32" si="42">AZ33+AZ41+AZ48</f>
        <v>35690450</v>
      </c>
      <c r="BA32" s="256">
        <f t="shared" si="42"/>
        <v>7572800</v>
      </c>
      <c r="BB32" s="256">
        <f t="shared" ref="BB32" si="43">BB33+BB41+BB48</f>
        <v>0</v>
      </c>
      <c r="BC32" s="256">
        <f t="shared" ref="BC32" si="44">BC33+BC41+BC48</f>
        <v>0</v>
      </c>
      <c r="BD32" s="256">
        <f t="shared" ref="BD32:BE32" si="45">BD33+BD41+BD48</f>
        <v>1074100</v>
      </c>
      <c r="BE32" s="256">
        <f t="shared" si="45"/>
        <v>63914400</v>
      </c>
      <c r="BF32" s="256">
        <f t="shared" ref="BF32" si="46">BF33+BF41+BF48</f>
        <v>0</v>
      </c>
    </row>
    <row r="33" spans="2:58" x14ac:dyDescent="0.3">
      <c r="B33" s="290" t="s">
        <v>8</v>
      </c>
      <c r="C33" s="222" t="s">
        <v>62</v>
      </c>
      <c r="D33" s="222"/>
      <c r="E33" s="222"/>
      <c r="F33" s="223">
        <f>SUM(F34:F40)</f>
        <v>386924000</v>
      </c>
      <c r="G33" s="223">
        <f>SUM(G34:G40)</f>
        <v>386924000</v>
      </c>
      <c r="H33" s="223">
        <f t="shared" ref="H33:AQ33" si="47">SUM(H34:H40)</f>
        <v>0</v>
      </c>
      <c r="I33" s="223">
        <f t="shared" si="47"/>
        <v>0</v>
      </c>
      <c r="J33" s="223">
        <f t="shared" si="47"/>
        <v>0</v>
      </c>
      <c r="K33" s="223">
        <f t="shared" si="47"/>
        <v>0</v>
      </c>
      <c r="L33" s="223">
        <f t="shared" si="47"/>
        <v>0</v>
      </c>
      <c r="M33" s="223">
        <f t="shared" si="47"/>
        <v>0</v>
      </c>
      <c r="N33" s="223">
        <f t="shared" si="47"/>
        <v>0</v>
      </c>
      <c r="O33" s="223">
        <f t="shared" si="47"/>
        <v>7572800</v>
      </c>
      <c r="P33" s="223">
        <f t="shared" si="47"/>
        <v>16947450</v>
      </c>
      <c r="Q33" s="223">
        <f t="shared" si="47"/>
        <v>6180000</v>
      </c>
      <c r="R33" s="223">
        <f t="shared" si="47"/>
        <v>0</v>
      </c>
      <c r="S33" s="223">
        <f t="shared" si="47"/>
        <v>0</v>
      </c>
      <c r="T33" s="223">
        <f t="shared" si="47"/>
        <v>930000</v>
      </c>
      <c r="U33" s="223">
        <f t="shared" si="47"/>
        <v>771250</v>
      </c>
      <c r="V33" s="223">
        <f t="shared" si="47"/>
        <v>3813500</v>
      </c>
      <c r="W33" s="223">
        <f t="shared" si="47"/>
        <v>22708650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47"/>
        <v>0</v>
      </c>
      <c r="AR33" s="223">
        <f t="shared" si="30"/>
        <v>58923650</v>
      </c>
      <c r="AS33" s="231">
        <f t="shared" si="5"/>
        <v>1.5228740010958225E-3</v>
      </c>
      <c r="AT33" s="232">
        <f t="shared" si="6"/>
        <v>328000350</v>
      </c>
      <c r="AU33" s="231">
        <f t="shared" si="9"/>
        <v>84.771259989041781</v>
      </c>
      <c r="AV33" s="220" t="s">
        <v>535</v>
      </c>
      <c r="AW33" s="220" t="s">
        <v>536</v>
      </c>
      <c r="AX33" s="220" t="s">
        <v>4729</v>
      </c>
      <c r="AY33" s="223">
        <f t="shared" ref="AY33" si="48">SUM(AY34:AY40)</f>
        <v>0</v>
      </c>
      <c r="AZ33" s="223">
        <f t="shared" ref="AZ33:BA33" si="49">SUM(AZ34:AZ40)</f>
        <v>16947450</v>
      </c>
      <c r="BA33" s="223">
        <f t="shared" si="49"/>
        <v>7572800</v>
      </c>
      <c r="BB33" s="223">
        <f t="shared" ref="BB33" si="50">SUM(BB34:BB40)</f>
        <v>0</v>
      </c>
      <c r="BC33" s="223">
        <f t="shared" ref="BC33" si="51">SUM(BC34:BC40)</f>
        <v>0</v>
      </c>
      <c r="BD33" s="223">
        <f t="shared" ref="BD33:BE33" si="52">SUM(BD34:BD40)</f>
        <v>771250</v>
      </c>
      <c r="BE33" s="223">
        <f t="shared" si="52"/>
        <v>3813500</v>
      </c>
      <c r="BF33" s="223">
        <f t="shared" ref="BF33" si="53">SUM(BF34:BF40)</f>
        <v>0</v>
      </c>
    </row>
    <row r="34" spans="2:58" x14ac:dyDescent="0.3">
      <c r="B34" s="288">
        <v>521211</v>
      </c>
      <c r="C34" s="220" t="s">
        <v>7</v>
      </c>
      <c r="D34" s="220"/>
      <c r="E34" s="220"/>
      <c r="F34" s="221">
        <v>64900000</v>
      </c>
      <c r="G34" s="221">
        <v>64900000</v>
      </c>
      <c r="H34" s="221"/>
      <c r="I34" s="221"/>
      <c r="J34" s="221"/>
      <c r="K34" s="221"/>
      <c r="L34" s="221"/>
      <c r="M34" s="221"/>
      <c r="N34" s="221"/>
      <c r="O34" s="300">
        <v>1461500</v>
      </c>
      <c r="P34" s="300">
        <v>2871000</v>
      </c>
      <c r="Q34" s="221"/>
      <c r="R34" s="221"/>
      <c r="S34" s="221"/>
      <c r="T34" s="221"/>
      <c r="U34" s="221">
        <v>440000</v>
      </c>
      <c r="V34" s="221">
        <v>1422500</v>
      </c>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f t="shared" si="30"/>
        <v>6195000</v>
      </c>
      <c r="AS34" s="224">
        <f t="shared" si="5"/>
        <v>9.5454545454545456E-4</v>
      </c>
      <c r="AT34" s="225">
        <f>F34-AR34</f>
        <v>58705000</v>
      </c>
      <c r="AU34" s="224">
        <f t="shared" si="9"/>
        <v>90.454545454545453</v>
      </c>
      <c r="AV34" s="220" t="s">
        <v>535</v>
      </c>
      <c r="AW34" s="220" t="s">
        <v>536</v>
      </c>
      <c r="AX34" s="220" t="s">
        <v>4729</v>
      </c>
      <c r="AY34" s="221"/>
      <c r="AZ34" s="300">
        <v>2871000</v>
      </c>
      <c r="BA34" s="300">
        <v>1461500</v>
      </c>
      <c r="BB34" s="221"/>
      <c r="BC34" s="221"/>
      <c r="BD34" s="221">
        <v>440000</v>
      </c>
      <c r="BE34" s="221">
        <v>1422500</v>
      </c>
      <c r="BF34" s="221"/>
    </row>
    <row r="35" spans="2:58" x14ac:dyDescent="0.3">
      <c r="B35" s="288">
        <v>521219</v>
      </c>
      <c r="C35" s="220" t="s">
        <v>53</v>
      </c>
      <c r="D35" s="220"/>
      <c r="E35" s="220"/>
      <c r="F35" s="221">
        <v>6000000</v>
      </c>
      <c r="G35" s="221">
        <v>6000000</v>
      </c>
      <c r="H35" s="221"/>
      <c r="I35" s="221"/>
      <c r="J35" s="221"/>
      <c r="K35" s="221"/>
      <c r="L35" s="221"/>
      <c r="M35" s="221"/>
      <c r="N35" s="221"/>
      <c r="O35" s="300">
        <v>331300</v>
      </c>
      <c r="P35" s="300">
        <v>300450</v>
      </c>
      <c r="Q35" s="221"/>
      <c r="R35" s="221"/>
      <c r="S35" s="221"/>
      <c r="T35" s="221"/>
      <c r="U35" s="221">
        <v>331250</v>
      </c>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f t="shared" si="30"/>
        <v>963000</v>
      </c>
      <c r="AS35" s="224">
        <f t="shared" si="5"/>
        <v>1.6050000000000001E-3</v>
      </c>
      <c r="AT35" s="225">
        <f t="shared" si="6"/>
        <v>5037000</v>
      </c>
      <c r="AU35" s="224">
        <f t="shared" si="9"/>
        <v>83.95</v>
      </c>
      <c r="AV35" s="220" t="s">
        <v>535</v>
      </c>
      <c r="AW35" s="220" t="s">
        <v>536</v>
      </c>
      <c r="AX35" s="220" t="s">
        <v>4729</v>
      </c>
      <c r="AY35" s="221"/>
      <c r="AZ35" s="300">
        <v>300450</v>
      </c>
      <c r="BA35" s="300">
        <v>331300</v>
      </c>
      <c r="BB35" s="221"/>
      <c r="BC35" s="221"/>
      <c r="BD35" s="221">
        <v>331250</v>
      </c>
      <c r="BE35" s="221"/>
      <c r="BF35" s="221"/>
    </row>
    <row r="36" spans="2:58" x14ac:dyDescent="0.3">
      <c r="B36" s="288">
        <v>521811</v>
      </c>
      <c r="C36" s="220" t="s">
        <v>64</v>
      </c>
      <c r="D36" s="220"/>
      <c r="E36" s="220"/>
      <c r="F36" s="221">
        <v>30000000</v>
      </c>
      <c r="G36" s="221">
        <v>30000000</v>
      </c>
      <c r="H36" s="221"/>
      <c r="I36" s="221"/>
      <c r="J36" s="221"/>
      <c r="K36" s="221"/>
      <c r="L36" s="221"/>
      <c r="M36" s="221"/>
      <c r="N36" s="221"/>
      <c r="O36" s="300">
        <v>2300000</v>
      </c>
      <c r="P36" s="300">
        <v>4846000</v>
      </c>
      <c r="Q36" s="221"/>
      <c r="R36" s="221"/>
      <c r="S36" s="221"/>
      <c r="T36" s="221"/>
      <c r="U36" s="221"/>
      <c r="V36" s="221">
        <v>2391000</v>
      </c>
      <c r="W36" s="221"/>
      <c r="X36" s="221"/>
      <c r="Y36" s="221"/>
      <c r="Z36" s="221"/>
      <c r="AA36" s="221"/>
      <c r="AB36" s="221"/>
      <c r="AC36" s="221"/>
      <c r="AD36" s="221"/>
      <c r="AE36" s="221"/>
      <c r="AF36" s="221"/>
      <c r="AG36" s="221"/>
      <c r="AH36" s="221"/>
      <c r="AI36" s="221"/>
      <c r="AJ36" s="221"/>
      <c r="AK36" s="221"/>
      <c r="AL36" s="221"/>
      <c r="AM36" s="221"/>
      <c r="AN36" s="221"/>
      <c r="AO36" s="221"/>
      <c r="AP36" s="221"/>
      <c r="AQ36" s="221"/>
      <c r="AR36" s="221">
        <f t="shared" si="30"/>
        <v>9537000</v>
      </c>
      <c r="AS36" s="224">
        <f t="shared" si="5"/>
        <v>3.179E-3</v>
      </c>
      <c r="AT36" s="225">
        <f t="shared" si="6"/>
        <v>20463000</v>
      </c>
      <c r="AU36" s="224">
        <f t="shared" si="9"/>
        <v>68.210000000000008</v>
      </c>
      <c r="AV36" s="220" t="s">
        <v>535</v>
      </c>
      <c r="AW36" s="220" t="s">
        <v>536</v>
      </c>
      <c r="AX36" s="220" t="s">
        <v>4729</v>
      </c>
      <c r="AY36" s="221"/>
      <c r="AZ36" s="300">
        <v>4846000</v>
      </c>
      <c r="BA36" s="300">
        <v>2300000</v>
      </c>
      <c r="BB36" s="221"/>
      <c r="BC36" s="221"/>
      <c r="BD36" s="221"/>
      <c r="BE36" s="221">
        <v>2391000</v>
      </c>
      <c r="BF36" s="221"/>
    </row>
    <row r="37" spans="2:58" x14ac:dyDescent="0.3">
      <c r="B37" s="289">
        <v>522151</v>
      </c>
      <c r="C37" s="220" t="s">
        <v>11</v>
      </c>
      <c r="D37" s="220"/>
      <c r="E37" s="220"/>
      <c r="F37" s="221">
        <v>25200000</v>
      </c>
      <c r="G37" s="221">
        <v>25200000</v>
      </c>
      <c r="H37" s="221"/>
      <c r="I37" s="221"/>
      <c r="J37" s="221"/>
      <c r="K37" s="221"/>
      <c r="L37" s="221"/>
      <c r="M37" s="221"/>
      <c r="N37" s="221"/>
      <c r="O37" s="221"/>
      <c r="P37" s="300">
        <v>1800000</v>
      </c>
      <c r="Q37" s="221"/>
      <c r="R37" s="221"/>
      <c r="S37" s="221"/>
      <c r="T37" s="221"/>
      <c r="U37" s="221"/>
      <c r="V37" s="221"/>
      <c r="W37" s="221">
        <v>7200000</v>
      </c>
      <c r="X37" s="221"/>
      <c r="Y37" s="221"/>
      <c r="Z37" s="221"/>
      <c r="AA37" s="221"/>
      <c r="AB37" s="221"/>
      <c r="AC37" s="221"/>
      <c r="AD37" s="221"/>
      <c r="AE37" s="221"/>
      <c r="AF37" s="221"/>
      <c r="AG37" s="221"/>
      <c r="AH37" s="221"/>
      <c r="AI37" s="221"/>
      <c r="AJ37" s="221"/>
      <c r="AK37" s="221"/>
      <c r="AL37" s="221"/>
      <c r="AM37" s="221"/>
      <c r="AN37" s="221"/>
      <c r="AO37" s="221"/>
      <c r="AP37" s="221"/>
      <c r="AQ37" s="221"/>
      <c r="AR37" s="221">
        <f t="shared" si="30"/>
        <v>9000000</v>
      </c>
      <c r="AS37" s="224">
        <f t="shared" si="5"/>
        <v>3.5714285714285713E-3</v>
      </c>
      <c r="AT37" s="225">
        <f t="shared" si="6"/>
        <v>16200000</v>
      </c>
      <c r="AU37" s="224">
        <f t="shared" si="9"/>
        <v>64.285714285714292</v>
      </c>
      <c r="AV37" s="220" t="s">
        <v>535</v>
      </c>
      <c r="AW37" s="220" t="s">
        <v>536</v>
      </c>
      <c r="AX37" s="220" t="s">
        <v>4729</v>
      </c>
      <c r="AY37" s="221"/>
      <c r="AZ37" s="300">
        <v>1800000</v>
      </c>
      <c r="BA37" s="300"/>
      <c r="BB37" s="221"/>
      <c r="BC37" s="221"/>
      <c r="BD37" s="221"/>
      <c r="BE37" s="221"/>
      <c r="BF37" s="221"/>
    </row>
    <row r="38" spans="2:58" x14ac:dyDescent="0.3">
      <c r="B38" s="288">
        <v>522192</v>
      </c>
      <c r="C38" s="220" t="s">
        <v>24</v>
      </c>
      <c r="D38" s="220"/>
      <c r="E38" s="220"/>
      <c r="F38" s="221">
        <v>6000000</v>
      </c>
      <c r="G38" s="221">
        <v>6000000</v>
      </c>
      <c r="H38" s="221"/>
      <c r="I38" s="221"/>
      <c r="J38" s="221"/>
      <c r="K38" s="221"/>
      <c r="L38" s="221"/>
      <c r="M38" s="221"/>
      <c r="N38" s="221"/>
      <c r="O38" s="221"/>
      <c r="P38" s="300"/>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f t="shared" si="30"/>
        <v>0</v>
      </c>
      <c r="AS38" s="224">
        <f t="shared" si="5"/>
        <v>0</v>
      </c>
      <c r="AT38" s="225">
        <f t="shared" si="6"/>
        <v>6000000</v>
      </c>
      <c r="AU38" s="224">
        <f t="shared" si="9"/>
        <v>100</v>
      </c>
      <c r="AV38" s="220" t="s">
        <v>535</v>
      </c>
      <c r="AW38" s="220" t="s">
        <v>536</v>
      </c>
      <c r="AX38" s="220" t="s">
        <v>4729</v>
      </c>
      <c r="AY38" s="221"/>
      <c r="AZ38" s="300"/>
      <c r="BA38" s="300"/>
      <c r="BB38" s="221"/>
      <c r="BC38" s="221"/>
      <c r="BD38" s="221"/>
      <c r="BE38" s="221"/>
      <c r="BF38" s="221"/>
    </row>
    <row r="39" spans="2:58" x14ac:dyDescent="0.3">
      <c r="B39" s="288">
        <v>524111</v>
      </c>
      <c r="C39" s="220" t="s">
        <v>19</v>
      </c>
      <c r="D39" s="220"/>
      <c r="E39" s="220"/>
      <c r="F39" s="221">
        <v>253324000</v>
      </c>
      <c r="G39" s="221">
        <v>253324000</v>
      </c>
      <c r="H39" s="221"/>
      <c r="I39" s="221"/>
      <c r="J39" s="221"/>
      <c r="K39" s="221"/>
      <c r="L39" s="221"/>
      <c r="M39" s="221"/>
      <c r="N39" s="221"/>
      <c r="O39" s="300">
        <v>3480000</v>
      </c>
      <c r="P39" s="300">
        <v>7130000</v>
      </c>
      <c r="Q39" s="221">
        <v>6180000</v>
      </c>
      <c r="R39" s="221"/>
      <c r="S39" s="221"/>
      <c r="T39" s="221">
        <v>930000</v>
      </c>
      <c r="U39" s="221"/>
      <c r="V39" s="221"/>
      <c r="W39" s="221">
        <v>15508650</v>
      </c>
      <c r="X39" s="221"/>
      <c r="Y39" s="221"/>
      <c r="Z39" s="221"/>
      <c r="AA39" s="221"/>
      <c r="AB39" s="221"/>
      <c r="AC39" s="221"/>
      <c r="AD39" s="221"/>
      <c r="AE39" s="221"/>
      <c r="AF39" s="221"/>
      <c r="AG39" s="221"/>
      <c r="AH39" s="221"/>
      <c r="AI39" s="221"/>
      <c r="AJ39" s="221"/>
      <c r="AK39" s="221"/>
      <c r="AL39" s="221"/>
      <c r="AM39" s="221"/>
      <c r="AN39" s="221"/>
      <c r="AO39" s="221"/>
      <c r="AP39" s="221"/>
      <c r="AQ39" s="221"/>
      <c r="AR39" s="221">
        <f t="shared" si="30"/>
        <v>33228650</v>
      </c>
      <c r="AS39" s="224">
        <f t="shared" si="5"/>
        <v>1.3117055628365257E-3</v>
      </c>
      <c r="AT39" s="225">
        <f>F39-AR39</f>
        <v>220095350</v>
      </c>
      <c r="AU39" s="224">
        <f t="shared" si="9"/>
        <v>86.882944371634736</v>
      </c>
      <c r="AV39" s="220" t="s">
        <v>535</v>
      </c>
      <c r="AW39" s="220" t="s">
        <v>536</v>
      </c>
      <c r="AX39" s="220" t="s">
        <v>4729</v>
      </c>
      <c r="AY39" s="221"/>
      <c r="AZ39" s="300">
        <v>7130000</v>
      </c>
      <c r="BA39" s="300">
        <v>3480000</v>
      </c>
      <c r="BB39" s="221"/>
      <c r="BC39" s="221"/>
      <c r="BD39" s="221"/>
      <c r="BE39" s="221"/>
      <c r="BF39" s="221"/>
    </row>
    <row r="40" spans="2:58" x14ac:dyDescent="0.3">
      <c r="B40" s="288">
        <v>524113</v>
      </c>
      <c r="C40" s="220" t="s">
        <v>13</v>
      </c>
      <c r="D40" s="220"/>
      <c r="E40" s="220"/>
      <c r="F40" s="221">
        <v>1500000</v>
      </c>
      <c r="G40" s="221">
        <v>1500000</v>
      </c>
      <c r="H40" s="221"/>
      <c r="I40" s="221"/>
      <c r="J40" s="221"/>
      <c r="K40" s="221"/>
      <c r="L40" s="221"/>
      <c r="M40" s="221"/>
      <c r="N40" s="221"/>
      <c r="O40" s="221"/>
      <c r="P40" s="300"/>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f t="shared" si="30"/>
        <v>0</v>
      </c>
      <c r="AS40" s="224">
        <f t="shared" si="5"/>
        <v>0</v>
      </c>
      <c r="AT40" s="225">
        <f t="shared" si="6"/>
        <v>1500000</v>
      </c>
      <c r="AU40" s="224">
        <f t="shared" si="9"/>
        <v>100</v>
      </c>
      <c r="AV40" s="220" t="s">
        <v>535</v>
      </c>
      <c r="AW40" s="220" t="s">
        <v>536</v>
      </c>
      <c r="AX40" s="220" t="s">
        <v>4729</v>
      </c>
      <c r="AY40" s="221"/>
      <c r="AZ40" s="300"/>
      <c r="BA40" s="300"/>
      <c r="BB40" s="221"/>
      <c r="BC40" s="221"/>
      <c r="BD40" s="221"/>
      <c r="BE40" s="221"/>
      <c r="BF40" s="221"/>
    </row>
    <row r="41" spans="2:58" x14ac:dyDescent="0.3">
      <c r="B41" s="290" t="s">
        <v>511</v>
      </c>
      <c r="C41" s="222" t="s">
        <v>65</v>
      </c>
      <c r="D41" s="222"/>
      <c r="E41" s="222"/>
      <c r="F41" s="223">
        <f>SUM(F42:F47)</f>
        <v>247816000</v>
      </c>
      <c r="G41" s="223">
        <f>SUM(G42:G47)</f>
        <v>247816000</v>
      </c>
      <c r="H41" s="223">
        <f t="shared" ref="H41:AQ41" si="54">SUM(H42:H47)</f>
        <v>0</v>
      </c>
      <c r="I41" s="223">
        <f t="shared" si="54"/>
        <v>0</v>
      </c>
      <c r="J41" s="223">
        <f t="shared" si="54"/>
        <v>0</v>
      </c>
      <c r="K41" s="223">
        <f t="shared" si="54"/>
        <v>0</v>
      </c>
      <c r="L41" s="223">
        <f t="shared" si="54"/>
        <v>0</v>
      </c>
      <c r="M41" s="223">
        <f t="shared" si="54"/>
        <v>0</v>
      </c>
      <c r="N41" s="223">
        <f t="shared" si="54"/>
        <v>0</v>
      </c>
      <c r="O41" s="223">
        <f t="shared" si="54"/>
        <v>0</v>
      </c>
      <c r="P41" s="223">
        <f t="shared" si="54"/>
        <v>18743000</v>
      </c>
      <c r="Q41" s="223">
        <f t="shared" si="54"/>
        <v>0</v>
      </c>
      <c r="R41" s="223">
        <f t="shared" si="54"/>
        <v>0</v>
      </c>
      <c r="S41" s="223">
        <f t="shared" si="54"/>
        <v>0</v>
      </c>
      <c r="T41" s="223">
        <f t="shared" si="54"/>
        <v>0</v>
      </c>
      <c r="U41" s="223">
        <f t="shared" si="54"/>
        <v>302850</v>
      </c>
      <c r="V41" s="223">
        <f t="shared" si="54"/>
        <v>60100900</v>
      </c>
      <c r="W41" s="223">
        <f t="shared" si="54"/>
        <v>76109840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 t="shared" si="54"/>
        <v>0</v>
      </c>
      <c r="AR41" s="223">
        <f>SUM(H41:AQ41)</f>
        <v>155256590</v>
      </c>
      <c r="AS41" s="231">
        <f t="shared" si="5"/>
        <v>6.2649945927623716E-3</v>
      </c>
      <c r="AT41" s="232">
        <f t="shared" si="6"/>
        <v>92559410</v>
      </c>
      <c r="AU41" s="231">
        <f t="shared" si="9"/>
        <v>37.350054072376281</v>
      </c>
      <c r="AV41" s="220" t="s">
        <v>535</v>
      </c>
      <c r="AW41" s="220" t="s">
        <v>536</v>
      </c>
      <c r="AX41" s="220" t="s">
        <v>4729</v>
      </c>
      <c r="AY41" s="223">
        <f t="shared" ref="AY41:BB41" si="55">SUM(AY42:AY47)</f>
        <v>0</v>
      </c>
      <c r="AZ41" s="223">
        <f t="shared" si="55"/>
        <v>18743000</v>
      </c>
      <c r="BA41" s="223">
        <f t="shared" si="55"/>
        <v>0</v>
      </c>
      <c r="BB41" s="223">
        <f t="shared" si="55"/>
        <v>0</v>
      </c>
      <c r="BC41" s="223">
        <f t="shared" ref="BC41" si="56">SUM(BC42:BC47)</f>
        <v>0</v>
      </c>
      <c r="BD41" s="223">
        <f t="shared" ref="BD41:BE41" si="57">SUM(BD42:BD47)</f>
        <v>302850</v>
      </c>
      <c r="BE41" s="223">
        <f t="shared" si="57"/>
        <v>60100900</v>
      </c>
      <c r="BF41" s="223">
        <f t="shared" ref="BF41" si="58">SUM(BF42:BF47)</f>
        <v>0</v>
      </c>
    </row>
    <row r="42" spans="2:58" x14ac:dyDescent="0.3">
      <c r="B42" s="288">
        <v>521211</v>
      </c>
      <c r="C42" s="220" t="s">
        <v>7</v>
      </c>
      <c r="D42" s="220"/>
      <c r="E42" s="220"/>
      <c r="F42" s="221">
        <v>71456000</v>
      </c>
      <c r="G42" s="221">
        <v>71456000</v>
      </c>
      <c r="H42" s="221"/>
      <c r="I42" s="221"/>
      <c r="J42" s="221"/>
      <c r="K42" s="221"/>
      <c r="L42" s="221"/>
      <c r="M42" s="221"/>
      <c r="N42" s="221"/>
      <c r="O42" s="221"/>
      <c r="P42" s="221"/>
      <c r="Q42" s="221"/>
      <c r="R42" s="221"/>
      <c r="S42" s="221"/>
      <c r="T42" s="221"/>
      <c r="U42" s="221"/>
      <c r="V42" s="221">
        <v>10438550</v>
      </c>
      <c r="W42" s="221"/>
      <c r="X42" s="221"/>
      <c r="Y42" s="221"/>
      <c r="Z42" s="221"/>
      <c r="AA42" s="221"/>
      <c r="AB42" s="221"/>
      <c r="AC42" s="221"/>
      <c r="AD42" s="221"/>
      <c r="AE42" s="221"/>
      <c r="AF42" s="221"/>
      <c r="AG42" s="221"/>
      <c r="AH42" s="221"/>
      <c r="AI42" s="221"/>
      <c r="AJ42" s="221"/>
      <c r="AK42" s="221"/>
      <c r="AL42" s="221"/>
      <c r="AM42" s="221"/>
      <c r="AN42" s="221"/>
      <c r="AO42" s="221"/>
      <c r="AP42" s="221"/>
      <c r="AQ42" s="221"/>
      <c r="AR42" s="221">
        <f t="shared" si="30"/>
        <v>10438550</v>
      </c>
      <c r="AS42" s="224">
        <f t="shared" si="5"/>
        <v>1.4608360389610389E-3</v>
      </c>
      <c r="AT42" s="225">
        <f t="shared" si="6"/>
        <v>61017450</v>
      </c>
      <c r="AU42" s="224">
        <f t="shared" si="9"/>
        <v>85.391639610389618</v>
      </c>
      <c r="AV42" s="220" t="s">
        <v>535</v>
      </c>
      <c r="AW42" s="220" t="s">
        <v>536</v>
      </c>
      <c r="AX42" s="220" t="s">
        <v>4729</v>
      </c>
      <c r="AY42" s="221"/>
      <c r="AZ42" s="300"/>
      <c r="BA42" s="300"/>
      <c r="BB42" s="221"/>
      <c r="BC42" s="221"/>
      <c r="BD42" s="221"/>
      <c r="BE42" s="221">
        <v>10438550</v>
      </c>
      <c r="BF42" s="221"/>
    </row>
    <row r="43" spans="2:58" x14ac:dyDescent="0.3">
      <c r="B43" s="288">
        <v>521219</v>
      </c>
      <c r="C43" s="220" t="s">
        <v>53</v>
      </c>
      <c r="D43" s="220"/>
      <c r="E43" s="220"/>
      <c r="F43" s="221">
        <v>5000000</v>
      </c>
      <c r="G43" s="221">
        <v>5000000</v>
      </c>
      <c r="H43" s="221"/>
      <c r="I43" s="221"/>
      <c r="J43" s="221"/>
      <c r="K43" s="221"/>
      <c r="L43" s="221"/>
      <c r="M43" s="221"/>
      <c r="N43" s="221"/>
      <c r="O43" s="221"/>
      <c r="P43" s="221"/>
      <c r="Q43" s="221"/>
      <c r="R43" s="221"/>
      <c r="S43" s="221"/>
      <c r="T43" s="221"/>
      <c r="U43" s="221">
        <v>302850</v>
      </c>
      <c r="V43" s="221">
        <v>3960000</v>
      </c>
      <c r="W43" s="221"/>
      <c r="X43" s="221"/>
      <c r="Y43" s="221"/>
      <c r="Z43" s="221"/>
      <c r="AA43" s="221"/>
      <c r="AB43" s="221"/>
      <c r="AC43" s="221"/>
      <c r="AD43" s="221"/>
      <c r="AE43" s="221"/>
      <c r="AF43" s="221"/>
      <c r="AG43" s="221"/>
      <c r="AH43" s="221"/>
      <c r="AI43" s="221"/>
      <c r="AJ43" s="221"/>
      <c r="AK43" s="221"/>
      <c r="AL43" s="221"/>
      <c r="AM43" s="221"/>
      <c r="AN43" s="221"/>
      <c r="AO43" s="221"/>
      <c r="AP43" s="221"/>
      <c r="AQ43" s="221"/>
      <c r="AR43" s="221">
        <f t="shared" si="30"/>
        <v>4262850</v>
      </c>
      <c r="AS43" s="224">
        <f t="shared" si="5"/>
        <v>8.5257000000000006E-3</v>
      </c>
      <c r="AT43" s="225">
        <f t="shared" si="6"/>
        <v>737150</v>
      </c>
      <c r="AU43" s="224">
        <f t="shared" si="9"/>
        <v>14.743</v>
      </c>
      <c r="AV43" s="220" t="s">
        <v>535</v>
      </c>
      <c r="AW43" s="220" t="s">
        <v>536</v>
      </c>
      <c r="AX43" s="220" t="s">
        <v>4729</v>
      </c>
      <c r="AY43" s="221"/>
      <c r="AZ43" s="300"/>
      <c r="BA43" s="300"/>
      <c r="BB43" s="221"/>
      <c r="BC43" s="221"/>
      <c r="BD43" s="221">
        <v>302850</v>
      </c>
      <c r="BE43" s="221">
        <v>3960000</v>
      </c>
      <c r="BF43" s="221"/>
    </row>
    <row r="44" spans="2:58" x14ac:dyDescent="0.3">
      <c r="B44" s="288">
        <v>521811</v>
      </c>
      <c r="C44" s="220" t="s">
        <v>64</v>
      </c>
      <c r="D44" s="220"/>
      <c r="E44" s="220"/>
      <c r="F44" s="221">
        <v>15000000</v>
      </c>
      <c r="G44" s="221">
        <v>15000000</v>
      </c>
      <c r="H44" s="221"/>
      <c r="I44" s="221"/>
      <c r="J44" s="221"/>
      <c r="K44" s="221"/>
      <c r="L44" s="221"/>
      <c r="M44" s="221"/>
      <c r="N44" s="221"/>
      <c r="O44" s="221"/>
      <c r="P44" s="221"/>
      <c r="Q44" s="221"/>
      <c r="R44" s="221"/>
      <c r="S44" s="221"/>
      <c r="T44" s="221"/>
      <c r="U44" s="221"/>
      <c r="V44" s="221">
        <v>2453500</v>
      </c>
      <c r="W44" s="221"/>
      <c r="X44" s="221"/>
      <c r="Y44" s="221"/>
      <c r="Z44" s="221"/>
      <c r="AA44" s="221"/>
      <c r="AB44" s="221"/>
      <c r="AC44" s="221"/>
      <c r="AD44" s="221"/>
      <c r="AE44" s="221"/>
      <c r="AF44" s="221"/>
      <c r="AG44" s="221"/>
      <c r="AH44" s="221"/>
      <c r="AI44" s="221"/>
      <c r="AJ44" s="221"/>
      <c r="AK44" s="221"/>
      <c r="AL44" s="221"/>
      <c r="AM44" s="221"/>
      <c r="AN44" s="221"/>
      <c r="AO44" s="221"/>
      <c r="AP44" s="221"/>
      <c r="AQ44" s="221"/>
      <c r="AR44" s="221">
        <f t="shared" si="30"/>
        <v>2453500</v>
      </c>
      <c r="AS44" s="224">
        <f t="shared" si="5"/>
        <v>1.6356666666666666E-3</v>
      </c>
      <c r="AT44" s="225">
        <f t="shared" si="6"/>
        <v>12546500</v>
      </c>
      <c r="AU44" s="224">
        <f t="shared" si="9"/>
        <v>83.643333333333331</v>
      </c>
      <c r="AV44" s="220" t="s">
        <v>535</v>
      </c>
      <c r="AW44" s="220" t="s">
        <v>536</v>
      </c>
      <c r="AX44" s="220" t="s">
        <v>4729</v>
      </c>
      <c r="AY44" s="221"/>
      <c r="AZ44" s="300"/>
      <c r="BA44" s="300"/>
      <c r="BB44" s="221"/>
      <c r="BC44" s="221"/>
      <c r="BD44" s="221"/>
      <c r="BE44" s="221">
        <v>2453500</v>
      </c>
      <c r="BF44" s="221"/>
    </row>
    <row r="45" spans="2:58" x14ac:dyDescent="0.3">
      <c r="B45" s="288">
        <v>522151</v>
      </c>
      <c r="C45" s="220" t="s">
        <v>11</v>
      </c>
      <c r="D45" s="220"/>
      <c r="E45" s="220"/>
      <c r="F45" s="221">
        <v>16200000</v>
      </c>
      <c r="G45" s="221">
        <v>16200000</v>
      </c>
      <c r="H45" s="221"/>
      <c r="I45" s="221"/>
      <c r="J45" s="221"/>
      <c r="K45" s="221"/>
      <c r="L45" s="221"/>
      <c r="M45" s="221"/>
      <c r="N45" s="221"/>
      <c r="O45" s="221"/>
      <c r="P45" s="221"/>
      <c r="Q45" s="221"/>
      <c r="R45" s="221"/>
      <c r="S45" s="221"/>
      <c r="T45" s="221"/>
      <c r="U45" s="221"/>
      <c r="V45" s="221">
        <v>6300000</v>
      </c>
      <c r="W45" s="221"/>
      <c r="X45" s="221"/>
      <c r="Y45" s="221"/>
      <c r="Z45" s="221"/>
      <c r="AA45" s="221"/>
      <c r="AB45" s="221"/>
      <c r="AC45" s="221"/>
      <c r="AD45" s="221"/>
      <c r="AE45" s="221"/>
      <c r="AF45" s="221"/>
      <c r="AG45" s="221"/>
      <c r="AH45" s="221"/>
      <c r="AI45" s="221"/>
      <c r="AJ45" s="221"/>
      <c r="AK45" s="221"/>
      <c r="AL45" s="221"/>
      <c r="AM45" s="221"/>
      <c r="AN45" s="221"/>
      <c r="AO45" s="221"/>
      <c r="AP45" s="221"/>
      <c r="AQ45" s="221"/>
      <c r="AR45" s="221">
        <f t="shared" si="30"/>
        <v>6300000</v>
      </c>
      <c r="AS45" s="224">
        <f t="shared" si="5"/>
        <v>3.8888888888888888E-3</v>
      </c>
      <c r="AT45" s="225">
        <f t="shared" si="6"/>
        <v>9900000</v>
      </c>
      <c r="AU45" s="224">
        <f t="shared" si="9"/>
        <v>61.111111111111114</v>
      </c>
      <c r="AV45" s="220" t="s">
        <v>535</v>
      </c>
      <c r="AW45" s="220" t="s">
        <v>536</v>
      </c>
      <c r="AX45" s="220" t="s">
        <v>4729</v>
      </c>
      <c r="AY45" s="221"/>
      <c r="AZ45" s="300"/>
      <c r="BA45" s="300"/>
      <c r="BB45" s="221"/>
      <c r="BC45" s="221"/>
      <c r="BD45" s="221"/>
      <c r="BE45" s="221">
        <v>6300000</v>
      </c>
      <c r="BF45" s="221"/>
    </row>
    <row r="46" spans="2:58" x14ac:dyDescent="0.3">
      <c r="B46" s="288">
        <v>522192</v>
      </c>
      <c r="C46" s="220" t="s">
        <v>24</v>
      </c>
      <c r="D46" s="220"/>
      <c r="E46" s="220"/>
      <c r="F46" s="221">
        <v>2000000</v>
      </c>
      <c r="G46" s="221">
        <v>2000000</v>
      </c>
      <c r="H46" s="221"/>
      <c r="I46" s="221"/>
      <c r="J46" s="221"/>
      <c r="K46" s="221"/>
      <c r="L46" s="221"/>
      <c r="M46" s="221"/>
      <c r="N46" s="221"/>
      <c r="O46" s="221"/>
      <c r="P46" s="300">
        <v>365000</v>
      </c>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f t="shared" si="30"/>
        <v>365000</v>
      </c>
      <c r="AS46" s="224">
        <f t="shared" si="5"/>
        <v>1.825E-3</v>
      </c>
      <c r="AT46" s="225">
        <f t="shared" si="6"/>
        <v>1635000</v>
      </c>
      <c r="AU46" s="224">
        <f t="shared" si="9"/>
        <v>81.75</v>
      </c>
      <c r="AV46" s="220" t="s">
        <v>535</v>
      </c>
      <c r="AW46" s="220" t="s">
        <v>536</v>
      </c>
      <c r="AX46" s="220" t="s">
        <v>4729</v>
      </c>
      <c r="AY46" s="221"/>
      <c r="AZ46" s="300">
        <v>365000</v>
      </c>
      <c r="BA46" s="300"/>
      <c r="BB46" s="221"/>
      <c r="BC46" s="221"/>
      <c r="BD46" s="221"/>
      <c r="BE46" s="221"/>
      <c r="BF46" s="221"/>
    </row>
    <row r="47" spans="2:58" x14ac:dyDescent="0.3">
      <c r="B47" s="288">
        <v>524111</v>
      </c>
      <c r="C47" s="220" t="s">
        <v>19</v>
      </c>
      <c r="D47" s="220"/>
      <c r="E47" s="220"/>
      <c r="F47" s="221">
        <v>138160000</v>
      </c>
      <c r="G47" s="221">
        <v>138160000</v>
      </c>
      <c r="H47" s="221"/>
      <c r="I47" s="221"/>
      <c r="J47" s="221"/>
      <c r="K47" s="221"/>
      <c r="L47" s="221"/>
      <c r="M47" s="221"/>
      <c r="N47" s="221"/>
      <c r="O47" s="221"/>
      <c r="P47" s="300">
        <v>18378000</v>
      </c>
      <c r="Q47" s="221"/>
      <c r="R47" s="221"/>
      <c r="S47" s="221"/>
      <c r="T47" s="221"/>
      <c r="U47" s="221"/>
      <c r="V47" s="221">
        <v>36948850</v>
      </c>
      <c r="W47" s="221">
        <f>27294800+48815040</f>
        <v>76109840</v>
      </c>
      <c r="X47" s="221"/>
      <c r="Y47" s="221"/>
      <c r="Z47" s="221"/>
      <c r="AA47" s="221"/>
      <c r="AB47" s="221"/>
      <c r="AC47" s="221"/>
      <c r="AD47" s="221"/>
      <c r="AE47" s="221"/>
      <c r="AF47" s="221"/>
      <c r="AG47" s="221"/>
      <c r="AH47" s="221"/>
      <c r="AI47" s="221"/>
      <c r="AJ47" s="221"/>
      <c r="AK47" s="221"/>
      <c r="AL47" s="221"/>
      <c r="AM47" s="221"/>
      <c r="AN47" s="221"/>
      <c r="AO47" s="221"/>
      <c r="AP47" s="221"/>
      <c r="AQ47" s="221"/>
      <c r="AR47" s="221">
        <f t="shared" si="30"/>
        <v>131436690</v>
      </c>
      <c r="AS47" s="224">
        <f t="shared" ref="AS47:AS78" si="59">AR47/F47/100</f>
        <v>9.5133678343949039E-3</v>
      </c>
      <c r="AT47" s="225">
        <f t="shared" si="6"/>
        <v>6723310</v>
      </c>
      <c r="AU47" s="224">
        <f t="shared" si="9"/>
        <v>4.866321656050955</v>
      </c>
      <c r="AV47" s="220" t="s">
        <v>535</v>
      </c>
      <c r="AW47" s="220" t="s">
        <v>536</v>
      </c>
      <c r="AX47" s="220" t="s">
        <v>4729</v>
      </c>
      <c r="AY47" s="221"/>
      <c r="AZ47" s="300">
        <v>18378000</v>
      </c>
      <c r="BA47" s="300"/>
      <c r="BB47" s="221"/>
      <c r="BC47" s="221"/>
      <c r="BD47" s="221"/>
      <c r="BE47" s="221">
        <v>36948850</v>
      </c>
      <c r="BF47" s="221"/>
    </row>
    <row r="48" spans="2:58" x14ac:dyDescent="0.3">
      <c r="B48" s="290" t="s">
        <v>512</v>
      </c>
      <c r="C48" s="222" t="s">
        <v>795</v>
      </c>
      <c r="D48" s="222"/>
      <c r="E48" s="222"/>
      <c r="F48" s="223">
        <f>SUM(F49:F52)</f>
        <v>51560000</v>
      </c>
      <c r="G48" s="223">
        <f>SUM(G49:G52)</f>
        <v>51560000</v>
      </c>
      <c r="H48" s="223">
        <f t="shared" ref="H48:AP48" si="60">SUM(H49:H52)</f>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 t="shared" si="60"/>
        <v>0</v>
      </c>
      <c r="AQ48" s="223">
        <f>SUM(AQ49:AQ52)</f>
        <v>0</v>
      </c>
      <c r="AR48" s="223">
        <f>SUM(H48:AQ48)</f>
        <v>0</v>
      </c>
      <c r="AS48" s="231">
        <f t="shared" si="59"/>
        <v>0</v>
      </c>
      <c r="AT48" s="232">
        <f t="shared" ref="AT48" si="61">F48-AR48</f>
        <v>51560000</v>
      </c>
      <c r="AU48" s="231">
        <f t="shared" ref="AU48" si="62">AT48/F48*100</f>
        <v>100</v>
      </c>
      <c r="AV48" s="220" t="s">
        <v>535</v>
      </c>
      <c r="AW48" s="220" t="s">
        <v>536</v>
      </c>
      <c r="AX48" s="220" t="s">
        <v>4729</v>
      </c>
      <c r="AY48" s="223">
        <f t="shared" ref="AY48:BB48" si="63">SUM(AY49:AY52)</f>
        <v>0</v>
      </c>
      <c r="AZ48" s="223">
        <f t="shared" si="63"/>
        <v>0</v>
      </c>
      <c r="BA48" s="223">
        <f t="shared" si="63"/>
        <v>0</v>
      </c>
      <c r="BB48" s="223">
        <f t="shared" si="63"/>
        <v>0</v>
      </c>
      <c r="BC48" s="223">
        <f t="shared" ref="BC48" si="64">SUM(BC49:BC52)</f>
        <v>0</v>
      </c>
      <c r="BD48" s="223">
        <f t="shared" ref="BD48:BE48" si="65">SUM(BD49:BD52)</f>
        <v>0</v>
      </c>
      <c r="BE48" s="223">
        <f t="shared" si="65"/>
        <v>0</v>
      </c>
      <c r="BF48" s="223">
        <f t="shared" ref="BF48" si="66">SUM(BF49:BF52)</f>
        <v>0</v>
      </c>
    </row>
    <row r="49" spans="2:58" x14ac:dyDescent="0.3">
      <c r="B49" s="288">
        <v>521211</v>
      </c>
      <c r="C49" s="220" t="s">
        <v>7</v>
      </c>
      <c r="D49" s="220"/>
      <c r="E49" s="220"/>
      <c r="F49" s="221">
        <v>20830000</v>
      </c>
      <c r="G49" s="221">
        <v>20830000</v>
      </c>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f t="shared" si="30"/>
        <v>0</v>
      </c>
      <c r="AS49" s="224">
        <f t="shared" si="59"/>
        <v>0</v>
      </c>
      <c r="AT49" s="225">
        <f t="shared" si="6"/>
        <v>20830000</v>
      </c>
      <c r="AU49" s="224">
        <f t="shared" si="9"/>
        <v>100</v>
      </c>
      <c r="AV49" s="220" t="s">
        <v>535</v>
      </c>
      <c r="AW49" s="220" t="s">
        <v>536</v>
      </c>
      <c r="AX49" s="220" t="s">
        <v>4729</v>
      </c>
      <c r="AY49" s="221"/>
      <c r="AZ49" s="300"/>
      <c r="BA49" s="300"/>
      <c r="BB49" s="221"/>
      <c r="BC49" s="221"/>
      <c r="BD49" s="221"/>
      <c r="BE49" s="221"/>
      <c r="BF49" s="221"/>
    </row>
    <row r="50" spans="2:58" x14ac:dyDescent="0.3">
      <c r="B50" s="288">
        <v>521219</v>
      </c>
      <c r="C50" s="220" t="s">
        <v>53</v>
      </c>
      <c r="D50" s="220"/>
      <c r="E50" s="220"/>
      <c r="F50" s="221">
        <v>500000</v>
      </c>
      <c r="G50" s="221">
        <v>500000</v>
      </c>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f t="shared" si="30"/>
        <v>0</v>
      </c>
      <c r="AS50" s="224">
        <f t="shared" si="59"/>
        <v>0</v>
      </c>
      <c r="AT50" s="225">
        <f t="shared" si="6"/>
        <v>500000</v>
      </c>
      <c r="AU50" s="224">
        <f t="shared" si="9"/>
        <v>100</v>
      </c>
      <c r="AV50" s="220" t="s">
        <v>535</v>
      </c>
      <c r="AW50" s="220" t="s">
        <v>536</v>
      </c>
      <c r="AX50" s="220" t="s">
        <v>4729</v>
      </c>
      <c r="AY50" s="221"/>
      <c r="AZ50" s="300"/>
      <c r="BA50" s="300"/>
      <c r="BB50" s="221"/>
      <c r="BC50" s="221"/>
      <c r="BD50" s="221"/>
      <c r="BE50" s="221"/>
      <c r="BF50" s="221"/>
    </row>
    <row r="51" spans="2:58" x14ac:dyDescent="0.3">
      <c r="B51" s="288">
        <v>522151</v>
      </c>
      <c r="C51" s="220" t="s">
        <v>11</v>
      </c>
      <c r="D51" s="220"/>
      <c r="E51" s="220"/>
      <c r="F51" s="221">
        <v>7200000</v>
      </c>
      <c r="G51" s="221">
        <v>7200000</v>
      </c>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f t="shared" si="30"/>
        <v>0</v>
      </c>
      <c r="AS51" s="224">
        <f t="shared" si="59"/>
        <v>0</v>
      </c>
      <c r="AT51" s="225">
        <f t="shared" si="6"/>
        <v>7200000</v>
      </c>
      <c r="AU51" s="224">
        <f t="shared" si="9"/>
        <v>100</v>
      </c>
      <c r="AV51" s="220" t="s">
        <v>535</v>
      </c>
      <c r="AW51" s="220" t="s">
        <v>536</v>
      </c>
      <c r="AX51" s="220" t="s">
        <v>4729</v>
      </c>
      <c r="AY51" s="221"/>
      <c r="AZ51" s="300"/>
      <c r="BA51" s="300"/>
      <c r="BB51" s="221"/>
      <c r="BC51" s="221"/>
      <c r="BD51" s="221"/>
      <c r="BE51" s="221"/>
      <c r="BF51" s="221"/>
    </row>
    <row r="52" spans="2:58" x14ac:dyDescent="0.3">
      <c r="B52" s="288">
        <v>524111</v>
      </c>
      <c r="C52" s="220" t="s">
        <v>19</v>
      </c>
      <c r="D52" s="220"/>
      <c r="E52" s="220"/>
      <c r="F52" s="221">
        <v>23030000</v>
      </c>
      <c r="G52" s="221">
        <v>23030000</v>
      </c>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f t="shared" si="30"/>
        <v>0</v>
      </c>
      <c r="AS52" s="224">
        <f t="shared" si="59"/>
        <v>0</v>
      </c>
      <c r="AT52" s="225">
        <f t="shared" si="6"/>
        <v>23030000</v>
      </c>
      <c r="AU52" s="224">
        <f t="shared" si="9"/>
        <v>100</v>
      </c>
      <c r="AV52" s="220" t="s">
        <v>535</v>
      </c>
      <c r="AW52" s="220" t="s">
        <v>536</v>
      </c>
      <c r="AX52" s="220" t="s">
        <v>4729</v>
      </c>
      <c r="AY52" s="221"/>
      <c r="AZ52" s="300"/>
      <c r="BA52" s="300"/>
      <c r="BB52" s="221"/>
      <c r="BC52" s="221"/>
      <c r="BD52" s="221"/>
      <c r="BE52" s="221"/>
      <c r="BF52" s="221"/>
    </row>
    <row r="53" spans="2:58" x14ac:dyDescent="0.3">
      <c r="B53" s="254" t="s">
        <v>526</v>
      </c>
      <c r="C53" s="255" t="s">
        <v>67</v>
      </c>
      <c r="D53" s="255"/>
      <c r="E53" s="255"/>
      <c r="F53" s="256">
        <f>F54</f>
        <v>135100000</v>
      </c>
      <c r="G53" s="256">
        <f>G54</f>
        <v>135100000</v>
      </c>
      <c r="H53" s="256">
        <f t="shared" ref="H53:AQ53" si="67">H54</f>
        <v>0</v>
      </c>
      <c r="I53" s="256">
        <f t="shared" si="67"/>
        <v>0</v>
      </c>
      <c r="J53" s="256">
        <f t="shared" si="67"/>
        <v>0</v>
      </c>
      <c r="K53" s="256">
        <f t="shared" si="67"/>
        <v>0</v>
      </c>
      <c r="L53" s="256">
        <f t="shared" si="67"/>
        <v>0</v>
      </c>
      <c r="M53" s="256">
        <f t="shared" si="67"/>
        <v>0</v>
      </c>
      <c r="N53" s="256">
        <f t="shared" si="67"/>
        <v>0</v>
      </c>
      <c r="O53" s="256">
        <f t="shared" si="67"/>
        <v>14333500</v>
      </c>
      <c r="P53" s="256">
        <f t="shared" si="67"/>
        <v>22507250</v>
      </c>
      <c r="Q53" s="256">
        <f t="shared" si="67"/>
        <v>13520000</v>
      </c>
      <c r="R53" s="256">
        <f t="shared" si="67"/>
        <v>0</v>
      </c>
      <c r="S53" s="256">
        <f t="shared" si="67"/>
        <v>0</v>
      </c>
      <c r="T53" s="256">
        <f t="shared" si="67"/>
        <v>0</v>
      </c>
      <c r="U53" s="256">
        <f t="shared" si="67"/>
        <v>1500000</v>
      </c>
      <c r="V53" s="256">
        <f t="shared" si="67"/>
        <v>0</v>
      </c>
      <c r="W53" s="256">
        <f t="shared" si="67"/>
        <v>22748610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 t="shared" si="67"/>
        <v>0</v>
      </c>
      <c r="AR53" s="256">
        <f>SUM(H53:AQ53)</f>
        <v>74609360</v>
      </c>
      <c r="AS53" s="257">
        <f t="shared" si="59"/>
        <v>5.5225284974093269E-3</v>
      </c>
      <c r="AT53" s="258">
        <f t="shared" si="6"/>
        <v>60490640</v>
      </c>
      <c r="AU53" s="257">
        <f t="shared" si="9"/>
        <v>44.774715025906737</v>
      </c>
      <c r="AV53" s="220" t="s">
        <v>535</v>
      </c>
      <c r="AW53" s="220" t="s">
        <v>538</v>
      </c>
      <c r="AX53" s="220" t="s">
        <v>4729</v>
      </c>
      <c r="AY53" s="256">
        <f t="shared" ref="AY53:BF53" si="68">AY54</f>
        <v>0</v>
      </c>
      <c r="AZ53" s="256">
        <f t="shared" si="68"/>
        <v>22507250</v>
      </c>
      <c r="BA53" s="256">
        <f t="shared" si="68"/>
        <v>14333500</v>
      </c>
      <c r="BB53" s="256">
        <f t="shared" si="68"/>
        <v>0</v>
      </c>
      <c r="BC53" s="256">
        <f t="shared" si="68"/>
        <v>1500000</v>
      </c>
      <c r="BD53" s="256">
        <f t="shared" si="68"/>
        <v>0</v>
      </c>
      <c r="BE53" s="256">
        <f t="shared" si="68"/>
        <v>0</v>
      </c>
      <c r="BF53" s="256">
        <f t="shared" si="68"/>
        <v>0</v>
      </c>
    </row>
    <row r="54" spans="2:58" x14ac:dyDescent="0.3">
      <c r="B54" s="290" t="s">
        <v>8</v>
      </c>
      <c r="C54" s="222" t="s">
        <v>68</v>
      </c>
      <c r="D54" s="222"/>
      <c r="E54" s="222"/>
      <c r="F54" s="223">
        <f>SUM(F55:F59)</f>
        <v>135100000</v>
      </c>
      <c r="G54" s="223">
        <f>SUM(G55:G59)</f>
        <v>135100000</v>
      </c>
      <c r="H54" s="223">
        <f t="shared" ref="H54:AQ54" si="69">SUM(H55:H59)</f>
        <v>0</v>
      </c>
      <c r="I54" s="223">
        <f t="shared" si="69"/>
        <v>0</v>
      </c>
      <c r="J54" s="223">
        <f t="shared" si="69"/>
        <v>0</v>
      </c>
      <c r="K54" s="223">
        <f t="shared" si="69"/>
        <v>0</v>
      </c>
      <c r="L54" s="223">
        <f t="shared" si="69"/>
        <v>0</v>
      </c>
      <c r="M54" s="223">
        <f t="shared" si="69"/>
        <v>0</v>
      </c>
      <c r="N54" s="223">
        <f t="shared" si="69"/>
        <v>0</v>
      </c>
      <c r="O54" s="223">
        <f t="shared" si="69"/>
        <v>14333500</v>
      </c>
      <c r="P54" s="223">
        <f t="shared" si="69"/>
        <v>22507250</v>
      </c>
      <c r="Q54" s="223">
        <f t="shared" si="69"/>
        <v>13520000</v>
      </c>
      <c r="R54" s="223">
        <f t="shared" si="69"/>
        <v>0</v>
      </c>
      <c r="S54" s="223">
        <f t="shared" si="69"/>
        <v>0</v>
      </c>
      <c r="T54" s="223">
        <f t="shared" si="69"/>
        <v>0</v>
      </c>
      <c r="U54" s="223">
        <f t="shared" si="69"/>
        <v>1500000</v>
      </c>
      <c r="V54" s="223">
        <f t="shared" si="69"/>
        <v>0</v>
      </c>
      <c r="W54" s="223">
        <f t="shared" si="69"/>
        <v>22748610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 t="shared" si="69"/>
        <v>0</v>
      </c>
      <c r="AR54" s="223">
        <f>SUM(H54:AQ54)</f>
        <v>74609360</v>
      </c>
      <c r="AS54" s="231">
        <f t="shared" si="59"/>
        <v>5.5225284974093269E-3</v>
      </c>
      <c r="AT54" s="232">
        <f t="shared" si="6"/>
        <v>60490640</v>
      </c>
      <c r="AU54" s="231">
        <f t="shared" si="9"/>
        <v>44.774715025906737</v>
      </c>
      <c r="AV54" s="220" t="s">
        <v>535</v>
      </c>
      <c r="AW54" s="220" t="s">
        <v>538</v>
      </c>
      <c r="AX54" s="220" t="s">
        <v>4729</v>
      </c>
      <c r="AY54" s="223">
        <f t="shared" ref="AY54" si="70">SUM(AY55:AY59)</f>
        <v>0</v>
      </c>
      <c r="AZ54" s="223">
        <f t="shared" ref="AZ54:BA54" si="71">SUM(AZ55:AZ59)</f>
        <v>22507250</v>
      </c>
      <c r="BA54" s="223">
        <f t="shared" si="71"/>
        <v>14333500</v>
      </c>
      <c r="BB54" s="223">
        <f t="shared" ref="BB54" si="72">SUM(BB55:BB59)</f>
        <v>0</v>
      </c>
      <c r="BC54" s="223">
        <f t="shared" ref="BC54" si="73">SUM(BC55:BC59)</f>
        <v>1500000</v>
      </c>
      <c r="BD54" s="223">
        <f t="shared" ref="BD54:BE54" si="74">SUM(BD55:BD59)</f>
        <v>0</v>
      </c>
      <c r="BE54" s="223">
        <f t="shared" si="74"/>
        <v>0</v>
      </c>
      <c r="BF54" s="223">
        <f t="shared" ref="BF54" si="75">SUM(BF55:BF59)</f>
        <v>0</v>
      </c>
    </row>
    <row r="55" spans="2:58" x14ac:dyDescent="0.3">
      <c r="B55" s="288">
        <v>521211</v>
      </c>
      <c r="C55" s="220" t="s">
        <v>7</v>
      </c>
      <c r="D55" s="220"/>
      <c r="E55" s="220"/>
      <c r="F55" s="221">
        <v>13900000</v>
      </c>
      <c r="G55" s="221">
        <v>13900000</v>
      </c>
      <c r="H55" s="221"/>
      <c r="I55" s="221"/>
      <c r="J55" s="221"/>
      <c r="K55" s="221"/>
      <c r="L55" s="221"/>
      <c r="M55" s="221"/>
      <c r="N55" s="221"/>
      <c r="O55" s="300">
        <v>2493500</v>
      </c>
      <c r="P55" s="300">
        <v>5497250</v>
      </c>
      <c r="Q55" s="221"/>
      <c r="R55" s="221"/>
      <c r="S55" s="221"/>
      <c r="T55" s="221"/>
      <c r="U55" s="221">
        <v>1500000</v>
      </c>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c r="AR55" s="221">
        <f t="shared" si="30"/>
        <v>9490750</v>
      </c>
      <c r="AS55" s="224">
        <f t="shared" si="59"/>
        <v>6.8278776978417267E-3</v>
      </c>
      <c r="AT55" s="225">
        <f t="shared" si="6"/>
        <v>4409250</v>
      </c>
      <c r="AU55" s="224">
        <f t="shared" si="9"/>
        <v>31.721223021582734</v>
      </c>
      <c r="AV55" s="220" t="s">
        <v>535</v>
      </c>
      <c r="AW55" s="220" t="s">
        <v>538</v>
      </c>
      <c r="AX55" s="220" t="s">
        <v>4729</v>
      </c>
      <c r="AY55" s="221"/>
      <c r="AZ55" s="300">
        <v>5497250</v>
      </c>
      <c r="BA55" s="300">
        <v>2493500</v>
      </c>
      <c r="BB55" s="221"/>
      <c r="BC55" s="221">
        <v>1500000</v>
      </c>
      <c r="BD55" s="221"/>
      <c r="BE55" s="221"/>
      <c r="BF55" s="221"/>
    </row>
    <row r="56" spans="2:58" x14ac:dyDescent="0.3">
      <c r="B56" s="288">
        <v>521219</v>
      </c>
      <c r="C56" s="220" t="s">
        <v>53</v>
      </c>
      <c r="D56" s="220"/>
      <c r="E56" s="220"/>
      <c r="F56" s="221">
        <v>8784000</v>
      </c>
      <c r="G56" s="221">
        <v>8784000</v>
      </c>
      <c r="H56" s="221"/>
      <c r="I56" s="221"/>
      <c r="J56" s="221"/>
      <c r="K56" s="221"/>
      <c r="L56" s="221"/>
      <c r="M56" s="221"/>
      <c r="N56" s="221"/>
      <c r="O56" s="221"/>
      <c r="P56" s="300"/>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c r="AR56" s="221">
        <f t="shared" si="30"/>
        <v>0</v>
      </c>
      <c r="AS56" s="224">
        <f t="shared" si="59"/>
        <v>0</v>
      </c>
      <c r="AT56" s="225">
        <f t="shared" si="6"/>
        <v>8784000</v>
      </c>
      <c r="AU56" s="224">
        <f t="shared" si="9"/>
        <v>100</v>
      </c>
      <c r="AV56" s="220" t="s">
        <v>535</v>
      </c>
      <c r="AW56" s="220" t="s">
        <v>538</v>
      </c>
      <c r="AX56" s="220" t="s">
        <v>4729</v>
      </c>
      <c r="AY56" s="221"/>
      <c r="AZ56" s="300"/>
      <c r="BA56" s="300"/>
      <c r="BB56" s="221"/>
      <c r="BC56" s="221"/>
      <c r="BD56" s="221"/>
      <c r="BE56" s="221"/>
      <c r="BF56" s="221"/>
    </row>
    <row r="57" spans="2:58" x14ac:dyDescent="0.3">
      <c r="B57" s="288">
        <v>522151</v>
      </c>
      <c r="C57" s="220" t="s">
        <v>11</v>
      </c>
      <c r="D57" s="220"/>
      <c r="E57" s="220"/>
      <c r="F57" s="221">
        <v>10000000</v>
      </c>
      <c r="G57" s="221">
        <v>10000000</v>
      </c>
      <c r="H57" s="221"/>
      <c r="I57" s="221"/>
      <c r="J57" s="221"/>
      <c r="K57" s="221"/>
      <c r="L57" s="221"/>
      <c r="M57" s="221"/>
      <c r="N57" s="221"/>
      <c r="O57" s="221"/>
      <c r="P57" s="300"/>
      <c r="Q57" s="221">
        <v>7200000</v>
      </c>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c r="AR57" s="221">
        <f t="shared" si="30"/>
        <v>7200000</v>
      </c>
      <c r="AS57" s="224">
        <f t="shared" si="59"/>
        <v>7.1999999999999998E-3</v>
      </c>
      <c r="AT57" s="225">
        <f t="shared" si="6"/>
        <v>2800000</v>
      </c>
      <c r="AU57" s="224">
        <f t="shared" si="9"/>
        <v>28.000000000000004</v>
      </c>
      <c r="AV57" s="220" t="s">
        <v>535</v>
      </c>
      <c r="AW57" s="220" t="s">
        <v>538</v>
      </c>
      <c r="AX57" s="220" t="s">
        <v>4729</v>
      </c>
      <c r="AY57" s="221"/>
      <c r="AZ57" s="300"/>
      <c r="BA57" s="300"/>
      <c r="BB57" s="221"/>
      <c r="BC57" s="221"/>
      <c r="BD57" s="221"/>
      <c r="BE57" s="221"/>
      <c r="BF57" s="221"/>
    </row>
    <row r="58" spans="2:58" x14ac:dyDescent="0.3">
      <c r="B58" s="288">
        <v>522192</v>
      </c>
      <c r="C58" s="220" t="s">
        <v>24</v>
      </c>
      <c r="D58" s="220"/>
      <c r="E58" s="220"/>
      <c r="F58" s="221">
        <v>5000000</v>
      </c>
      <c r="G58" s="221">
        <v>5000000</v>
      </c>
      <c r="H58" s="221"/>
      <c r="I58" s="221"/>
      <c r="J58" s="221"/>
      <c r="K58" s="221"/>
      <c r="L58" s="221"/>
      <c r="M58" s="221"/>
      <c r="N58" s="221"/>
      <c r="O58" s="221"/>
      <c r="P58" s="300"/>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c r="AR58" s="221">
        <f t="shared" si="30"/>
        <v>0</v>
      </c>
      <c r="AS58" s="224">
        <f t="shared" si="59"/>
        <v>0</v>
      </c>
      <c r="AT58" s="225">
        <f t="shared" si="6"/>
        <v>5000000</v>
      </c>
      <c r="AU58" s="224">
        <f t="shared" si="9"/>
        <v>100</v>
      </c>
      <c r="AV58" s="220" t="s">
        <v>535</v>
      </c>
      <c r="AW58" s="220" t="s">
        <v>538</v>
      </c>
      <c r="AX58" s="220" t="s">
        <v>4729</v>
      </c>
      <c r="AY58" s="221"/>
      <c r="AZ58" s="300"/>
      <c r="BA58" s="300"/>
      <c r="BB58" s="221"/>
      <c r="BC58" s="221"/>
      <c r="BD58" s="221"/>
      <c r="BE58" s="221"/>
      <c r="BF58" s="221"/>
    </row>
    <row r="59" spans="2:58" x14ac:dyDescent="0.3">
      <c r="B59" s="288">
        <v>524111</v>
      </c>
      <c r="C59" s="220" t="s">
        <v>19</v>
      </c>
      <c r="D59" s="220"/>
      <c r="E59" s="220"/>
      <c r="F59" s="221">
        <v>97416000</v>
      </c>
      <c r="G59" s="221">
        <v>97416000</v>
      </c>
      <c r="H59" s="221"/>
      <c r="I59" s="221"/>
      <c r="J59" s="221"/>
      <c r="K59" s="221"/>
      <c r="L59" s="221"/>
      <c r="M59" s="221"/>
      <c r="N59" s="221"/>
      <c r="O59" s="300">
        <v>11840000</v>
      </c>
      <c r="P59" s="300">
        <v>17010000</v>
      </c>
      <c r="Q59" s="221">
        <v>6320000</v>
      </c>
      <c r="R59" s="221"/>
      <c r="S59" s="221"/>
      <c r="T59" s="221"/>
      <c r="U59" s="221"/>
      <c r="V59" s="221"/>
      <c r="W59" s="221">
        <f>11343740+11404870</f>
        <v>22748610</v>
      </c>
      <c r="X59" s="221"/>
      <c r="Y59" s="221"/>
      <c r="Z59" s="221"/>
      <c r="AA59" s="221"/>
      <c r="AB59" s="221"/>
      <c r="AC59" s="221"/>
      <c r="AD59" s="221"/>
      <c r="AE59" s="221"/>
      <c r="AF59" s="221"/>
      <c r="AG59" s="221"/>
      <c r="AH59" s="221"/>
      <c r="AI59" s="221"/>
      <c r="AJ59" s="221"/>
      <c r="AK59" s="221"/>
      <c r="AL59" s="221"/>
      <c r="AM59" s="221"/>
      <c r="AN59" s="221"/>
      <c r="AO59" s="221"/>
      <c r="AP59" s="221"/>
      <c r="AQ59" s="221"/>
      <c r="AR59" s="221">
        <f t="shared" si="30"/>
        <v>57918610</v>
      </c>
      <c r="AS59" s="224">
        <f t="shared" si="59"/>
        <v>5.9454925268949653E-3</v>
      </c>
      <c r="AT59" s="225">
        <f t="shared" si="6"/>
        <v>39497390</v>
      </c>
      <c r="AU59" s="224">
        <f t="shared" si="9"/>
        <v>40.545074731050342</v>
      </c>
      <c r="AV59" s="220" t="s">
        <v>535</v>
      </c>
      <c r="AW59" s="220" t="s">
        <v>538</v>
      </c>
      <c r="AX59" s="220" t="s">
        <v>4729</v>
      </c>
      <c r="AY59" s="221"/>
      <c r="AZ59" s="300">
        <v>17010000</v>
      </c>
      <c r="BA59" s="300">
        <v>11840000</v>
      </c>
      <c r="BB59" s="221"/>
      <c r="BC59" s="221"/>
      <c r="BD59" s="221"/>
      <c r="BE59" s="221"/>
      <c r="BF59" s="221"/>
    </row>
    <row r="60" spans="2:58" x14ac:dyDescent="0.3">
      <c r="B60" s="246" t="s">
        <v>69</v>
      </c>
      <c r="C60" s="247" t="s">
        <v>70</v>
      </c>
      <c r="D60" s="247"/>
      <c r="E60" s="247"/>
      <c r="F60" s="248">
        <f t="shared" ref="F60:AQ60" si="76">F61+F204</f>
        <v>10375804000</v>
      </c>
      <c r="G60" s="248">
        <f t="shared" ref="G60" si="77">G61+G204</f>
        <v>15863164000</v>
      </c>
      <c r="H60" s="248">
        <f t="shared" si="76"/>
        <v>0</v>
      </c>
      <c r="I60" s="248">
        <f t="shared" si="76"/>
        <v>0</v>
      </c>
      <c r="J60" s="248">
        <f t="shared" si="76"/>
        <v>0</v>
      </c>
      <c r="K60" s="248">
        <f t="shared" si="76"/>
        <v>74237800</v>
      </c>
      <c r="L60" s="248">
        <f t="shared" si="76"/>
        <v>0</v>
      </c>
      <c r="M60" s="248">
        <f t="shared" si="76"/>
        <v>0</v>
      </c>
      <c r="N60" s="248">
        <f t="shared" si="76"/>
        <v>63640000</v>
      </c>
      <c r="O60" s="248">
        <f t="shared" si="76"/>
        <v>167335190</v>
      </c>
      <c r="P60" s="248">
        <f t="shared" si="76"/>
        <v>320537487</v>
      </c>
      <c r="Q60" s="248">
        <f t="shared" si="76"/>
        <v>1763177854</v>
      </c>
      <c r="R60" s="248">
        <f t="shared" si="76"/>
        <v>95254996</v>
      </c>
      <c r="S60" s="248">
        <f t="shared" si="76"/>
        <v>0</v>
      </c>
      <c r="T60" s="248">
        <f t="shared" si="76"/>
        <v>757387100</v>
      </c>
      <c r="U60" s="248">
        <f t="shared" si="76"/>
        <v>179018093</v>
      </c>
      <c r="V60" s="248">
        <f t="shared" si="76"/>
        <v>235964831</v>
      </c>
      <c r="W60" s="248">
        <f t="shared" si="76"/>
        <v>2034687981</v>
      </c>
      <c r="X60" s="248">
        <f t="shared" si="76"/>
        <v>0</v>
      </c>
      <c r="Y60" s="248">
        <f t="shared" si="76"/>
        <v>7559500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 t="shared" si="76"/>
        <v>0</v>
      </c>
      <c r="AR60" s="248">
        <f>SUM(H60:AQ60)</f>
        <v>5698800832</v>
      </c>
      <c r="AS60" s="249">
        <f t="shared" si="59"/>
        <v>5.4923944515528631E-3</v>
      </c>
      <c r="AT60" s="250">
        <f t="shared" ref="AT60:AT64" si="78">F60-AR60</f>
        <v>4677003168</v>
      </c>
      <c r="AU60" s="249">
        <f t="shared" ref="AU60:AU65" si="79">AT60/F60*100</f>
        <v>45.076055484471375</v>
      </c>
      <c r="AV60" s="220"/>
      <c r="AW60" s="220"/>
      <c r="AX60" s="220" t="s">
        <v>4729</v>
      </c>
      <c r="AY60" s="248">
        <f>AY61+AY204</f>
        <v>99961115</v>
      </c>
      <c r="AZ60" s="248">
        <f>AZ61+AZ204</f>
        <v>320537487</v>
      </c>
      <c r="BA60" s="248">
        <f>BA61+BA204</f>
        <v>67374075</v>
      </c>
      <c r="BB60" s="248">
        <f>BB61+BB204</f>
        <v>95254996</v>
      </c>
      <c r="BC60" s="248">
        <f t="shared" ref="BC60" si="80">BC61+BC204</f>
        <v>93939616</v>
      </c>
      <c r="BD60" s="248">
        <f t="shared" ref="BD60:BE60" si="81">BD61+BD204</f>
        <v>85078477</v>
      </c>
      <c r="BE60" s="248">
        <f t="shared" si="81"/>
        <v>235964831</v>
      </c>
      <c r="BF60" s="248">
        <f t="shared" ref="BF60" si="82">BF61+BF204</f>
        <v>7559500</v>
      </c>
    </row>
    <row r="61" spans="2:58" x14ac:dyDescent="0.3">
      <c r="B61" s="240">
        <v>2378</v>
      </c>
      <c r="C61" s="241" t="s">
        <v>71</v>
      </c>
      <c r="D61" s="241"/>
      <c r="E61" s="241"/>
      <c r="F61" s="242">
        <f t="shared" ref="F61:AQ61" si="83">F62+F67+F141+F146</f>
        <v>4293304000</v>
      </c>
      <c r="G61" s="242">
        <f t="shared" ref="G61" si="84">G62+G67+G141+G146</f>
        <v>7280664000</v>
      </c>
      <c r="H61" s="242">
        <f t="shared" si="83"/>
        <v>0</v>
      </c>
      <c r="I61" s="242">
        <f t="shared" si="83"/>
        <v>0</v>
      </c>
      <c r="J61" s="242">
        <f t="shared" si="83"/>
        <v>0</v>
      </c>
      <c r="K61" s="242">
        <f t="shared" si="83"/>
        <v>74237800</v>
      </c>
      <c r="L61" s="242">
        <f t="shared" si="83"/>
        <v>0</v>
      </c>
      <c r="M61" s="242">
        <f t="shared" si="83"/>
        <v>0</v>
      </c>
      <c r="N61" s="242">
        <f t="shared" si="83"/>
        <v>63640000</v>
      </c>
      <c r="O61" s="242">
        <f t="shared" si="83"/>
        <v>167335190</v>
      </c>
      <c r="P61" s="242">
        <f t="shared" si="83"/>
        <v>320537487</v>
      </c>
      <c r="Q61" s="242">
        <f t="shared" si="83"/>
        <v>207482498</v>
      </c>
      <c r="R61" s="242">
        <f t="shared" si="83"/>
        <v>95254996</v>
      </c>
      <c r="S61" s="242">
        <f t="shared" si="83"/>
        <v>0</v>
      </c>
      <c r="T61" s="242">
        <f t="shared" si="83"/>
        <v>757387100</v>
      </c>
      <c r="U61" s="242">
        <f t="shared" si="83"/>
        <v>179018093</v>
      </c>
      <c r="V61" s="242">
        <f t="shared" si="83"/>
        <v>198072198</v>
      </c>
      <c r="W61" s="242">
        <f t="shared" si="83"/>
        <v>154451558</v>
      </c>
      <c r="X61" s="242">
        <f t="shared" si="83"/>
        <v>0</v>
      </c>
      <c r="Y61" s="242">
        <f t="shared" si="83"/>
        <v>4670000</v>
      </c>
      <c r="Z61" s="242">
        <f t="shared" si="83"/>
        <v>0</v>
      </c>
      <c r="AA61" s="242">
        <f t="shared" si="83"/>
        <v>0</v>
      </c>
      <c r="AB61" s="242">
        <f t="shared" si="83"/>
        <v>0</v>
      </c>
      <c r="AC61" s="242">
        <f t="shared" si="83"/>
        <v>0</v>
      </c>
      <c r="AD61" s="242">
        <f t="shared" si="83"/>
        <v>0</v>
      </c>
      <c r="AE61" s="242">
        <f t="shared" si="83"/>
        <v>0</v>
      </c>
      <c r="AF61" s="242">
        <f t="shared" si="83"/>
        <v>0</v>
      </c>
      <c r="AG61" s="242">
        <f t="shared" si="83"/>
        <v>0</v>
      </c>
      <c r="AH61" s="242">
        <f t="shared" si="83"/>
        <v>0</v>
      </c>
      <c r="AI61" s="242">
        <f t="shared" si="83"/>
        <v>0</v>
      </c>
      <c r="AJ61" s="242">
        <f t="shared" si="83"/>
        <v>0</v>
      </c>
      <c r="AK61" s="242">
        <f t="shared" si="83"/>
        <v>0</v>
      </c>
      <c r="AL61" s="242">
        <f t="shared" si="83"/>
        <v>0</v>
      </c>
      <c r="AM61" s="242">
        <f t="shared" si="83"/>
        <v>0</v>
      </c>
      <c r="AN61" s="242">
        <f t="shared" si="83"/>
        <v>0</v>
      </c>
      <c r="AO61" s="242">
        <f t="shared" si="83"/>
        <v>0</v>
      </c>
      <c r="AP61" s="242">
        <f t="shared" si="83"/>
        <v>0</v>
      </c>
      <c r="AQ61" s="242">
        <f t="shared" si="83"/>
        <v>0</v>
      </c>
      <c r="AR61" s="242">
        <f t="shared" si="30"/>
        <v>2222086920</v>
      </c>
      <c r="AS61" s="243">
        <f t="shared" si="59"/>
        <v>5.1757036538758964E-3</v>
      </c>
      <c r="AT61" s="244">
        <f t="shared" si="78"/>
        <v>2071217080</v>
      </c>
      <c r="AU61" s="243">
        <f t="shared" si="79"/>
        <v>48.24296346124104</v>
      </c>
      <c r="AV61" s="220"/>
      <c r="AW61" s="220"/>
      <c r="AX61" s="220" t="s">
        <v>4729</v>
      </c>
      <c r="AY61" s="242">
        <f>AY62+AY67+AY141+AY146</f>
        <v>99961115</v>
      </c>
      <c r="AZ61" s="242">
        <f>AZ62+AZ67+AZ141+AZ146</f>
        <v>320537487</v>
      </c>
      <c r="BA61" s="242">
        <f>BA62+BA67+BA141+BA146</f>
        <v>67374075</v>
      </c>
      <c r="BB61" s="242">
        <f>BB62+BB67+BB141+BB146</f>
        <v>95254996</v>
      </c>
      <c r="BC61" s="242">
        <f t="shared" ref="BC61" si="85">BC62+BC67+BC141+BC146</f>
        <v>93939616</v>
      </c>
      <c r="BD61" s="242">
        <f t="shared" ref="BD61:BE61" si="86">BD62+BD67+BD141+BD146</f>
        <v>85078477</v>
      </c>
      <c r="BE61" s="242">
        <f t="shared" si="86"/>
        <v>198072198</v>
      </c>
      <c r="BF61" s="242">
        <f t="shared" ref="BF61" si="87">BF62+BF67+BF141+BF146</f>
        <v>4670000</v>
      </c>
    </row>
    <row r="62" spans="2:58" x14ac:dyDescent="0.3">
      <c r="B62" s="236" t="s">
        <v>820</v>
      </c>
      <c r="C62" s="237" t="s">
        <v>821</v>
      </c>
      <c r="D62" s="237">
        <v>1</v>
      </c>
      <c r="E62" s="237" t="s">
        <v>42</v>
      </c>
      <c r="F62" s="235">
        <f t="shared" ref="F62:V64" si="88">F63</f>
        <v>114200000</v>
      </c>
      <c r="G62" s="235">
        <f t="shared" si="88"/>
        <v>115000000</v>
      </c>
      <c r="H62" s="235">
        <f t="shared" si="88"/>
        <v>0</v>
      </c>
      <c r="I62" s="235">
        <f t="shared" si="88"/>
        <v>0</v>
      </c>
      <c r="J62" s="235">
        <f t="shared" si="88"/>
        <v>0</v>
      </c>
      <c r="K62" s="235">
        <f t="shared" si="88"/>
        <v>0</v>
      </c>
      <c r="L62" s="235">
        <f t="shared" si="88"/>
        <v>0</v>
      </c>
      <c r="M62" s="235">
        <f t="shared" si="88"/>
        <v>0</v>
      </c>
      <c r="N62" s="235">
        <f t="shared" si="88"/>
        <v>0</v>
      </c>
      <c r="O62" s="235">
        <f t="shared" si="88"/>
        <v>0</v>
      </c>
      <c r="P62" s="235">
        <f t="shared" si="88"/>
        <v>0</v>
      </c>
      <c r="Q62" s="235">
        <f t="shared" si="88"/>
        <v>0</v>
      </c>
      <c r="R62" s="235">
        <f t="shared" si="88"/>
        <v>0</v>
      </c>
      <c r="S62" s="235">
        <f t="shared" si="88"/>
        <v>0</v>
      </c>
      <c r="T62" s="235">
        <f t="shared" si="88"/>
        <v>114200000</v>
      </c>
      <c r="U62" s="235">
        <f t="shared" si="88"/>
        <v>0</v>
      </c>
      <c r="V62" s="235">
        <f t="shared" si="88"/>
        <v>0</v>
      </c>
      <c r="W62" s="235">
        <f t="shared" ref="H62:AQ64" si="89">W63</f>
        <v>0</v>
      </c>
      <c r="X62" s="235">
        <f t="shared" si="89"/>
        <v>0</v>
      </c>
      <c r="Y62" s="235">
        <f t="shared" si="89"/>
        <v>0</v>
      </c>
      <c r="Z62" s="235">
        <f t="shared" si="89"/>
        <v>0</v>
      </c>
      <c r="AA62" s="235">
        <f t="shared" si="89"/>
        <v>0</v>
      </c>
      <c r="AB62" s="235">
        <f t="shared" si="89"/>
        <v>0</v>
      </c>
      <c r="AC62" s="235">
        <f t="shared" si="89"/>
        <v>0</v>
      </c>
      <c r="AD62" s="235">
        <f t="shared" si="89"/>
        <v>0</v>
      </c>
      <c r="AE62" s="235">
        <f t="shared" si="89"/>
        <v>0</v>
      </c>
      <c r="AF62" s="235">
        <f t="shared" si="89"/>
        <v>0</v>
      </c>
      <c r="AG62" s="235">
        <f t="shared" si="89"/>
        <v>0</v>
      </c>
      <c r="AH62" s="235">
        <f t="shared" si="89"/>
        <v>0</v>
      </c>
      <c r="AI62" s="235">
        <f t="shared" si="89"/>
        <v>0</v>
      </c>
      <c r="AJ62" s="235">
        <f t="shared" si="89"/>
        <v>0</v>
      </c>
      <c r="AK62" s="235">
        <f t="shared" si="89"/>
        <v>0</v>
      </c>
      <c r="AL62" s="235">
        <f t="shared" si="89"/>
        <v>0</v>
      </c>
      <c r="AM62" s="235">
        <f t="shared" si="89"/>
        <v>0</v>
      </c>
      <c r="AN62" s="235">
        <f t="shared" si="89"/>
        <v>0</v>
      </c>
      <c r="AO62" s="235">
        <f t="shared" si="89"/>
        <v>0</v>
      </c>
      <c r="AP62" s="235">
        <f t="shared" si="89"/>
        <v>0</v>
      </c>
      <c r="AQ62" s="235">
        <f t="shared" si="89"/>
        <v>0</v>
      </c>
      <c r="AR62" s="235">
        <f t="shared" si="30"/>
        <v>114200000</v>
      </c>
      <c r="AS62" s="238">
        <f t="shared" si="59"/>
        <v>0.01</v>
      </c>
      <c r="AT62" s="239">
        <f t="shared" si="78"/>
        <v>0</v>
      </c>
      <c r="AU62" s="238">
        <f t="shared" si="79"/>
        <v>0</v>
      </c>
      <c r="AV62" s="220" t="s">
        <v>576</v>
      </c>
      <c r="AW62" s="220" t="s">
        <v>560</v>
      </c>
      <c r="AX62" s="220" t="s">
        <v>4811</v>
      </c>
      <c r="AY62" s="235">
        <f t="shared" ref="AY62:BF64" si="90">AY63</f>
        <v>0</v>
      </c>
      <c r="AZ62" s="235">
        <f t="shared" si="90"/>
        <v>0</v>
      </c>
      <c r="BA62" s="235">
        <f t="shared" si="90"/>
        <v>0</v>
      </c>
      <c r="BB62" s="235">
        <f t="shared" si="90"/>
        <v>0</v>
      </c>
      <c r="BC62" s="235">
        <f t="shared" si="90"/>
        <v>0</v>
      </c>
      <c r="BD62" s="235">
        <f t="shared" si="90"/>
        <v>0</v>
      </c>
      <c r="BE62" s="235">
        <f t="shared" si="90"/>
        <v>0</v>
      </c>
      <c r="BF62" s="235">
        <f t="shared" si="90"/>
        <v>0</v>
      </c>
    </row>
    <row r="63" spans="2:58" x14ac:dyDescent="0.3">
      <c r="B63" s="226" t="s">
        <v>3737</v>
      </c>
      <c r="C63" s="227" t="s">
        <v>824</v>
      </c>
      <c r="D63" s="227">
        <v>1</v>
      </c>
      <c r="E63" s="227" t="s">
        <v>42</v>
      </c>
      <c r="F63" s="228">
        <f t="shared" si="88"/>
        <v>114200000</v>
      </c>
      <c r="G63" s="228">
        <f t="shared" si="88"/>
        <v>115000000</v>
      </c>
      <c r="H63" s="228">
        <f t="shared" si="89"/>
        <v>0</v>
      </c>
      <c r="I63" s="228">
        <f t="shared" si="89"/>
        <v>0</v>
      </c>
      <c r="J63" s="228">
        <f t="shared" si="89"/>
        <v>0</v>
      </c>
      <c r="K63" s="228">
        <f t="shared" si="89"/>
        <v>0</v>
      </c>
      <c r="L63" s="228">
        <f t="shared" si="89"/>
        <v>0</v>
      </c>
      <c r="M63" s="228">
        <f t="shared" si="89"/>
        <v>0</v>
      </c>
      <c r="N63" s="228">
        <f t="shared" si="89"/>
        <v>0</v>
      </c>
      <c r="O63" s="228">
        <f t="shared" si="89"/>
        <v>0</v>
      </c>
      <c r="P63" s="228">
        <f t="shared" si="89"/>
        <v>0</v>
      </c>
      <c r="Q63" s="228">
        <f t="shared" si="89"/>
        <v>0</v>
      </c>
      <c r="R63" s="228">
        <f t="shared" si="89"/>
        <v>0</v>
      </c>
      <c r="S63" s="228">
        <f t="shared" si="89"/>
        <v>0</v>
      </c>
      <c r="T63" s="228">
        <f t="shared" si="89"/>
        <v>114200000</v>
      </c>
      <c r="U63" s="228">
        <f t="shared" si="89"/>
        <v>0</v>
      </c>
      <c r="V63" s="228">
        <f t="shared" si="89"/>
        <v>0</v>
      </c>
      <c r="W63" s="228">
        <f t="shared" si="89"/>
        <v>0</v>
      </c>
      <c r="X63" s="228">
        <f t="shared" si="89"/>
        <v>0</v>
      </c>
      <c r="Y63" s="228">
        <f t="shared" si="89"/>
        <v>0</v>
      </c>
      <c r="Z63" s="228">
        <f t="shared" si="89"/>
        <v>0</v>
      </c>
      <c r="AA63" s="228">
        <f t="shared" si="89"/>
        <v>0</v>
      </c>
      <c r="AB63" s="228">
        <f t="shared" si="89"/>
        <v>0</v>
      </c>
      <c r="AC63" s="228">
        <f t="shared" si="89"/>
        <v>0</v>
      </c>
      <c r="AD63" s="228">
        <f t="shared" si="89"/>
        <v>0</v>
      </c>
      <c r="AE63" s="228">
        <f t="shared" si="89"/>
        <v>0</v>
      </c>
      <c r="AF63" s="228">
        <f t="shared" si="89"/>
        <v>0</v>
      </c>
      <c r="AG63" s="228">
        <f t="shared" si="89"/>
        <v>0</v>
      </c>
      <c r="AH63" s="228">
        <f t="shared" si="89"/>
        <v>0</v>
      </c>
      <c r="AI63" s="228">
        <f t="shared" si="89"/>
        <v>0</v>
      </c>
      <c r="AJ63" s="228">
        <f t="shared" si="89"/>
        <v>0</v>
      </c>
      <c r="AK63" s="228">
        <f t="shared" si="89"/>
        <v>0</v>
      </c>
      <c r="AL63" s="228">
        <f t="shared" si="89"/>
        <v>0</v>
      </c>
      <c r="AM63" s="228">
        <f t="shared" si="89"/>
        <v>0</v>
      </c>
      <c r="AN63" s="228">
        <f t="shared" si="89"/>
        <v>0</v>
      </c>
      <c r="AO63" s="228">
        <f t="shared" si="89"/>
        <v>0</v>
      </c>
      <c r="AP63" s="228">
        <f t="shared" si="89"/>
        <v>0</v>
      </c>
      <c r="AQ63" s="228">
        <f t="shared" si="89"/>
        <v>0</v>
      </c>
      <c r="AR63" s="228">
        <f t="shared" si="30"/>
        <v>114200000</v>
      </c>
      <c r="AS63" s="229">
        <f t="shared" si="59"/>
        <v>0.01</v>
      </c>
      <c r="AT63" s="230">
        <f t="shared" si="78"/>
        <v>0</v>
      </c>
      <c r="AU63" s="229">
        <f t="shared" si="79"/>
        <v>0</v>
      </c>
      <c r="AV63" s="220" t="s">
        <v>576</v>
      </c>
      <c r="AW63" s="220" t="s">
        <v>560</v>
      </c>
      <c r="AX63" s="220" t="s">
        <v>4811</v>
      </c>
      <c r="AY63" s="228">
        <f t="shared" si="90"/>
        <v>0</v>
      </c>
      <c r="AZ63" s="228">
        <f t="shared" si="90"/>
        <v>0</v>
      </c>
      <c r="BA63" s="228">
        <f t="shared" si="90"/>
        <v>0</v>
      </c>
      <c r="BB63" s="228">
        <f t="shared" si="90"/>
        <v>0</v>
      </c>
      <c r="BC63" s="228">
        <f t="shared" si="90"/>
        <v>0</v>
      </c>
      <c r="BD63" s="228">
        <f t="shared" si="90"/>
        <v>0</v>
      </c>
      <c r="BE63" s="228">
        <f t="shared" si="90"/>
        <v>0</v>
      </c>
      <c r="BF63" s="228">
        <f t="shared" si="90"/>
        <v>0</v>
      </c>
    </row>
    <row r="64" spans="2:58" x14ac:dyDescent="0.3">
      <c r="B64" s="226">
        <v>301</v>
      </c>
      <c r="C64" s="227" t="s">
        <v>834</v>
      </c>
      <c r="D64" s="227"/>
      <c r="E64" s="227"/>
      <c r="F64" s="228">
        <f t="shared" si="88"/>
        <v>114200000</v>
      </c>
      <c r="G64" s="228">
        <f t="shared" si="88"/>
        <v>115000000</v>
      </c>
      <c r="H64" s="228">
        <f t="shared" si="89"/>
        <v>0</v>
      </c>
      <c r="I64" s="228">
        <f t="shared" si="89"/>
        <v>0</v>
      </c>
      <c r="J64" s="228">
        <f t="shared" si="89"/>
        <v>0</v>
      </c>
      <c r="K64" s="228">
        <f t="shared" si="89"/>
        <v>0</v>
      </c>
      <c r="L64" s="228">
        <f t="shared" si="89"/>
        <v>0</v>
      </c>
      <c r="M64" s="228">
        <f t="shared" si="89"/>
        <v>0</v>
      </c>
      <c r="N64" s="228">
        <f t="shared" si="89"/>
        <v>0</v>
      </c>
      <c r="O64" s="228">
        <f t="shared" si="89"/>
        <v>0</v>
      </c>
      <c r="P64" s="228">
        <f t="shared" si="89"/>
        <v>0</v>
      </c>
      <c r="Q64" s="228">
        <f t="shared" si="89"/>
        <v>0</v>
      </c>
      <c r="R64" s="228">
        <f t="shared" si="89"/>
        <v>0</v>
      </c>
      <c r="S64" s="228">
        <f t="shared" si="89"/>
        <v>0</v>
      </c>
      <c r="T64" s="228">
        <f t="shared" si="89"/>
        <v>114200000</v>
      </c>
      <c r="U64" s="228">
        <f t="shared" si="89"/>
        <v>0</v>
      </c>
      <c r="V64" s="228">
        <f t="shared" si="89"/>
        <v>0</v>
      </c>
      <c r="W64" s="228">
        <f t="shared" si="89"/>
        <v>0</v>
      </c>
      <c r="X64" s="228">
        <f t="shared" si="89"/>
        <v>0</v>
      </c>
      <c r="Y64" s="228">
        <f t="shared" si="89"/>
        <v>0</v>
      </c>
      <c r="Z64" s="228">
        <f t="shared" si="89"/>
        <v>0</v>
      </c>
      <c r="AA64" s="228">
        <f t="shared" si="89"/>
        <v>0</v>
      </c>
      <c r="AB64" s="228">
        <f t="shared" si="89"/>
        <v>0</v>
      </c>
      <c r="AC64" s="228">
        <f t="shared" si="89"/>
        <v>0</v>
      </c>
      <c r="AD64" s="228">
        <f t="shared" si="89"/>
        <v>0</v>
      </c>
      <c r="AE64" s="228">
        <f t="shared" si="89"/>
        <v>0</v>
      </c>
      <c r="AF64" s="228">
        <f t="shared" si="89"/>
        <v>0</v>
      </c>
      <c r="AG64" s="228">
        <f t="shared" si="89"/>
        <v>0</v>
      </c>
      <c r="AH64" s="228">
        <f t="shared" si="89"/>
        <v>0</v>
      </c>
      <c r="AI64" s="228">
        <f t="shared" si="89"/>
        <v>0</v>
      </c>
      <c r="AJ64" s="228">
        <f t="shared" si="89"/>
        <v>0</v>
      </c>
      <c r="AK64" s="228">
        <f t="shared" si="89"/>
        <v>0</v>
      </c>
      <c r="AL64" s="228">
        <f t="shared" si="89"/>
        <v>0</v>
      </c>
      <c r="AM64" s="228">
        <f t="shared" si="89"/>
        <v>0</v>
      </c>
      <c r="AN64" s="228">
        <f t="shared" si="89"/>
        <v>0</v>
      </c>
      <c r="AO64" s="228">
        <f t="shared" si="89"/>
        <v>0</v>
      </c>
      <c r="AP64" s="228">
        <f t="shared" si="89"/>
        <v>0</v>
      </c>
      <c r="AQ64" s="228">
        <f t="shared" si="89"/>
        <v>0</v>
      </c>
      <c r="AR64" s="228">
        <f t="shared" si="30"/>
        <v>114200000</v>
      </c>
      <c r="AS64" s="229">
        <f t="shared" si="59"/>
        <v>0.01</v>
      </c>
      <c r="AT64" s="230">
        <f t="shared" si="78"/>
        <v>0</v>
      </c>
      <c r="AU64" s="229">
        <f t="shared" si="79"/>
        <v>0</v>
      </c>
      <c r="AV64" s="220" t="s">
        <v>576</v>
      </c>
      <c r="AW64" s="220" t="s">
        <v>560</v>
      </c>
      <c r="AX64" s="220" t="s">
        <v>4811</v>
      </c>
      <c r="AY64" s="228">
        <f t="shared" si="90"/>
        <v>0</v>
      </c>
      <c r="AZ64" s="228">
        <f t="shared" si="90"/>
        <v>0</v>
      </c>
      <c r="BA64" s="228">
        <f t="shared" si="90"/>
        <v>0</v>
      </c>
      <c r="BB64" s="228">
        <f t="shared" si="90"/>
        <v>0</v>
      </c>
      <c r="BC64" s="228">
        <f t="shared" si="90"/>
        <v>0</v>
      </c>
      <c r="BD64" s="228">
        <f t="shared" si="90"/>
        <v>0</v>
      </c>
      <c r="BE64" s="228">
        <f t="shared" si="90"/>
        <v>0</v>
      </c>
      <c r="BF64" s="228">
        <f t="shared" si="90"/>
        <v>0</v>
      </c>
    </row>
    <row r="65" spans="2:58" x14ac:dyDescent="0.3">
      <c r="B65" s="290" t="s">
        <v>8</v>
      </c>
      <c r="C65" s="222" t="s">
        <v>836</v>
      </c>
      <c r="D65" s="222"/>
      <c r="E65" s="222"/>
      <c r="F65" s="223">
        <f>SUM(F66)</f>
        <v>114200000</v>
      </c>
      <c r="G65" s="223">
        <f>SUM(G66)</f>
        <v>115000000</v>
      </c>
      <c r="H65" s="223">
        <f t="shared" ref="H65:AQ65" si="91">SUM(H66)</f>
        <v>0</v>
      </c>
      <c r="I65" s="223">
        <f t="shared" si="91"/>
        <v>0</v>
      </c>
      <c r="J65" s="223">
        <f t="shared" si="91"/>
        <v>0</v>
      </c>
      <c r="K65" s="223">
        <f t="shared" si="91"/>
        <v>0</v>
      </c>
      <c r="L65" s="223">
        <f t="shared" si="91"/>
        <v>0</v>
      </c>
      <c r="M65" s="223">
        <f t="shared" si="91"/>
        <v>0</v>
      </c>
      <c r="N65" s="223">
        <f t="shared" si="91"/>
        <v>0</v>
      </c>
      <c r="O65" s="223">
        <f t="shared" si="91"/>
        <v>0</v>
      </c>
      <c r="P65" s="223">
        <f t="shared" si="91"/>
        <v>0</v>
      </c>
      <c r="Q65" s="223">
        <f t="shared" si="91"/>
        <v>0</v>
      </c>
      <c r="R65" s="223">
        <f t="shared" si="91"/>
        <v>0</v>
      </c>
      <c r="S65" s="223">
        <f t="shared" si="91"/>
        <v>0</v>
      </c>
      <c r="T65" s="223">
        <f t="shared" si="91"/>
        <v>114200000</v>
      </c>
      <c r="U65" s="223">
        <f t="shared" si="91"/>
        <v>0</v>
      </c>
      <c r="V65" s="223">
        <f t="shared" si="91"/>
        <v>0</v>
      </c>
      <c r="W65" s="223">
        <f t="shared" si="91"/>
        <v>0</v>
      </c>
      <c r="X65" s="223">
        <f t="shared" si="91"/>
        <v>0</v>
      </c>
      <c r="Y65" s="223">
        <f t="shared" si="91"/>
        <v>0</v>
      </c>
      <c r="Z65" s="223">
        <f t="shared" si="91"/>
        <v>0</v>
      </c>
      <c r="AA65" s="223">
        <f t="shared" si="91"/>
        <v>0</v>
      </c>
      <c r="AB65" s="223">
        <f t="shared" si="91"/>
        <v>0</v>
      </c>
      <c r="AC65" s="223">
        <f t="shared" si="91"/>
        <v>0</v>
      </c>
      <c r="AD65" s="223">
        <f t="shared" si="91"/>
        <v>0</v>
      </c>
      <c r="AE65" s="223">
        <f t="shared" si="91"/>
        <v>0</v>
      </c>
      <c r="AF65" s="223">
        <f t="shared" si="91"/>
        <v>0</v>
      </c>
      <c r="AG65" s="223">
        <f t="shared" si="91"/>
        <v>0</v>
      </c>
      <c r="AH65" s="223">
        <f t="shared" si="91"/>
        <v>0</v>
      </c>
      <c r="AI65" s="223">
        <f t="shared" si="91"/>
        <v>0</v>
      </c>
      <c r="AJ65" s="223">
        <f t="shared" si="91"/>
        <v>0</v>
      </c>
      <c r="AK65" s="223">
        <f t="shared" si="91"/>
        <v>0</v>
      </c>
      <c r="AL65" s="223">
        <f t="shared" si="91"/>
        <v>0</v>
      </c>
      <c r="AM65" s="223">
        <f t="shared" si="91"/>
        <v>0</v>
      </c>
      <c r="AN65" s="223">
        <f t="shared" si="91"/>
        <v>0</v>
      </c>
      <c r="AO65" s="223">
        <f t="shared" si="91"/>
        <v>0</v>
      </c>
      <c r="AP65" s="223">
        <f t="shared" si="91"/>
        <v>0</v>
      </c>
      <c r="AQ65" s="223">
        <f t="shared" si="91"/>
        <v>0</v>
      </c>
      <c r="AR65" s="223">
        <f t="shared" si="30"/>
        <v>114200000</v>
      </c>
      <c r="AS65" s="231">
        <f t="shared" si="59"/>
        <v>0.01</v>
      </c>
      <c r="AT65" s="232">
        <f>F65-AR65</f>
        <v>0</v>
      </c>
      <c r="AU65" s="231">
        <f t="shared" si="79"/>
        <v>0</v>
      </c>
      <c r="AV65" s="220" t="s">
        <v>576</v>
      </c>
      <c r="AW65" s="220" t="s">
        <v>560</v>
      </c>
      <c r="AX65" s="220" t="s">
        <v>4811</v>
      </c>
      <c r="AY65" s="223">
        <f t="shared" ref="AY65:BF65" si="92">SUM(AY66)</f>
        <v>0</v>
      </c>
      <c r="AZ65" s="223">
        <f t="shared" si="92"/>
        <v>0</v>
      </c>
      <c r="BA65" s="223">
        <f t="shared" si="92"/>
        <v>0</v>
      </c>
      <c r="BB65" s="223">
        <f t="shared" si="92"/>
        <v>0</v>
      </c>
      <c r="BC65" s="223">
        <f t="shared" si="92"/>
        <v>0</v>
      </c>
      <c r="BD65" s="223">
        <f t="shared" si="92"/>
        <v>0</v>
      </c>
      <c r="BE65" s="223">
        <f t="shared" si="92"/>
        <v>0</v>
      </c>
      <c r="BF65" s="223">
        <f t="shared" si="92"/>
        <v>0</v>
      </c>
    </row>
    <row r="66" spans="2:58" x14ac:dyDescent="0.3">
      <c r="B66" s="288">
        <v>532111</v>
      </c>
      <c r="C66" s="220" t="s">
        <v>43</v>
      </c>
      <c r="D66" s="220"/>
      <c r="E66" s="220"/>
      <c r="F66" s="221">
        <v>114200000</v>
      </c>
      <c r="G66" s="221">
        <v>115000000</v>
      </c>
      <c r="H66" s="221"/>
      <c r="I66" s="221"/>
      <c r="J66" s="221"/>
      <c r="K66" s="221"/>
      <c r="L66" s="221"/>
      <c r="M66" s="221"/>
      <c r="N66" s="221"/>
      <c r="O66" s="221"/>
      <c r="P66" s="221"/>
      <c r="Q66" s="221"/>
      <c r="R66" s="221"/>
      <c r="S66" s="221"/>
      <c r="T66" s="221">
        <v>114200000</v>
      </c>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c r="AR66" s="221">
        <f t="shared" si="30"/>
        <v>114200000</v>
      </c>
      <c r="AS66" s="224">
        <f t="shared" si="59"/>
        <v>0.01</v>
      </c>
      <c r="AT66" s="225">
        <f>F66-AR66</f>
        <v>0</v>
      </c>
      <c r="AU66" s="224">
        <f t="shared" si="9"/>
        <v>0</v>
      </c>
      <c r="AV66" s="220" t="s">
        <v>576</v>
      </c>
      <c r="AW66" s="220" t="s">
        <v>560</v>
      </c>
      <c r="AX66" s="220" t="s">
        <v>4811</v>
      </c>
      <c r="AY66" s="221"/>
      <c r="AZ66" s="221"/>
      <c r="BA66" s="300"/>
      <c r="BB66" s="221"/>
      <c r="BC66" s="221"/>
      <c r="BD66" s="221"/>
      <c r="BE66" s="221"/>
      <c r="BF66" s="221"/>
    </row>
    <row r="67" spans="2:58" x14ac:dyDescent="0.3">
      <c r="B67" s="236" t="s">
        <v>841</v>
      </c>
      <c r="C67" s="237" t="s">
        <v>842</v>
      </c>
      <c r="D67" s="237">
        <v>9</v>
      </c>
      <c r="E67" s="237" t="s">
        <v>3740</v>
      </c>
      <c r="F67" s="235">
        <f t="shared" ref="F67:AQ67" si="93">F68+F76+F123</f>
        <v>3090814000</v>
      </c>
      <c r="G67" s="235">
        <f t="shared" ref="G67" si="94">G68+G76+G123</f>
        <v>5085940000</v>
      </c>
      <c r="H67" s="235">
        <f t="shared" si="93"/>
        <v>0</v>
      </c>
      <c r="I67" s="235">
        <f t="shared" si="93"/>
        <v>0</v>
      </c>
      <c r="J67" s="235">
        <f t="shared" si="93"/>
        <v>0</v>
      </c>
      <c r="K67" s="235">
        <f t="shared" si="93"/>
        <v>63640000</v>
      </c>
      <c r="L67" s="235">
        <f t="shared" si="93"/>
        <v>0</v>
      </c>
      <c r="M67" s="235">
        <f t="shared" si="93"/>
        <v>0</v>
      </c>
      <c r="N67" s="235">
        <f t="shared" si="93"/>
        <v>63640000</v>
      </c>
      <c r="O67" s="235">
        <f t="shared" si="93"/>
        <v>136990690</v>
      </c>
      <c r="P67" s="235">
        <f t="shared" si="93"/>
        <v>226935794</v>
      </c>
      <c r="Q67" s="235">
        <f t="shared" si="93"/>
        <v>184892998</v>
      </c>
      <c r="R67" s="235">
        <f t="shared" si="93"/>
        <v>75325796</v>
      </c>
      <c r="S67" s="235">
        <f t="shared" si="93"/>
        <v>0</v>
      </c>
      <c r="T67" s="235">
        <f t="shared" si="93"/>
        <v>94014600</v>
      </c>
      <c r="U67" s="235">
        <f t="shared" si="93"/>
        <v>158835210</v>
      </c>
      <c r="V67" s="235">
        <f t="shared" si="93"/>
        <v>115921543</v>
      </c>
      <c r="W67" s="235">
        <f t="shared" si="93"/>
        <v>103366027</v>
      </c>
      <c r="X67" s="235">
        <f t="shared" si="93"/>
        <v>0</v>
      </c>
      <c r="Y67" s="235">
        <f t="shared" si="93"/>
        <v>0</v>
      </c>
      <c r="Z67" s="235">
        <f t="shared" si="93"/>
        <v>0</v>
      </c>
      <c r="AA67" s="235">
        <f t="shared" si="93"/>
        <v>0</v>
      </c>
      <c r="AB67" s="235">
        <f t="shared" si="93"/>
        <v>0</v>
      </c>
      <c r="AC67" s="235">
        <f t="shared" si="93"/>
        <v>0</v>
      </c>
      <c r="AD67" s="235">
        <f t="shared" si="93"/>
        <v>0</v>
      </c>
      <c r="AE67" s="235">
        <f t="shared" si="93"/>
        <v>0</v>
      </c>
      <c r="AF67" s="235">
        <f t="shared" si="93"/>
        <v>0</v>
      </c>
      <c r="AG67" s="235">
        <f t="shared" si="93"/>
        <v>0</v>
      </c>
      <c r="AH67" s="235">
        <f t="shared" si="93"/>
        <v>0</v>
      </c>
      <c r="AI67" s="235">
        <f t="shared" si="93"/>
        <v>0</v>
      </c>
      <c r="AJ67" s="235">
        <f t="shared" si="93"/>
        <v>0</v>
      </c>
      <c r="AK67" s="235">
        <f t="shared" si="93"/>
        <v>0</v>
      </c>
      <c r="AL67" s="235">
        <f t="shared" si="93"/>
        <v>0</v>
      </c>
      <c r="AM67" s="235">
        <f t="shared" si="93"/>
        <v>0</v>
      </c>
      <c r="AN67" s="235">
        <f t="shared" si="93"/>
        <v>0</v>
      </c>
      <c r="AO67" s="235">
        <f t="shared" si="93"/>
        <v>0</v>
      </c>
      <c r="AP67" s="235">
        <f t="shared" si="93"/>
        <v>0</v>
      </c>
      <c r="AQ67" s="235">
        <f t="shared" si="93"/>
        <v>0</v>
      </c>
      <c r="AR67" s="235">
        <f>SUM(H67:AQ67)</f>
        <v>1223562658</v>
      </c>
      <c r="AS67" s="238">
        <f t="shared" si="59"/>
        <v>3.9587068584521741E-3</v>
      </c>
      <c r="AT67" s="239">
        <f>F67-AR67</f>
        <v>1867251342</v>
      </c>
      <c r="AU67" s="238">
        <f>AT67/F67*100</f>
        <v>60.412931415478255</v>
      </c>
      <c r="AV67" s="220"/>
      <c r="AW67" s="220"/>
      <c r="AX67" s="220" t="s">
        <v>4729</v>
      </c>
      <c r="AY67" s="235">
        <f>AY68+AY76+AY123</f>
        <v>99961115</v>
      </c>
      <c r="AZ67" s="235">
        <f>AZ68+AZ76+AZ123</f>
        <v>226935794</v>
      </c>
      <c r="BA67" s="235">
        <f>BA68+BA76+BA123</f>
        <v>37029575</v>
      </c>
      <c r="BB67" s="235">
        <f>BB68+BB76+BB123</f>
        <v>75325796</v>
      </c>
      <c r="BC67" s="235">
        <f t="shared" ref="BC67" si="95">BC68+BC76+BC123</f>
        <v>83939616</v>
      </c>
      <c r="BD67" s="235">
        <f t="shared" ref="BD67:BE67" si="96">BD68+BD76+BD123</f>
        <v>74895594</v>
      </c>
      <c r="BE67" s="235">
        <f t="shared" si="96"/>
        <v>115921543</v>
      </c>
      <c r="BF67" s="235">
        <f t="shared" ref="BF67" si="97">BF68+BF76+BF123</f>
        <v>0</v>
      </c>
    </row>
    <row r="68" spans="2:58" x14ac:dyDescent="0.3">
      <c r="B68" s="226" t="s">
        <v>3792</v>
      </c>
      <c r="C68" s="227" t="s">
        <v>1037</v>
      </c>
      <c r="D68" s="227">
        <v>2</v>
      </c>
      <c r="E68" s="227" t="s">
        <v>3740</v>
      </c>
      <c r="F68" s="228">
        <f>F69</f>
        <v>113346000</v>
      </c>
      <c r="G68" s="228">
        <f>G69</f>
        <v>153780000</v>
      </c>
      <c r="H68" s="228">
        <f t="shared" ref="H68:V68" si="98">H69</f>
        <v>0</v>
      </c>
      <c r="I68" s="228">
        <f t="shared" si="98"/>
        <v>0</v>
      </c>
      <c r="J68" s="228">
        <f t="shared" si="98"/>
        <v>0</v>
      </c>
      <c r="K68" s="228">
        <f t="shared" si="98"/>
        <v>0</v>
      </c>
      <c r="L68" s="228">
        <f t="shared" si="98"/>
        <v>0</v>
      </c>
      <c r="M68" s="228">
        <f t="shared" si="98"/>
        <v>0</v>
      </c>
      <c r="N68" s="228">
        <f t="shared" si="98"/>
        <v>0</v>
      </c>
      <c r="O68" s="228">
        <f t="shared" si="98"/>
        <v>1890000</v>
      </c>
      <c r="P68" s="228">
        <f t="shared" si="98"/>
        <v>3436750</v>
      </c>
      <c r="Q68" s="228">
        <f t="shared" si="98"/>
        <v>3570000</v>
      </c>
      <c r="R68" s="228">
        <f t="shared" si="98"/>
        <v>0</v>
      </c>
      <c r="S68" s="228">
        <f t="shared" si="98"/>
        <v>0</v>
      </c>
      <c r="T68" s="228">
        <f t="shared" si="98"/>
        <v>10960600</v>
      </c>
      <c r="U68" s="228">
        <f t="shared" si="98"/>
        <v>0</v>
      </c>
      <c r="V68" s="228">
        <f t="shared" si="98"/>
        <v>5000500</v>
      </c>
      <c r="W68" s="228">
        <f t="shared" ref="H68:AQ69" si="99">W69</f>
        <v>3840000</v>
      </c>
      <c r="X68" s="228">
        <f t="shared" si="99"/>
        <v>0</v>
      </c>
      <c r="Y68" s="228">
        <f t="shared" si="99"/>
        <v>0</v>
      </c>
      <c r="Z68" s="228">
        <f t="shared" si="99"/>
        <v>0</v>
      </c>
      <c r="AA68" s="228">
        <f t="shared" si="99"/>
        <v>0</v>
      </c>
      <c r="AB68" s="228">
        <f t="shared" si="99"/>
        <v>0</v>
      </c>
      <c r="AC68" s="228">
        <f t="shared" si="99"/>
        <v>0</v>
      </c>
      <c r="AD68" s="228">
        <f t="shared" si="99"/>
        <v>0</v>
      </c>
      <c r="AE68" s="228">
        <f t="shared" si="99"/>
        <v>0</v>
      </c>
      <c r="AF68" s="228">
        <f t="shared" si="99"/>
        <v>0</v>
      </c>
      <c r="AG68" s="228">
        <f t="shared" si="99"/>
        <v>0</v>
      </c>
      <c r="AH68" s="228">
        <f t="shared" si="99"/>
        <v>0</v>
      </c>
      <c r="AI68" s="228">
        <f t="shared" si="99"/>
        <v>0</v>
      </c>
      <c r="AJ68" s="228">
        <f t="shared" si="99"/>
        <v>0</v>
      </c>
      <c r="AK68" s="228">
        <f t="shared" si="99"/>
        <v>0</v>
      </c>
      <c r="AL68" s="228">
        <f t="shared" si="99"/>
        <v>0</v>
      </c>
      <c r="AM68" s="228">
        <f t="shared" si="99"/>
        <v>0</v>
      </c>
      <c r="AN68" s="228">
        <f t="shared" si="99"/>
        <v>0</v>
      </c>
      <c r="AO68" s="228">
        <f t="shared" si="99"/>
        <v>0</v>
      </c>
      <c r="AP68" s="228">
        <f t="shared" si="99"/>
        <v>0</v>
      </c>
      <c r="AQ68" s="228">
        <f t="shared" si="99"/>
        <v>0</v>
      </c>
      <c r="AR68" s="228">
        <f t="shared" si="30"/>
        <v>28697850</v>
      </c>
      <c r="AS68" s="229">
        <f t="shared" si="59"/>
        <v>2.5318802604414803E-3</v>
      </c>
      <c r="AT68" s="230">
        <f t="shared" si="6"/>
        <v>84648150</v>
      </c>
      <c r="AU68" s="229">
        <f t="shared" si="9"/>
        <v>74.681197395585201</v>
      </c>
      <c r="AV68" s="220" t="s">
        <v>542</v>
      </c>
      <c r="AW68" s="220" t="s">
        <v>543</v>
      </c>
      <c r="AX68" s="220" t="s">
        <v>4729</v>
      </c>
      <c r="AY68" s="228">
        <f t="shared" ref="AY68:BF69" si="100">AY69</f>
        <v>0</v>
      </c>
      <c r="AZ68" s="228">
        <f t="shared" si="100"/>
        <v>3436750</v>
      </c>
      <c r="BA68" s="228">
        <f t="shared" si="100"/>
        <v>1890000</v>
      </c>
      <c r="BB68" s="228">
        <f t="shared" si="100"/>
        <v>0</v>
      </c>
      <c r="BC68" s="228">
        <f t="shared" si="100"/>
        <v>0</v>
      </c>
      <c r="BD68" s="228">
        <f t="shared" si="100"/>
        <v>0</v>
      </c>
      <c r="BE68" s="228">
        <f t="shared" si="100"/>
        <v>5000500</v>
      </c>
      <c r="BF68" s="228">
        <f t="shared" si="100"/>
        <v>0</v>
      </c>
    </row>
    <row r="69" spans="2:58" x14ac:dyDescent="0.3">
      <c r="B69" s="226">
        <v>311</v>
      </c>
      <c r="C69" s="227" t="s">
        <v>1186</v>
      </c>
      <c r="D69" s="227"/>
      <c r="E69" s="227"/>
      <c r="F69" s="228">
        <f>F70</f>
        <v>113346000</v>
      </c>
      <c r="G69" s="228">
        <f>G70</f>
        <v>153780000</v>
      </c>
      <c r="H69" s="228">
        <f t="shared" si="99"/>
        <v>0</v>
      </c>
      <c r="I69" s="228">
        <f t="shared" si="99"/>
        <v>0</v>
      </c>
      <c r="J69" s="228">
        <f t="shared" si="99"/>
        <v>0</v>
      </c>
      <c r="K69" s="228">
        <f t="shared" si="99"/>
        <v>0</v>
      </c>
      <c r="L69" s="228">
        <f t="shared" si="99"/>
        <v>0</v>
      </c>
      <c r="M69" s="228">
        <f t="shared" si="99"/>
        <v>0</v>
      </c>
      <c r="N69" s="228">
        <f t="shared" si="99"/>
        <v>0</v>
      </c>
      <c r="O69" s="228">
        <f t="shared" si="99"/>
        <v>1890000</v>
      </c>
      <c r="P69" s="228">
        <f t="shared" si="99"/>
        <v>3436750</v>
      </c>
      <c r="Q69" s="228">
        <f t="shared" si="99"/>
        <v>3570000</v>
      </c>
      <c r="R69" s="228">
        <f t="shared" si="99"/>
        <v>0</v>
      </c>
      <c r="S69" s="228">
        <f t="shared" si="99"/>
        <v>0</v>
      </c>
      <c r="T69" s="228">
        <f t="shared" si="99"/>
        <v>10960600</v>
      </c>
      <c r="U69" s="228">
        <f t="shared" si="99"/>
        <v>0</v>
      </c>
      <c r="V69" s="228">
        <f t="shared" si="99"/>
        <v>5000500</v>
      </c>
      <c r="W69" s="228">
        <f t="shared" si="99"/>
        <v>3840000</v>
      </c>
      <c r="X69" s="228">
        <f t="shared" si="99"/>
        <v>0</v>
      </c>
      <c r="Y69" s="228">
        <f t="shared" si="99"/>
        <v>0</v>
      </c>
      <c r="Z69" s="228">
        <f t="shared" si="99"/>
        <v>0</v>
      </c>
      <c r="AA69" s="228">
        <f t="shared" si="99"/>
        <v>0</v>
      </c>
      <c r="AB69" s="228">
        <f t="shared" si="99"/>
        <v>0</v>
      </c>
      <c r="AC69" s="228">
        <f t="shared" si="99"/>
        <v>0</v>
      </c>
      <c r="AD69" s="228">
        <f t="shared" si="99"/>
        <v>0</v>
      </c>
      <c r="AE69" s="228">
        <f t="shared" si="99"/>
        <v>0</v>
      </c>
      <c r="AF69" s="228">
        <f t="shared" si="99"/>
        <v>0</v>
      </c>
      <c r="AG69" s="228">
        <f t="shared" si="99"/>
        <v>0</v>
      </c>
      <c r="AH69" s="228">
        <f t="shared" si="99"/>
        <v>0</v>
      </c>
      <c r="AI69" s="228">
        <f t="shared" si="99"/>
        <v>0</v>
      </c>
      <c r="AJ69" s="228">
        <f t="shared" si="99"/>
        <v>0</v>
      </c>
      <c r="AK69" s="228">
        <f t="shared" si="99"/>
        <v>0</v>
      </c>
      <c r="AL69" s="228">
        <f t="shared" si="99"/>
        <v>0</v>
      </c>
      <c r="AM69" s="228">
        <f t="shared" si="99"/>
        <v>0</v>
      </c>
      <c r="AN69" s="228">
        <f t="shared" si="99"/>
        <v>0</v>
      </c>
      <c r="AO69" s="228">
        <f t="shared" si="99"/>
        <v>0</v>
      </c>
      <c r="AP69" s="228">
        <f t="shared" si="99"/>
        <v>0</v>
      </c>
      <c r="AQ69" s="228">
        <f t="shared" si="99"/>
        <v>0</v>
      </c>
      <c r="AR69" s="228">
        <f t="shared" si="30"/>
        <v>28697850</v>
      </c>
      <c r="AS69" s="229">
        <f t="shared" si="59"/>
        <v>2.5318802604414803E-3</v>
      </c>
      <c r="AT69" s="230">
        <f t="shared" si="6"/>
        <v>84648150</v>
      </c>
      <c r="AU69" s="229">
        <f t="shared" si="9"/>
        <v>74.681197395585201</v>
      </c>
      <c r="AV69" s="220" t="s">
        <v>542</v>
      </c>
      <c r="AW69" s="220" t="s">
        <v>543</v>
      </c>
      <c r="AX69" s="220" t="s">
        <v>4729</v>
      </c>
      <c r="AY69" s="228">
        <f t="shared" si="100"/>
        <v>0</v>
      </c>
      <c r="AZ69" s="228">
        <f t="shared" si="100"/>
        <v>3436750</v>
      </c>
      <c r="BA69" s="228">
        <f t="shared" si="100"/>
        <v>1890000</v>
      </c>
      <c r="BB69" s="228">
        <f t="shared" si="100"/>
        <v>0</v>
      </c>
      <c r="BC69" s="228">
        <f t="shared" si="100"/>
        <v>0</v>
      </c>
      <c r="BD69" s="228">
        <f t="shared" si="100"/>
        <v>0</v>
      </c>
      <c r="BE69" s="228">
        <f t="shared" si="100"/>
        <v>5000500</v>
      </c>
      <c r="BF69" s="228">
        <f t="shared" si="100"/>
        <v>0</v>
      </c>
    </row>
    <row r="70" spans="2:58" x14ac:dyDescent="0.3">
      <c r="B70" s="290" t="s">
        <v>8</v>
      </c>
      <c r="C70" s="222" t="s">
        <v>75</v>
      </c>
      <c r="D70" s="222"/>
      <c r="E70" s="222"/>
      <c r="F70" s="223">
        <f>SUM(F71:F75)</f>
        <v>113346000</v>
      </c>
      <c r="G70" s="223">
        <f>SUM(G71:G75)</f>
        <v>153780000</v>
      </c>
      <c r="H70" s="223">
        <f t="shared" ref="H70:AQ70" si="101">SUM(H71:H75)</f>
        <v>0</v>
      </c>
      <c r="I70" s="223">
        <f t="shared" si="101"/>
        <v>0</v>
      </c>
      <c r="J70" s="223">
        <f t="shared" si="101"/>
        <v>0</v>
      </c>
      <c r="K70" s="223">
        <f t="shared" si="101"/>
        <v>0</v>
      </c>
      <c r="L70" s="223">
        <f t="shared" si="101"/>
        <v>0</v>
      </c>
      <c r="M70" s="223">
        <f t="shared" si="101"/>
        <v>0</v>
      </c>
      <c r="N70" s="223">
        <f t="shared" si="101"/>
        <v>0</v>
      </c>
      <c r="O70" s="223">
        <f t="shared" si="101"/>
        <v>1890000</v>
      </c>
      <c r="P70" s="223">
        <f t="shared" si="101"/>
        <v>3436750</v>
      </c>
      <c r="Q70" s="223">
        <f t="shared" si="101"/>
        <v>3570000</v>
      </c>
      <c r="R70" s="223">
        <f t="shared" si="101"/>
        <v>0</v>
      </c>
      <c r="S70" s="223">
        <f t="shared" si="101"/>
        <v>0</v>
      </c>
      <c r="T70" s="223">
        <f t="shared" si="101"/>
        <v>10960600</v>
      </c>
      <c r="U70" s="223">
        <f t="shared" si="101"/>
        <v>0</v>
      </c>
      <c r="V70" s="223">
        <f t="shared" si="101"/>
        <v>5000500</v>
      </c>
      <c r="W70" s="223">
        <f t="shared" si="101"/>
        <v>3840000</v>
      </c>
      <c r="X70" s="223">
        <f t="shared" si="101"/>
        <v>0</v>
      </c>
      <c r="Y70" s="223">
        <f t="shared" si="101"/>
        <v>0</v>
      </c>
      <c r="Z70" s="223">
        <f t="shared" si="101"/>
        <v>0</v>
      </c>
      <c r="AA70" s="223">
        <f t="shared" si="101"/>
        <v>0</v>
      </c>
      <c r="AB70" s="223">
        <f t="shared" si="101"/>
        <v>0</v>
      </c>
      <c r="AC70" s="223">
        <f t="shared" si="101"/>
        <v>0</v>
      </c>
      <c r="AD70" s="223">
        <f t="shared" si="101"/>
        <v>0</v>
      </c>
      <c r="AE70" s="223">
        <f t="shared" si="101"/>
        <v>0</v>
      </c>
      <c r="AF70" s="223">
        <f t="shared" si="101"/>
        <v>0</v>
      </c>
      <c r="AG70" s="223">
        <f t="shared" si="101"/>
        <v>0</v>
      </c>
      <c r="AH70" s="223">
        <f t="shared" si="101"/>
        <v>0</v>
      </c>
      <c r="AI70" s="223">
        <f t="shared" si="101"/>
        <v>0</v>
      </c>
      <c r="AJ70" s="223">
        <f t="shared" si="101"/>
        <v>0</v>
      </c>
      <c r="AK70" s="223">
        <f t="shared" si="101"/>
        <v>0</v>
      </c>
      <c r="AL70" s="223">
        <f t="shared" si="101"/>
        <v>0</v>
      </c>
      <c r="AM70" s="223">
        <f t="shared" si="101"/>
        <v>0</v>
      </c>
      <c r="AN70" s="223">
        <f t="shared" si="101"/>
        <v>0</v>
      </c>
      <c r="AO70" s="223">
        <f t="shared" si="101"/>
        <v>0</v>
      </c>
      <c r="AP70" s="223">
        <f t="shared" si="101"/>
        <v>0</v>
      </c>
      <c r="AQ70" s="223">
        <f t="shared" si="101"/>
        <v>0</v>
      </c>
      <c r="AR70" s="223">
        <f>SUM(H70:AQ70)</f>
        <v>28697850</v>
      </c>
      <c r="AS70" s="231">
        <f t="shared" si="59"/>
        <v>2.5318802604414803E-3</v>
      </c>
      <c r="AT70" s="232">
        <f t="shared" si="6"/>
        <v>84648150</v>
      </c>
      <c r="AU70" s="231">
        <f t="shared" si="9"/>
        <v>74.681197395585201</v>
      </c>
      <c r="AV70" s="220" t="s">
        <v>542</v>
      </c>
      <c r="AW70" s="220" t="s">
        <v>543</v>
      </c>
      <c r="AX70" s="220" t="s">
        <v>4729</v>
      </c>
      <c r="AY70" s="223">
        <f t="shared" ref="AY70" si="102">SUM(AY71:AY75)</f>
        <v>0</v>
      </c>
      <c r="AZ70" s="223">
        <f t="shared" ref="AZ70:BA70" si="103">SUM(AZ71:AZ75)</f>
        <v>3436750</v>
      </c>
      <c r="BA70" s="223">
        <f t="shared" si="103"/>
        <v>1890000</v>
      </c>
      <c r="BB70" s="223">
        <f t="shared" ref="BB70" si="104">SUM(BB71:BB75)</f>
        <v>0</v>
      </c>
      <c r="BC70" s="223">
        <f t="shared" ref="BC70" si="105">SUM(BC71:BC75)</f>
        <v>0</v>
      </c>
      <c r="BD70" s="223">
        <f t="shared" ref="BD70:BE70" si="106">SUM(BD71:BD75)</f>
        <v>0</v>
      </c>
      <c r="BE70" s="223">
        <f t="shared" si="106"/>
        <v>5000500</v>
      </c>
      <c r="BF70" s="223">
        <f t="shared" ref="BF70" si="107">SUM(BF71:BF75)</f>
        <v>0</v>
      </c>
    </row>
    <row r="71" spans="2:58" x14ac:dyDescent="0.3">
      <c r="B71" s="288">
        <v>521211</v>
      </c>
      <c r="C71" s="220" t="s">
        <v>7</v>
      </c>
      <c r="D71" s="220"/>
      <c r="E71" s="220"/>
      <c r="F71" s="221">
        <v>12400000</v>
      </c>
      <c r="G71" s="221">
        <v>14400000</v>
      </c>
      <c r="H71" s="221"/>
      <c r="I71" s="221"/>
      <c r="J71" s="221"/>
      <c r="K71" s="221"/>
      <c r="L71" s="221"/>
      <c r="M71" s="221"/>
      <c r="N71" s="221"/>
      <c r="O71" s="300">
        <v>1890000</v>
      </c>
      <c r="P71" s="221">
        <v>986000</v>
      </c>
      <c r="Q71" s="221"/>
      <c r="R71" s="221"/>
      <c r="S71" s="221"/>
      <c r="T71" s="221"/>
      <c r="U71" s="221"/>
      <c r="V71" s="221">
        <v>3071500</v>
      </c>
      <c r="W71" s="221"/>
      <c r="X71" s="221"/>
      <c r="Y71" s="221"/>
      <c r="Z71" s="221"/>
      <c r="AA71" s="221"/>
      <c r="AB71" s="221"/>
      <c r="AC71" s="221"/>
      <c r="AD71" s="221"/>
      <c r="AE71" s="221"/>
      <c r="AF71" s="221"/>
      <c r="AG71" s="221"/>
      <c r="AH71" s="221"/>
      <c r="AI71" s="221"/>
      <c r="AJ71" s="221"/>
      <c r="AK71" s="221"/>
      <c r="AL71" s="221"/>
      <c r="AM71" s="221"/>
      <c r="AN71" s="221"/>
      <c r="AO71" s="221"/>
      <c r="AP71" s="221"/>
      <c r="AQ71" s="221"/>
      <c r="AR71" s="221">
        <f t="shared" si="30"/>
        <v>5947500</v>
      </c>
      <c r="AS71" s="224">
        <f t="shared" si="59"/>
        <v>4.7963709677419355E-3</v>
      </c>
      <c r="AT71" s="225">
        <f t="shared" si="6"/>
        <v>6452500</v>
      </c>
      <c r="AU71" s="224">
        <f t="shared" si="9"/>
        <v>52.036290322580648</v>
      </c>
      <c r="AV71" s="220" t="s">
        <v>542</v>
      </c>
      <c r="AW71" s="220" t="s">
        <v>543</v>
      </c>
      <c r="AX71" s="220" t="s">
        <v>4729</v>
      </c>
      <c r="AY71" s="221"/>
      <c r="AZ71" s="221">
        <v>986000</v>
      </c>
      <c r="BA71" s="300">
        <v>1890000</v>
      </c>
      <c r="BB71" s="221"/>
      <c r="BC71" s="221"/>
      <c r="BD71" s="221"/>
      <c r="BE71" s="221">
        <v>3071500</v>
      </c>
      <c r="BF71" s="221"/>
    </row>
    <row r="72" spans="2:58" x14ac:dyDescent="0.3">
      <c r="B72" s="288">
        <v>521219</v>
      </c>
      <c r="C72" s="220" t="s">
        <v>53</v>
      </c>
      <c r="D72" s="220"/>
      <c r="E72" s="220"/>
      <c r="F72" s="221">
        <v>0</v>
      </c>
      <c r="G72" s="221">
        <v>8000000</v>
      </c>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c r="AR72" s="221">
        <f t="shared" si="30"/>
        <v>0</v>
      </c>
      <c r="AS72" s="224" t="e">
        <f t="shared" si="59"/>
        <v>#DIV/0!</v>
      </c>
      <c r="AT72" s="225">
        <f t="shared" si="6"/>
        <v>0</v>
      </c>
      <c r="AU72" s="224" t="e">
        <f t="shared" si="9"/>
        <v>#DIV/0!</v>
      </c>
      <c r="AV72" s="220" t="s">
        <v>542</v>
      </c>
      <c r="AW72" s="220" t="s">
        <v>543</v>
      </c>
      <c r="AX72" s="220" t="s">
        <v>4729</v>
      </c>
      <c r="AY72" s="221"/>
      <c r="AZ72" s="221"/>
      <c r="BA72" s="300"/>
      <c r="BB72" s="221"/>
      <c r="BC72" s="221"/>
      <c r="BD72" s="221"/>
      <c r="BE72" s="221"/>
      <c r="BF72" s="221"/>
    </row>
    <row r="73" spans="2:58" x14ac:dyDescent="0.3">
      <c r="B73" s="288">
        <v>521811</v>
      </c>
      <c r="C73" s="220" t="s">
        <v>64</v>
      </c>
      <c r="D73" s="220"/>
      <c r="E73" s="220"/>
      <c r="F73" s="221">
        <v>10000000</v>
      </c>
      <c r="G73" s="221">
        <v>12000000</v>
      </c>
      <c r="H73" s="221"/>
      <c r="I73" s="221"/>
      <c r="J73" s="221"/>
      <c r="K73" s="221"/>
      <c r="L73" s="221"/>
      <c r="M73" s="221"/>
      <c r="N73" s="221"/>
      <c r="O73" s="221"/>
      <c r="P73" s="221">
        <v>2450750</v>
      </c>
      <c r="Q73" s="221"/>
      <c r="R73" s="221"/>
      <c r="S73" s="221"/>
      <c r="T73" s="221"/>
      <c r="U73" s="221"/>
      <c r="V73" s="221">
        <v>1929000</v>
      </c>
      <c r="W73" s="221"/>
      <c r="X73" s="221"/>
      <c r="Y73" s="221"/>
      <c r="Z73" s="221"/>
      <c r="AA73" s="221"/>
      <c r="AB73" s="221"/>
      <c r="AC73" s="221"/>
      <c r="AD73" s="221"/>
      <c r="AE73" s="221"/>
      <c r="AF73" s="221"/>
      <c r="AG73" s="221"/>
      <c r="AH73" s="221"/>
      <c r="AI73" s="221"/>
      <c r="AJ73" s="221"/>
      <c r="AK73" s="221"/>
      <c r="AL73" s="221"/>
      <c r="AM73" s="221"/>
      <c r="AN73" s="221"/>
      <c r="AO73" s="221"/>
      <c r="AP73" s="221"/>
      <c r="AQ73" s="221"/>
      <c r="AR73" s="221">
        <f t="shared" si="30"/>
        <v>4379750</v>
      </c>
      <c r="AS73" s="224">
        <f t="shared" si="59"/>
        <v>4.37975E-3</v>
      </c>
      <c r="AT73" s="225">
        <f>F73-AR73</f>
        <v>5620250</v>
      </c>
      <c r="AU73" s="224">
        <f t="shared" si="9"/>
        <v>56.202500000000001</v>
      </c>
      <c r="AV73" s="220" t="s">
        <v>542</v>
      </c>
      <c r="AW73" s="220" t="s">
        <v>543</v>
      </c>
      <c r="AX73" s="220" t="s">
        <v>4729</v>
      </c>
      <c r="AY73" s="221"/>
      <c r="AZ73" s="221">
        <v>2450750</v>
      </c>
      <c r="BA73" s="300"/>
      <c r="BB73" s="221"/>
      <c r="BC73" s="221"/>
      <c r="BD73" s="221"/>
      <c r="BE73" s="221">
        <v>1929000</v>
      </c>
      <c r="BF73" s="221"/>
    </row>
    <row r="74" spans="2:58" x14ac:dyDescent="0.3">
      <c r="B74" s="288">
        <v>522151</v>
      </c>
      <c r="C74" s="220" t="s">
        <v>11</v>
      </c>
      <c r="D74" s="220"/>
      <c r="E74" s="220"/>
      <c r="F74" s="221">
        <v>0</v>
      </c>
      <c r="G74" s="221">
        <v>4000000</v>
      </c>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c r="AR74" s="221">
        <f t="shared" si="30"/>
        <v>0</v>
      </c>
      <c r="AS74" s="224" t="e">
        <f t="shared" si="59"/>
        <v>#DIV/0!</v>
      </c>
      <c r="AT74" s="225">
        <f t="shared" si="6"/>
        <v>0</v>
      </c>
      <c r="AU74" s="224" t="e">
        <f t="shared" si="9"/>
        <v>#DIV/0!</v>
      </c>
      <c r="AV74" s="220" t="s">
        <v>542</v>
      </c>
      <c r="AW74" s="220" t="s">
        <v>543</v>
      </c>
      <c r="AX74" s="220" t="s">
        <v>4729</v>
      </c>
      <c r="AY74" s="221"/>
      <c r="AZ74" s="221"/>
      <c r="BA74" s="300"/>
      <c r="BB74" s="221"/>
      <c r="BC74" s="221"/>
      <c r="BD74" s="221"/>
      <c r="BE74" s="221"/>
      <c r="BF74" s="221"/>
    </row>
    <row r="75" spans="2:58" x14ac:dyDescent="0.3">
      <c r="B75" s="288">
        <v>524111</v>
      </c>
      <c r="C75" s="220" t="s">
        <v>19</v>
      </c>
      <c r="D75" s="220"/>
      <c r="E75" s="220"/>
      <c r="F75" s="221">
        <v>90946000</v>
      </c>
      <c r="G75" s="221">
        <v>115380000</v>
      </c>
      <c r="H75" s="221"/>
      <c r="I75" s="221"/>
      <c r="J75" s="221"/>
      <c r="K75" s="221"/>
      <c r="L75" s="221"/>
      <c r="M75" s="221"/>
      <c r="N75" s="221"/>
      <c r="O75" s="221"/>
      <c r="P75" s="221"/>
      <c r="Q75" s="221">
        <v>3570000</v>
      </c>
      <c r="R75" s="221"/>
      <c r="S75" s="221"/>
      <c r="T75" s="221">
        <v>10960600</v>
      </c>
      <c r="U75" s="221"/>
      <c r="V75" s="221"/>
      <c r="W75" s="221">
        <v>3840000</v>
      </c>
      <c r="X75" s="221"/>
      <c r="Y75" s="221"/>
      <c r="Z75" s="221"/>
      <c r="AA75" s="221"/>
      <c r="AB75" s="221"/>
      <c r="AC75" s="221"/>
      <c r="AD75" s="221"/>
      <c r="AE75" s="221"/>
      <c r="AF75" s="221"/>
      <c r="AG75" s="221"/>
      <c r="AH75" s="221"/>
      <c r="AI75" s="221"/>
      <c r="AJ75" s="221"/>
      <c r="AK75" s="221"/>
      <c r="AL75" s="221"/>
      <c r="AM75" s="221"/>
      <c r="AN75" s="221"/>
      <c r="AO75" s="221"/>
      <c r="AP75" s="221"/>
      <c r="AQ75" s="221"/>
      <c r="AR75" s="221">
        <f t="shared" si="30"/>
        <v>18370600</v>
      </c>
      <c r="AS75" s="224">
        <f t="shared" si="59"/>
        <v>2.0199459019638027E-3</v>
      </c>
      <c r="AT75" s="225">
        <f t="shared" si="6"/>
        <v>72575400</v>
      </c>
      <c r="AU75" s="224">
        <f t="shared" si="9"/>
        <v>79.800540980361973</v>
      </c>
      <c r="AV75" s="220" t="s">
        <v>542</v>
      </c>
      <c r="AW75" s="220" t="s">
        <v>543</v>
      </c>
      <c r="AX75" s="220" t="s">
        <v>4729</v>
      </c>
      <c r="AY75" s="221"/>
      <c r="AZ75" s="221"/>
      <c r="BA75" s="300"/>
      <c r="BB75" s="221"/>
      <c r="BC75" s="221"/>
      <c r="BD75" s="221"/>
      <c r="BE75" s="221"/>
      <c r="BF75" s="221"/>
    </row>
    <row r="76" spans="2:58" x14ac:dyDescent="0.3">
      <c r="B76" s="226" t="s">
        <v>3855</v>
      </c>
      <c r="C76" s="227" t="s">
        <v>1270</v>
      </c>
      <c r="D76" s="227">
        <v>1</v>
      </c>
      <c r="E76" s="227" t="s">
        <v>3740</v>
      </c>
      <c r="F76" s="228">
        <f t="shared" ref="F76:AQ76" si="108">F77</f>
        <v>881810000</v>
      </c>
      <c r="G76" s="228">
        <f t="shared" si="108"/>
        <v>2736502000</v>
      </c>
      <c r="H76" s="228">
        <f t="shared" si="108"/>
        <v>0</v>
      </c>
      <c r="I76" s="228">
        <f t="shared" si="108"/>
        <v>0</v>
      </c>
      <c r="J76" s="228">
        <f t="shared" si="108"/>
        <v>0</v>
      </c>
      <c r="K76" s="228">
        <f t="shared" si="108"/>
        <v>0</v>
      </c>
      <c r="L76" s="228">
        <f t="shared" si="108"/>
        <v>0</v>
      </c>
      <c r="M76" s="228">
        <f t="shared" si="108"/>
        <v>0</v>
      </c>
      <c r="N76" s="228">
        <f t="shared" si="108"/>
        <v>0</v>
      </c>
      <c r="O76" s="228">
        <f t="shared" si="108"/>
        <v>85679153</v>
      </c>
      <c r="P76" s="228">
        <f t="shared" si="108"/>
        <v>142958644</v>
      </c>
      <c r="Q76" s="228">
        <f t="shared" si="108"/>
        <v>54042998</v>
      </c>
      <c r="R76" s="228">
        <f t="shared" si="108"/>
        <v>40187000</v>
      </c>
      <c r="S76" s="228">
        <f t="shared" si="108"/>
        <v>0</v>
      </c>
      <c r="T76" s="228">
        <f t="shared" si="108"/>
        <v>19414000</v>
      </c>
      <c r="U76" s="228">
        <f t="shared" si="108"/>
        <v>42454302</v>
      </c>
      <c r="V76" s="228">
        <f t="shared" si="108"/>
        <v>110921043</v>
      </c>
      <c r="W76" s="228">
        <f t="shared" si="108"/>
        <v>35886027</v>
      </c>
      <c r="X76" s="228">
        <f t="shared" si="108"/>
        <v>0</v>
      </c>
      <c r="Y76" s="228">
        <f t="shared" si="108"/>
        <v>0</v>
      </c>
      <c r="Z76" s="228">
        <f t="shared" si="108"/>
        <v>0</v>
      </c>
      <c r="AA76" s="228">
        <f t="shared" si="108"/>
        <v>0</v>
      </c>
      <c r="AB76" s="228">
        <f t="shared" si="108"/>
        <v>0</v>
      </c>
      <c r="AC76" s="228">
        <f t="shared" si="108"/>
        <v>0</v>
      </c>
      <c r="AD76" s="228">
        <f t="shared" si="108"/>
        <v>0</v>
      </c>
      <c r="AE76" s="228">
        <f t="shared" si="108"/>
        <v>0</v>
      </c>
      <c r="AF76" s="228">
        <f t="shared" si="108"/>
        <v>0</v>
      </c>
      <c r="AG76" s="228">
        <f t="shared" si="108"/>
        <v>0</v>
      </c>
      <c r="AH76" s="228">
        <f t="shared" si="108"/>
        <v>0</v>
      </c>
      <c r="AI76" s="228">
        <f t="shared" si="108"/>
        <v>0</v>
      </c>
      <c r="AJ76" s="228">
        <f t="shared" si="108"/>
        <v>0</v>
      </c>
      <c r="AK76" s="228">
        <f t="shared" si="108"/>
        <v>0</v>
      </c>
      <c r="AL76" s="228">
        <f t="shared" si="108"/>
        <v>0</v>
      </c>
      <c r="AM76" s="228">
        <f t="shared" si="108"/>
        <v>0</v>
      </c>
      <c r="AN76" s="228">
        <f t="shared" si="108"/>
        <v>0</v>
      </c>
      <c r="AO76" s="228">
        <f t="shared" si="108"/>
        <v>0</v>
      </c>
      <c r="AP76" s="228">
        <f t="shared" si="108"/>
        <v>0</v>
      </c>
      <c r="AQ76" s="228">
        <f t="shared" si="108"/>
        <v>0</v>
      </c>
      <c r="AR76" s="228">
        <f t="shared" si="30"/>
        <v>531543167</v>
      </c>
      <c r="AS76" s="229">
        <f t="shared" si="59"/>
        <v>6.0278650389539697E-3</v>
      </c>
      <c r="AT76" s="230">
        <f t="shared" si="6"/>
        <v>350266833</v>
      </c>
      <c r="AU76" s="229">
        <f t="shared" si="9"/>
        <v>39.721349610460308</v>
      </c>
      <c r="AV76" s="220"/>
      <c r="AW76" s="220"/>
      <c r="AX76" s="220" t="s">
        <v>4729</v>
      </c>
      <c r="AY76" s="228">
        <f t="shared" ref="AY76:BF76" si="109">AY77</f>
        <v>59308000</v>
      </c>
      <c r="AZ76" s="228">
        <f t="shared" si="109"/>
        <v>142958644</v>
      </c>
      <c r="BA76" s="228">
        <f t="shared" si="109"/>
        <v>26371153</v>
      </c>
      <c r="BB76" s="228">
        <f t="shared" si="109"/>
        <v>40187000</v>
      </c>
      <c r="BC76" s="228">
        <f t="shared" si="109"/>
        <v>18988905</v>
      </c>
      <c r="BD76" s="228">
        <f t="shared" si="109"/>
        <v>23465397</v>
      </c>
      <c r="BE76" s="228">
        <f t="shared" si="109"/>
        <v>110921043</v>
      </c>
      <c r="BF76" s="228">
        <f t="shared" si="109"/>
        <v>0</v>
      </c>
    </row>
    <row r="77" spans="2:58" x14ac:dyDescent="0.3">
      <c r="B77" s="226">
        <v>301</v>
      </c>
      <c r="C77" s="227" t="s">
        <v>1389</v>
      </c>
      <c r="D77" s="227"/>
      <c r="E77" s="227"/>
      <c r="F77" s="228">
        <f t="shared" ref="F77:AQ77" si="110">F78+F82+F86+F91+F95+F102+F108+F113+F118</f>
        <v>881810000</v>
      </c>
      <c r="G77" s="228">
        <f t="shared" ref="G77" si="111">G78+G82+G86+G91+G95+G102+G108+G113+G118</f>
        <v>2736502000</v>
      </c>
      <c r="H77" s="228">
        <f t="shared" si="110"/>
        <v>0</v>
      </c>
      <c r="I77" s="228">
        <f t="shared" si="110"/>
        <v>0</v>
      </c>
      <c r="J77" s="228">
        <f t="shared" si="110"/>
        <v>0</v>
      </c>
      <c r="K77" s="228">
        <f t="shared" si="110"/>
        <v>0</v>
      </c>
      <c r="L77" s="228">
        <f t="shared" si="110"/>
        <v>0</v>
      </c>
      <c r="M77" s="228">
        <f t="shared" si="110"/>
        <v>0</v>
      </c>
      <c r="N77" s="228">
        <f t="shared" si="110"/>
        <v>0</v>
      </c>
      <c r="O77" s="228">
        <f t="shared" si="110"/>
        <v>85679153</v>
      </c>
      <c r="P77" s="228">
        <f t="shared" si="110"/>
        <v>142958644</v>
      </c>
      <c r="Q77" s="228">
        <f t="shared" si="110"/>
        <v>54042998</v>
      </c>
      <c r="R77" s="228">
        <f t="shared" si="110"/>
        <v>40187000</v>
      </c>
      <c r="S77" s="228">
        <f t="shared" si="110"/>
        <v>0</v>
      </c>
      <c r="T77" s="228">
        <f t="shared" si="110"/>
        <v>19414000</v>
      </c>
      <c r="U77" s="228">
        <f t="shared" si="110"/>
        <v>42454302</v>
      </c>
      <c r="V77" s="228">
        <f t="shared" si="110"/>
        <v>110921043</v>
      </c>
      <c r="W77" s="228">
        <f t="shared" si="110"/>
        <v>35886027</v>
      </c>
      <c r="X77" s="228">
        <f t="shared" si="110"/>
        <v>0</v>
      </c>
      <c r="Y77" s="228">
        <f t="shared" si="110"/>
        <v>0</v>
      </c>
      <c r="Z77" s="228">
        <f t="shared" si="110"/>
        <v>0</v>
      </c>
      <c r="AA77" s="228">
        <f t="shared" si="110"/>
        <v>0</v>
      </c>
      <c r="AB77" s="228">
        <f t="shared" si="110"/>
        <v>0</v>
      </c>
      <c r="AC77" s="228">
        <f t="shared" si="110"/>
        <v>0</v>
      </c>
      <c r="AD77" s="228">
        <f t="shared" si="110"/>
        <v>0</v>
      </c>
      <c r="AE77" s="228">
        <f t="shared" si="110"/>
        <v>0</v>
      </c>
      <c r="AF77" s="228">
        <f t="shared" si="110"/>
        <v>0</v>
      </c>
      <c r="AG77" s="228">
        <f t="shared" si="110"/>
        <v>0</v>
      </c>
      <c r="AH77" s="228">
        <f t="shared" si="110"/>
        <v>0</v>
      </c>
      <c r="AI77" s="228">
        <f t="shared" si="110"/>
        <v>0</v>
      </c>
      <c r="AJ77" s="228">
        <f t="shared" si="110"/>
        <v>0</v>
      </c>
      <c r="AK77" s="228">
        <f t="shared" si="110"/>
        <v>0</v>
      </c>
      <c r="AL77" s="228">
        <f t="shared" si="110"/>
        <v>0</v>
      </c>
      <c r="AM77" s="228">
        <f t="shared" si="110"/>
        <v>0</v>
      </c>
      <c r="AN77" s="228">
        <f t="shared" si="110"/>
        <v>0</v>
      </c>
      <c r="AO77" s="228">
        <f t="shared" si="110"/>
        <v>0</v>
      </c>
      <c r="AP77" s="228">
        <f t="shared" si="110"/>
        <v>0</v>
      </c>
      <c r="AQ77" s="228">
        <f t="shared" si="110"/>
        <v>0</v>
      </c>
      <c r="AR77" s="228">
        <f t="shared" si="30"/>
        <v>531543167</v>
      </c>
      <c r="AS77" s="229">
        <f t="shared" si="59"/>
        <v>6.0278650389539697E-3</v>
      </c>
      <c r="AT77" s="230">
        <f t="shared" si="6"/>
        <v>350266833</v>
      </c>
      <c r="AU77" s="229">
        <f t="shared" si="9"/>
        <v>39.721349610460308</v>
      </c>
      <c r="AV77" s="220"/>
      <c r="AW77" s="220"/>
      <c r="AX77" s="220" t="s">
        <v>4729</v>
      </c>
      <c r="AY77" s="228">
        <f>AY78+AY82+AY86+AY91+AY95+AY102+AY108+AY113+AY118</f>
        <v>59308000</v>
      </c>
      <c r="AZ77" s="228">
        <f>AZ78+AZ82+AZ86+AZ91+AZ95+AZ102+AZ108+AZ113+AZ118</f>
        <v>142958644</v>
      </c>
      <c r="BA77" s="228">
        <f>BA78+BA82+BA86+BA91+BA95+BA102+BA108+BA113+BA118</f>
        <v>26371153</v>
      </c>
      <c r="BB77" s="228">
        <f>BB78+BB82+BB86+BB91+BB95+BB102+BB108+BB113+BB118</f>
        <v>40187000</v>
      </c>
      <c r="BC77" s="228">
        <f t="shared" ref="BC77" si="112">BC78+BC82+BC86+BC91+BC95+BC102+BC108+BC113+BC118</f>
        <v>18988905</v>
      </c>
      <c r="BD77" s="228">
        <f t="shared" ref="BD77:BE77" si="113">BD78+BD82+BD86+BD91+BD95+BD102+BD108+BD113+BD118</f>
        <v>23465397</v>
      </c>
      <c r="BE77" s="228">
        <f t="shared" si="113"/>
        <v>110921043</v>
      </c>
      <c r="BF77" s="228">
        <f t="shared" ref="BF77" si="114">BF78+BF82+BF86+BF91+BF95+BF102+BF108+BF113+BF118</f>
        <v>0</v>
      </c>
    </row>
    <row r="78" spans="2:58" x14ac:dyDescent="0.3">
      <c r="B78" s="290" t="s">
        <v>8</v>
      </c>
      <c r="C78" s="222" t="s">
        <v>148</v>
      </c>
      <c r="D78" s="222"/>
      <c r="E78" s="222"/>
      <c r="F78" s="223">
        <f t="shared" ref="F78:G78" si="115">SUM(F79:F81)</f>
        <v>18739000</v>
      </c>
      <c r="G78" s="223">
        <f t="shared" si="115"/>
        <v>51100000</v>
      </c>
      <c r="H78" s="223">
        <f t="shared" ref="H78:AQ78" si="116">SUM(H79:H81)</f>
        <v>0</v>
      </c>
      <c r="I78" s="223">
        <f t="shared" si="116"/>
        <v>0</v>
      </c>
      <c r="J78" s="223">
        <f t="shared" si="116"/>
        <v>0</v>
      </c>
      <c r="K78" s="223">
        <f t="shared" si="116"/>
        <v>0</v>
      </c>
      <c r="L78" s="223">
        <f t="shared" si="116"/>
        <v>0</v>
      </c>
      <c r="M78" s="223">
        <f t="shared" si="116"/>
        <v>0</v>
      </c>
      <c r="N78" s="223">
        <f t="shared" si="116"/>
        <v>0</v>
      </c>
      <c r="O78" s="223">
        <f t="shared" si="116"/>
        <v>3135000</v>
      </c>
      <c r="P78" s="223">
        <f t="shared" si="116"/>
        <v>5948800</v>
      </c>
      <c r="Q78" s="223">
        <f t="shared" si="116"/>
        <v>0</v>
      </c>
      <c r="R78" s="223">
        <f t="shared" si="116"/>
        <v>3960000</v>
      </c>
      <c r="S78" s="223">
        <f t="shared" si="116"/>
        <v>0</v>
      </c>
      <c r="T78" s="223">
        <f t="shared" si="116"/>
        <v>0</v>
      </c>
      <c r="U78" s="223">
        <f t="shared" si="116"/>
        <v>3043500</v>
      </c>
      <c r="V78" s="223">
        <f t="shared" si="116"/>
        <v>0</v>
      </c>
      <c r="W78" s="223">
        <f t="shared" si="116"/>
        <v>0</v>
      </c>
      <c r="X78" s="223">
        <f t="shared" si="116"/>
        <v>0</v>
      </c>
      <c r="Y78" s="223">
        <f t="shared" si="116"/>
        <v>0</v>
      </c>
      <c r="Z78" s="223">
        <f t="shared" si="116"/>
        <v>0</v>
      </c>
      <c r="AA78" s="223">
        <f t="shared" si="116"/>
        <v>0</v>
      </c>
      <c r="AB78" s="223">
        <f t="shared" si="116"/>
        <v>0</v>
      </c>
      <c r="AC78" s="223">
        <f t="shared" si="116"/>
        <v>0</v>
      </c>
      <c r="AD78" s="223">
        <f t="shared" si="116"/>
        <v>0</v>
      </c>
      <c r="AE78" s="223">
        <f t="shared" si="116"/>
        <v>0</v>
      </c>
      <c r="AF78" s="223">
        <f t="shared" si="116"/>
        <v>0</v>
      </c>
      <c r="AG78" s="223">
        <f t="shared" si="116"/>
        <v>0</v>
      </c>
      <c r="AH78" s="223">
        <f t="shared" si="116"/>
        <v>0</v>
      </c>
      <c r="AI78" s="223">
        <f t="shared" si="116"/>
        <v>0</v>
      </c>
      <c r="AJ78" s="223">
        <f t="shared" si="116"/>
        <v>0</v>
      </c>
      <c r="AK78" s="223">
        <f t="shared" si="116"/>
        <v>0</v>
      </c>
      <c r="AL78" s="223">
        <f t="shared" si="116"/>
        <v>0</v>
      </c>
      <c r="AM78" s="223">
        <f t="shared" si="116"/>
        <v>0</v>
      </c>
      <c r="AN78" s="223">
        <f t="shared" si="116"/>
        <v>0</v>
      </c>
      <c r="AO78" s="223">
        <f t="shared" si="116"/>
        <v>0</v>
      </c>
      <c r="AP78" s="223">
        <f t="shared" si="116"/>
        <v>0</v>
      </c>
      <c r="AQ78" s="223">
        <f t="shared" si="116"/>
        <v>0</v>
      </c>
      <c r="AR78" s="223">
        <f t="shared" si="30"/>
        <v>16087300</v>
      </c>
      <c r="AS78" s="231">
        <f t="shared" si="59"/>
        <v>8.5849298254976249E-3</v>
      </c>
      <c r="AT78" s="232">
        <f t="shared" si="6"/>
        <v>2651700</v>
      </c>
      <c r="AU78" s="231">
        <f t="shared" si="9"/>
        <v>14.150701745023747</v>
      </c>
      <c r="AV78" s="220" t="s">
        <v>576</v>
      </c>
      <c r="AW78" s="220" t="s">
        <v>560</v>
      </c>
      <c r="AX78" s="220" t="s">
        <v>4729</v>
      </c>
      <c r="AY78" s="223">
        <f t="shared" ref="AY78" si="117">SUM(AY79:AY81)</f>
        <v>3135000</v>
      </c>
      <c r="AZ78" s="223">
        <f t="shared" ref="AZ78:BA78" si="118">SUM(AZ79:AZ81)</f>
        <v>5948800</v>
      </c>
      <c r="BA78" s="223">
        <f t="shared" si="118"/>
        <v>0</v>
      </c>
      <c r="BB78" s="223">
        <f t="shared" ref="BB78" si="119">SUM(BB79:BB81)</f>
        <v>3960000</v>
      </c>
      <c r="BC78" s="223">
        <f t="shared" ref="BC78" si="120">SUM(BC79:BC81)</f>
        <v>0</v>
      </c>
      <c r="BD78" s="223">
        <f t="shared" ref="BD78:BE78" si="121">SUM(BD79:BD81)</f>
        <v>3043500</v>
      </c>
      <c r="BE78" s="223">
        <f t="shared" si="121"/>
        <v>0</v>
      </c>
      <c r="BF78" s="223">
        <f t="shared" ref="BF78" si="122">SUM(BF79:BF81)</f>
        <v>0</v>
      </c>
    </row>
    <row r="79" spans="2:58" x14ac:dyDescent="0.3">
      <c r="B79" s="288">
        <v>521211</v>
      </c>
      <c r="C79" s="220" t="s">
        <v>7</v>
      </c>
      <c r="D79" s="220"/>
      <c r="E79" s="220"/>
      <c r="F79" s="221">
        <v>5000000</v>
      </c>
      <c r="G79" s="221">
        <v>22000000</v>
      </c>
      <c r="H79" s="221"/>
      <c r="I79" s="221"/>
      <c r="J79" s="221"/>
      <c r="K79" s="221"/>
      <c r="L79" s="221"/>
      <c r="M79" s="221"/>
      <c r="N79" s="221"/>
      <c r="O79" s="221"/>
      <c r="P79" s="221">
        <v>3998800</v>
      </c>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c r="AR79" s="221">
        <f t="shared" ref="AR79:AR127" si="123">SUM(H79:AQ79)</f>
        <v>3998800</v>
      </c>
      <c r="AS79" s="224">
        <f t="shared" ref="AS79:AS97" si="124">AR79/F79/100</f>
        <v>7.9976000000000005E-3</v>
      </c>
      <c r="AT79" s="225">
        <f t="shared" ref="AT79:AT122" si="125">F79-AR79</f>
        <v>1001200</v>
      </c>
      <c r="AU79" s="224">
        <f t="shared" ref="AU79:AU127" si="126">AT79/F79*100</f>
        <v>20.024000000000001</v>
      </c>
      <c r="AV79" s="220" t="s">
        <v>576</v>
      </c>
      <c r="AW79" s="220" t="s">
        <v>560</v>
      </c>
      <c r="AX79" s="220" t="s">
        <v>4729</v>
      </c>
      <c r="AY79" s="221"/>
      <c r="AZ79" s="221">
        <v>3998800</v>
      </c>
      <c r="BA79" s="300"/>
      <c r="BB79" s="221"/>
      <c r="BC79" s="221"/>
      <c r="BD79" s="221"/>
      <c r="BE79" s="221"/>
      <c r="BF79" s="221"/>
    </row>
    <row r="80" spans="2:58" x14ac:dyDescent="0.3">
      <c r="B80" s="288">
        <v>524111</v>
      </c>
      <c r="C80" s="220" t="s">
        <v>19</v>
      </c>
      <c r="D80" s="220"/>
      <c r="E80" s="220"/>
      <c r="F80" s="221">
        <v>12989000</v>
      </c>
      <c r="G80" s="221">
        <v>27000000</v>
      </c>
      <c r="H80" s="221"/>
      <c r="I80" s="221"/>
      <c r="J80" s="221"/>
      <c r="K80" s="221"/>
      <c r="L80" s="221"/>
      <c r="M80" s="221"/>
      <c r="N80" s="221"/>
      <c r="O80" s="221">
        <v>2685000</v>
      </c>
      <c r="P80" s="221">
        <v>1650000</v>
      </c>
      <c r="Q80" s="221"/>
      <c r="R80" s="221">
        <v>3960000</v>
      </c>
      <c r="S80" s="221"/>
      <c r="T80" s="221"/>
      <c r="U80" s="221">
        <v>3043500</v>
      </c>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c r="AR80" s="221">
        <f t="shared" si="123"/>
        <v>11338500</v>
      </c>
      <c r="AS80" s="224">
        <f t="shared" si="124"/>
        <v>8.7293094156594038E-3</v>
      </c>
      <c r="AT80" s="225">
        <f t="shared" si="125"/>
        <v>1650500</v>
      </c>
      <c r="AU80" s="224">
        <f t="shared" si="126"/>
        <v>12.706905843405957</v>
      </c>
      <c r="AV80" s="220" t="s">
        <v>576</v>
      </c>
      <c r="AW80" s="220" t="s">
        <v>560</v>
      </c>
      <c r="AX80" s="220" t="s">
        <v>4729</v>
      </c>
      <c r="AY80" s="221">
        <v>2685000</v>
      </c>
      <c r="AZ80" s="221">
        <v>1650000</v>
      </c>
      <c r="BA80" s="300"/>
      <c r="BB80" s="221">
        <v>3960000</v>
      </c>
      <c r="BC80" s="221"/>
      <c r="BD80" s="221">
        <v>3043500</v>
      </c>
      <c r="BE80" s="221"/>
      <c r="BF80" s="221"/>
    </row>
    <row r="81" spans="2:60" x14ac:dyDescent="0.3">
      <c r="B81" s="288">
        <v>524113</v>
      </c>
      <c r="C81" s="220" t="s">
        <v>13</v>
      </c>
      <c r="D81" s="220"/>
      <c r="E81" s="220"/>
      <c r="F81" s="221">
        <v>750000</v>
      </c>
      <c r="G81" s="221">
        <v>2100000</v>
      </c>
      <c r="H81" s="221"/>
      <c r="I81" s="221"/>
      <c r="J81" s="221"/>
      <c r="K81" s="221"/>
      <c r="L81" s="221"/>
      <c r="M81" s="221"/>
      <c r="N81" s="221"/>
      <c r="O81" s="221">
        <v>450000</v>
      </c>
      <c r="P81" s="221">
        <v>300000</v>
      </c>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c r="AR81" s="221">
        <f t="shared" si="123"/>
        <v>750000</v>
      </c>
      <c r="AS81" s="224">
        <f t="shared" si="124"/>
        <v>0.01</v>
      </c>
      <c r="AT81" s="225">
        <f t="shared" si="125"/>
        <v>0</v>
      </c>
      <c r="AU81" s="224">
        <f t="shared" si="126"/>
        <v>0</v>
      </c>
      <c r="AV81" s="220" t="s">
        <v>576</v>
      </c>
      <c r="AW81" s="220" t="s">
        <v>560</v>
      </c>
      <c r="AX81" s="220" t="s">
        <v>4729</v>
      </c>
      <c r="AY81" s="221">
        <v>450000</v>
      </c>
      <c r="AZ81" s="221">
        <v>300000</v>
      </c>
      <c r="BA81" s="300"/>
      <c r="BB81" s="221"/>
      <c r="BC81" s="221"/>
      <c r="BD81" s="221"/>
      <c r="BE81" s="221"/>
      <c r="BF81" s="221"/>
    </row>
    <row r="82" spans="2:60" x14ac:dyDescent="0.3">
      <c r="B82" s="290" t="s">
        <v>511</v>
      </c>
      <c r="C82" s="222" t="s">
        <v>150</v>
      </c>
      <c r="D82" s="222"/>
      <c r="E82" s="222"/>
      <c r="F82" s="223">
        <f t="shared" ref="F82:AQ82" si="127">SUM(F83:F85)</f>
        <v>385665000</v>
      </c>
      <c r="G82" s="223">
        <f t="shared" ref="G82" si="128">SUM(G83:G85)</f>
        <v>548180000</v>
      </c>
      <c r="H82" s="223">
        <f t="shared" si="127"/>
        <v>0</v>
      </c>
      <c r="I82" s="223">
        <f t="shared" si="127"/>
        <v>0</v>
      </c>
      <c r="J82" s="223">
        <f t="shared" si="127"/>
        <v>0</v>
      </c>
      <c r="K82" s="223">
        <f t="shared" si="127"/>
        <v>0</v>
      </c>
      <c r="L82" s="223">
        <f t="shared" si="127"/>
        <v>0</v>
      </c>
      <c r="M82" s="223">
        <f t="shared" si="127"/>
        <v>0</v>
      </c>
      <c r="N82" s="223">
        <f t="shared" si="127"/>
        <v>0</v>
      </c>
      <c r="O82" s="223">
        <f t="shared" si="127"/>
        <v>49559600</v>
      </c>
      <c r="P82" s="223">
        <f t="shared" si="127"/>
        <v>23771900</v>
      </c>
      <c r="Q82" s="223">
        <f t="shared" si="127"/>
        <v>34977460</v>
      </c>
      <c r="R82" s="223">
        <f t="shared" si="127"/>
        <v>31588000</v>
      </c>
      <c r="S82" s="223">
        <f t="shared" si="127"/>
        <v>0</v>
      </c>
      <c r="T82" s="223">
        <f t="shared" si="127"/>
        <v>0</v>
      </c>
      <c r="U82" s="223">
        <f t="shared" si="127"/>
        <v>14558751</v>
      </c>
      <c r="V82" s="223">
        <f t="shared" si="127"/>
        <v>13125750</v>
      </c>
      <c r="W82" s="223">
        <f t="shared" si="127"/>
        <v>0</v>
      </c>
      <c r="X82" s="223">
        <f t="shared" si="127"/>
        <v>0</v>
      </c>
      <c r="Y82" s="223">
        <f t="shared" si="127"/>
        <v>0</v>
      </c>
      <c r="Z82" s="223">
        <f t="shared" si="127"/>
        <v>0</v>
      </c>
      <c r="AA82" s="223">
        <f t="shared" si="127"/>
        <v>0</v>
      </c>
      <c r="AB82" s="223">
        <f t="shared" si="127"/>
        <v>0</v>
      </c>
      <c r="AC82" s="223">
        <f t="shared" si="127"/>
        <v>0</v>
      </c>
      <c r="AD82" s="223">
        <f t="shared" si="127"/>
        <v>0</v>
      </c>
      <c r="AE82" s="223">
        <f t="shared" si="127"/>
        <v>0</v>
      </c>
      <c r="AF82" s="223">
        <f t="shared" si="127"/>
        <v>0</v>
      </c>
      <c r="AG82" s="223">
        <f t="shared" si="127"/>
        <v>0</v>
      </c>
      <c r="AH82" s="223">
        <f t="shared" si="127"/>
        <v>0</v>
      </c>
      <c r="AI82" s="223">
        <f t="shared" si="127"/>
        <v>0</v>
      </c>
      <c r="AJ82" s="223">
        <f t="shared" si="127"/>
        <v>0</v>
      </c>
      <c r="AK82" s="223">
        <f t="shared" si="127"/>
        <v>0</v>
      </c>
      <c r="AL82" s="223">
        <f t="shared" si="127"/>
        <v>0</v>
      </c>
      <c r="AM82" s="223">
        <f t="shared" si="127"/>
        <v>0</v>
      </c>
      <c r="AN82" s="223">
        <f t="shared" si="127"/>
        <v>0</v>
      </c>
      <c r="AO82" s="223">
        <f t="shared" si="127"/>
        <v>0</v>
      </c>
      <c r="AP82" s="223">
        <f t="shared" si="127"/>
        <v>0</v>
      </c>
      <c r="AQ82" s="223">
        <f t="shared" si="127"/>
        <v>0</v>
      </c>
      <c r="AR82" s="223">
        <f t="shared" si="123"/>
        <v>167581461</v>
      </c>
      <c r="AS82" s="231">
        <f t="shared" si="124"/>
        <v>4.3452597720819884E-3</v>
      </c>
      <c r="AT82" s="232">
        <f t="shared" si="125"/>
        <v>218083539</v>
      </c>
      <c r="AU82" s="231">
        <f t="shared" si="126"/>
        <v>56.547402279180112</v>
      </c>
      <c r="AV82" s="220" t="s">
        <v>576</v>
      </c>
      <c r="AW82" s="220" t="s">
        <v>560</v>
      </c>
      <c r="AX82" s="220" t="s">
        <v>4729</v>
      </c>
      <c r="AY82" s="223">
        <f>SUM(AY83:AY85)</f>
        <v>49105600</v>
      </c>
      <c r="AZ82" s="223">
        <f>SUM(AZ83:AZ85)</f>
        <v>23771900</v>
      </c>
      <c r="BA82" s="223">
        <f>SUM(BA83:BA85)</f>
        <v>454000</v>
      </c>
      <c r="BB82" s="223">
        <f>SUM(BB83:BB85)</f>
        <v>31588000</v>
      </c>
      <c r="BC82" s="223">
        <f t="shared" ref="BC82" si="129">SUM(BC83:BC85)</f>
        <v>10477701</v>
      </c>
      <c r="BD82" s="223">
        <f t="shared" ref="BD82:BE82" si="130">SUM(BD83:BD85)</f>
        <v>4081050</v>
      </c>
      <c r="BE82" s="223">
        <f t="shared" si="130"/>
        <v>13125750</v>
      </c>
      <c r="BF82" s="223">
        <f t="shared" ref="BF82" si="131">SUM(BF83:BF85)</f>
        <v>0</v>
      </c>
    </row>
    <row r="83" spans="2:60" x14ac:dyDescent="0.3">
      <c r="B83" s="288">
        <v>521211</v>
      </c>
      <c r="C83" s="220" t="s">
        <v>7</v>
      </c>
      <c r="D83" s="220"/>
      <c r="E83" s="220"/>
      <c r="F83" s="221">
        <v>10000000</v>
      </c>
      <c r="G83" s="221">
        <v>10000000</v>
      </c>
      <c r="H83" s="221"/>
      <c r="I83" s="221"/>
      <c r="J83" s="221"/>
      <c r="K83" s="221"/>
      <c r="L83" s="221"/>
      <c r="M83" s="221"/>
      <c r="N83" s="221"/>
      <c r="O83" s="221">
        <v>2485000</v>
      </c>
      <c r="P83" s="221"/>
      <c r="Q83" s="221"/>
      <c r="R83" s="221"/>
      <c r="S83" s="221"/>
      <c r="T83" s="221"/>
      <c r="U83" s="221"/>
      <c r="V83" s="221">
        <v>2485000</v>
      </c>
      <c r="W83" s="221"/>
      <c r="X83" s="221"/>
      <c r="Y83" s="221"/>
      <c r="Z83" s="221"/>
      <c r="AA83" s="221"/>
      <c r="AB83" s="221"/>
      <c r="AC83" s="221"/>
      <c r="AD83" s="221"/>
      <c r="AE83" s="221"/>
      <c r="AF83" s="221"/>
      <c r="AG83" s="221"/>
      <c r="AH83" s="221"/>
      <c r="AI83" s="221"/>
      <c r="AJ83" s="221"/>
      <c r="AK83" s="221"/>
      <c r="AL83" s="221"/>
      <c r="AM83" s="221"/>
      <c r="AN83" s="221"/>
      <c r="AO83" s="221"/>
      <c r="AP83" s="221"/>
      <c r="AQ83" s="221"/>
      <c r="AR83" s="221">
        <f t="shared" si="123"/>
        <v>4970000</v>
      </c>
      <c r="AS83" s="224">
        <f t="shared" si="124"/>
        <v>4.9699999999999996E-3</v>
      </c>
      <c r="AT83" s="225">
        <f t="shared" si="125"/>
        <v>5030000</v>
      </c>
      <c r="AU83" s="224">
        <f t="shared" si="126"/>
        <v>50.3</v>
      </c>
      <c r="AV83" s="220" t="s">
        <v>576</v>
      </c>
      <c r="AW83" s="220" t="s">
        <v>560</v>
      </c>
      <c r="AX83" s="220" t="s">
        <v>4729</v>
      </c>
      <c r="AY83" s="221">
        <v>2485000</v>
      </c>
      <c r="AZ83" s="221"/>
      <c r="BA83" s="300"/>
      <c r="BB83" s="221"/>
      <c r="BC83" s="221"/>
      <c r="BD83" s="221"/>
      <c r="BE83" s="221">
        <v>2485000</v>
      </c>
      <c r="BF83" s="221"/>
    </row>
    <row r="84" spans="2:60" x14ac:dyDescent="0.3">
      <c r="B84" s="288">
        <v>522192</v>
      </c>
      <c r="C84" s="220" t="s">
        <v>24</v>
      </c>
      <c r="D84" s="220"/>
      <c r="E84" s="220"/>
      <c r="F84" s="221">
        <v>2031000</v>
      </c>
      <c r="G84" s="221">
        <v>23680000</v>
      </c>
      <c r="H84" s="221"/>
      <c r="I84" s="221"/>
      <c r="J84" s="221"/>
      <c r="K84" s="221"/>
      <c r="L84" s="221"/>
      <c r="M84" s="221"/>
      <c r="N84" s="221"/>
      <c r="O84" s="221">
        <f>1235000+454000</f>
        <v>1689000</v>
      </c>
      <c r="P84" s="221">
        <v>342000</v>
      </c>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c r="AR84" s="221">
        <f t="shared" si="123"/>
        <v>2031000</v>
      </c>
      <c r="AS84" s="224">
        <f t="shared" si="124"/>
        <v>0.01</v>
      </c>
      <c r="AT84" s="225">
        <f t="shared" si="125"/>
        <v>0</v>
      </c>
      <c r="AU84" s="224">
        <f t="shared" si="126"/>
        <v>0</v>
      </c>
      <c r="AV84" s="220" t="s">
        <v>576</v>
      </c>
      <c r="AW84" s="220" t="s">
        <v>560</v>
      </c>
      <c r="AX84" s="220" t="s">
        <v>4729</v>
      </c>
      <c r="AY84" s="221">
        <v>1235000</v>
      </c>
      <c r="AZ84" s="221">
        <v>342000</v>
      </c>
      <c r="BA84" s="300">
        <v>454000</v>
      </c>
      <c r="BB84" s="221"/>
      <c r="BC84" s="221"/>
      <c r="BD84" s="221"/>
      <c r="BE84" s="221"/>
      <c r="BF84" s="221"/>
    </row>
    <row r="85" spans="2:60" x14ac:dyDescent="0.3">
      <c r="B85" s="288">
        <v>524111</v>
      </c>
      <c r="C85" s="220" t="s">
        <v>19</v>
      </c>
      <c r="D85" s="220"/>
      <c r="E85" s="220"/>
      <c r="F85" s="221">
        <v>373634000</v>
      </c>
      <c r="G85" s="221">
        <v>514500000</v>
      </c>
      <c r="H85" s="221"/>
      <c r="I85" s="221"/>
      <c r="J85" s="221"/>
      <c r="K85" s="221"/>
      <c r="L85" s="221"/>
      <c r="M85" s="221"/>
      <c r="N85" s="221"/>
      <c r="O85" s="221">
        <v>45385600</v>
      </c>
      <c r="P85" s="221">
        <v>23429900</v>
      </c>
      <c r="Q85" s="221">
        <v>34977460</v>
      </c>
      <c r="R85" s="221">
        <v>31588000</v>
      </c>
      <c r="S85" s="221"/>
      <c r="T85" s="221"/>
      <c r="U85" s="221">
        <f>10477701+4081050</f>
        <v>14558751</v>
      </c>
      <c r="V85" s="221">
        <v>10640750</v>
      </c>
      <c r="W85" s="221"/>
      <c r="X85" s="221"/>
      <c r="Y85" s="221"/>
      <c r="Z85" s="221"/>
      <c r="AA85" s="221"/>
      <c r="AB85" s="221"/>
      <c r="AC85" s="221"/>
      <c r="AD85" s="221"/>
      <c r="AE85" s="221"/>
      <c r="AF85" s="221"/>
      <c r="AG85" s="221"/>
      <c r="AH85" s="221"/>
      <c r="AI85" s="221"/>
      <c r="AJ85" s="221"/>
      <c r="AK85" s="221"/>
      <c r="AL85" s="221"/>
      <c r="AM85" s="221"/>
      <c r="AN85" s="221"/>
      <c r="AO85" s="221"/>
      <c r="AP85" s="221"/>
      <c r="AQ85" s="221"/>
      <c r="AR85" s="221">
        <f t="shared" si="123"/>
        <v>160580461</v>
      </c>
      <c r="AS85" s="224">
        <f t="shared" si="124"/>
        <v>4.2978010834131795E-3</v>
      </c>
      <c r="AT85" s="225">
        <f t="shared" si="125"/>
        <v>213053539</v>
      </c>
      <c r="AU85" s="224">
        <f t="shared" si="126"/>
        <v>57.021989165868206</v>
      </c>
      <c r="AV85" s="220" t="s">
        <v>576</v>
      </c>
      <c r="AW85" s="220" t="s">
        <v>560</v>
      </c>
      <c r="AX85" s="220" t="s">
        <v>4729</v>
      </c>
      <c r="AY85" s="221">
        <v>45385600</v>
      </c>
      <c r="AZ85" s="221">
        <v>23429900</v>
      </c>
      <c r="BA85" s="300"/>
      <c r="BB85" s="221">
        <v>31588000</v>
      </c>
      <c r="BC85" s="221">
        <v>10477701</v>
      </c>
      <c r="BD85" s="221">
        <v>4081050</v>
      </c>
      <c r="BE85" s="221">
        <v>10640750</v>
      </c>
      <c r="BF85" s="221"/>
    </row>
    <row r="86" spans="2:60" x14ac:dyDescent="0.3">
      <c r="B86" s="290" t="s">
        <v>512</v>
      </c>
      <c r="C86" s="222" t="s">
        <v>1418</v>
      </c>
      <c r="D86" s="222"/>
      <c r="E86" s="222"/>
      <c r="F86" s="223">
        <f t="shared" ref="F86:AQ86" si="132">SUM(F87:F90)</f>
        <v>56750000</v>
      </c>
      <c r="G86" s="223">
        <f t="shared" ref="G86" si="133">SUM(G87:G90)</f>
        <v>74500000</v>
      </c>
      <c r="H86" s="223">
        <f t="shared" si="132"/>
        <v>0</v>
      </c>
      <c r="I86" s="223">
        <f t="shared" si="132"/>
        <v>0</v>
      </c>
      <c r="J86" s="223">
        <f t="shared" si="132"/>
        <v>0</v>
      </c>
      <c r="K86" s="223">
        <f t="shared" si="132"/>
        <v>0</v>
      </c>
      <c r="L86" s="223">
        <f t="shared" si="132"/>
        <v>0</v>
      </c>
      <c r="M86" s="223">
        <f t="shared" si="132"/>
        <v>0</v>
      </c>
      <c r="N86" s="223">
        <f t="shared" si="132"/>
        <v>0</v>
      </c>
      <c r="O86" s="223">
        <f t="shared" si="132"/>
        <v>600000</v>
      </c>
      <c r="P86" s="223">
        <f t="shared" si="132"/>
        <v>5277000</v>
      </c>
      <c r="Q86" s="223">
        <f t="shared" si="132"/>
        <v>0</v>
      </c>
      <c r="R86" s="223">
        <f t="shared" si="132"/>
        <v>0</v>
      </c>
      <c r="S86" s="223">
        <f t="shared" si="132"/>
        <v>0</v>
      </c>
      <c r="T86" s="223">
        <f t="shared" si="132"/>
        <v>0</v>
      </c>
      <c r="U86" s="223">
        <f t="shared" si="132"/>
        <v>7020000</v>
      </c>
      <c r="V86" s="223">
        <f t="shared" si="132"/>
        <v>29384740</v>
      </c>
      <c r="W86" s="223">
        <f t="shared" si="132"/>
        <v>0</v>
      </c>
      <c r="X86" s="223">
        <f t="shared" si="132"/>
        <v>0</v>
      </c>
      <c r="Y86" s="223">
        <f t="shared" si="132"/>
        <v>0</v>
      </c>
      <c r="Z86" s="223">
        <f t="shared" si="132"/>
        <v>0</v>
      </c>
      <c r="AA86" s="223">
        <f t="shared" si="132"/>
        <v>0</v>
      </c>
      <c r="AB86" s="223">
        <f t="shared" si="132"/>
        <v>0</v>
      </c>
      <c r="AC86" s="223">
        <f t="shared" si="132"/>
        <v>0</v>
      </c>
      <c r="AD86" s="223">
        <f t="shared" si="132"/>
        <v>0</v>
      </c>
      <c r="AE86" s="223">
        <f t="shared" si="132"/>
        <v>0</v>
      </c>
      <c r="AF86" s="223">
        <f t="shared" si="132"/>
        <v>0</v>
      </c>
      <c r="AG86" s="223">
        <f t="shared" si="132"/>
        <v>0</v>
      </c>
      <c r="AH86" s="223">
        <f t="shared" si="132"/>
        <v>0</v>
      </c>
      <c r="AI86" s="223">
        <f t="shared" si="132"/>
        <v>0</v>
      </c>
      <c r="AJ86" s="223">
        <f t="shared" si="132"/>
        <v>0</v>
      </c>
      <c r="AK86" s="223">
        <f t="shared" si="132"/>
        <v>0</v>
      </c>
      <c r="AL86" s="223">
        <f t="shared" si="132"/>
        <v>0</v>
      </c>
      <c r="AM86" s="223">
        <f t="shared" si="132"/>
        <v>0</v>
      </c>
      <c r="AN86" s="223">
        <f t="shared" si="132"/>
        <v>0</v>
      </c>
      <c r="AO86" s="223">
        <f t="shared" si="132"/>
        <v>0</v>
      </c>
      <c r="AP86" s="223">
        <f t="shared" si="132"/>
        <v>0</v>
      </c>
      <c r="AQ86" s="223">
        <f t="shared" si="132"/>
        <v>0</v>
      </c>
      <c r="AR86" s="223">
        <f t="shared" si="123"/>
        <v>42281740</v>
      </c>
      <c r="AS86" s="231">
        <f t="shared" si="124"/>
        <v>7.4505268722466957E-3</v>
      </c>
      <c r="AT86" s="232">
        <f t="shared" si="125"/>
        <v>14468260</v>
      </c>
      <c r="AU86" s="231">
        <f t="shared" si="126"/>
        <v>25.494731277533038</v>
      </c>
      <c r="AV86" s="220" t="s">
        <v>576</v>
      </c>
      <c r="AW86" s="220" t="s">
        <v>560</v>
      </c>
      <c r="AX86" s="220" t="s">
        <v>4729</v>
      </c>
      <c r="AY86" s="223">
        <f t="shared" ref="AY86:BB86" si="134">SUM(AY87:AY90)</f>
        <v>600000</v>
      </c>
      <c r="AZ86" s="223">
        <f t="shared" si="134"/>
        <v>5277000</v>
      </c>
      <c r="BA86" s="223">
        <f t="shared" si="134"/>
        <v>0</v>
      </c>
      <c r="BB86" s="223">
        <f t="shared" si="134"/>
        <v>0</v>
      </c>
      <c r="BC86" s="223">
        <f t="shared" ref="BC86" si="135">SUM(BC87:BC90)</f>
        <v>3300000</v>
      </c>
      <c r="BD86" s="223">
        <f t="shared" ref="BD86:BE86" si="136">SUM(BD87:BD90)</f>
        <v>3720000</v>
      </c>
      <c r="BE86" s="223">
        <f t="shared" si="136"/>
        <v>29384740</v>
      </c>
      <c r="BF86" s="223">
        <f t="shared" ref="BF86" si="137">SUM(BF87:BF90)</f>
        <v>0</v>
      </c>
    </row>
    <row r="87" spans="2:60" x14ac:dyDescent="0.3">
      <c r="B87" s="288">
        <v>521211</v>
      </c>
      <c r="C87" s="220" t="s">
        <v>7</v>
      </c>
      <c r="D87" s="220"/>
      <c r="E87" s="220"/>
      <c r="F87" s="221">
        <v>33500000</v>
      </c>
      <c r="G87" s="221">
        <v>46000000</v>
      </c>
      <c r="H87" s="221"/>
      <c r="I87" s="221"/>
      <c r="J87" s="221"/>
      <c r="K87" s="221"/>
      <c r="L87" s="221"/>
      <c r="M87" s="221"/>
      <c r="N87" s="221"/>
      <c r="O87" s="221"/>
      <c r="P87" s="221">
        <v>3987000</v>
      </c>
      <c r="Q87" s="221"/>
      <c r="R87" s="221"/>
      <c r="S87" s="221"/>
      <c r="T87" s="221"/>
      <c r="U87" s="221"/>
      <c r="V87" s="221">
        <v>29384740</v>
      </c>
      <c r="W87" s="221"/>
      <c r="X87" s="221"/>
      <c r="Y87" s="221"/>
      <c r="Z87" s="221"/>
      <c r="AA87" s="221"/>
      <c r="AB87" s="221"/>
      <c r="AC87" s="221"/>
      <c r="AD87" s="221"/>
      <c r="AE87" s="221"/>
      <c r="AF87" s="221"/>
      <c r="AG87" s="221"/>
      <c r="AH87" s="221"/>
      <c r="AI87" s="221"/>
      <c r="AJ87" s="221"/>
      <c r="AK87" s="221"/>
      <c r="AL87" s="221"/>
      <c r="AM87" s="221"/>
      <c r="AN87" s="221"/>
      <c r="AO87" s="221"/>
      <c r="AP87" s="221"/>
      <c r="AQ87" s="221"/>
      <c r="AR87" s="221">
        <f t="shared" si="123"/>
        <v>33371740</v>
      </c>
      <c r="AS87" s="224">
        <f t="shared" si="124"/>
        <v>9.9617134328358215E-3</v>
      </c>
      <c r="AT87" s="225">
        <f t="shared" si="125"/>
        <v>128260</v>
      </c>
      <c r="AU87" s="224">
        <f t="shared" si="126"/>
        <v>0.38286567164179103</v>
      </c>
      <c r="AV87" s="220" t="s">
        <v>576</v>
      </c>
      <c r="AW87" s="220" t="s">
        <v>560</v>
      </c>
      <c r="AX87" s="220" t="s">
        <v>4729</v>
      </c>
      <c r="AY87" s="221"/>
      <c r="AZ87" s="221">
        <v>3987000</v>
      </c>
      <c r="BA87" s="300"/>
      <c r="BB87" s="221"/>
      <c r="BC87" s="221"/>
      <c r="BD87" s="221"/>
      <c r="BE87" s="221">
        <v>29384740</v>
      </c>
      <c r="BF87" s="221"/>
    </row>
    <row r="88" spans="2:60" x14ac:dyDescent="0.3">
      <c r="B88" s="288">
        <v>522141</v>
      </c>
      <c r="C88" s="220" t="s">
        <v>95</v>
      </c>
      <c r="D88" s="220"/>
      <c r="E88" s="220"/>
      <c r="F88" s="221">
        <v>3000000</v>
      </c>
      <c r="G88" s="221">
        <v>6000000</v>
      </c>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c r="AR88" s="221">
        <f t="shared" si="123"/>
        <v>0</v>
      </c>
      <c r="AS88" s="224">
        <f t="shared" si="124"/>
        <v>0</v>
      </c>
      <c r="AT88" s="225">
        <f t="shared" si="125"/>
        <v>3000000</v>
      </c>
      <c r="AU88" s="224">
        <f t="shared" si="126"/>
        <v>100</v>
      </c>
      <c r="AV88" s="220" t="s">
        <v>576</v>
      </c>
      <c r="AW88" s="220" t="s">
        <v>560</v>
      </c>
      <c r="AX88" s="220" t="s">
        <v>4729</v>
      </c>
      <c r="AY88" s="221"/>
      <c r="AZ88" s="221"/>
      <c r="BA88" s="300"/>
      <c r="BB88" s="221"/>
      <c r="BC88" s="221"/>
      <c r="BD88" s="221"/>
      <c r="BE88" s="221"/>
      <c r="BF88" s="221"/>
    </row>
    <row r="89" spans="2:60" x14ac:dyDescent="0.3">
      <c r="B89" s="288">
        <v>524111</v>
      </c>
      <c r="C89" s="220" t="s">
        <v>19</v>
      </c>
      <c r="D89" s="220"/>
      <c r="E89" s="220"/>
      <c r="F89" s="221">
        <v>18000000</v>
      </c>
      <c r="G89" s="221">
        <v>18000000</v>
      </c>
      <c r="H89" s="221"/>
      <c r="I89" s="221"/>
      <c r="J89" s="221"/>
      <c r="K89" s="221"/>
      <c r="L89" s="221"/>
      <c r="M89" s="221"/>
      <c r="N89" s="221"/>
      <c r="O89" s="221"/>
      <c r="P89" s="221">
        <v>1290000</v>
      </c>
      <c r="Q89" s="221"/>
      <c r="R89" s="221"/>
      <c r="S89" s="221"/>
      <c r="T89" s="221"/>
      <c r="U89" s="221">
        <f>3300000+3720000</f>
        <v>7020000</v>
      </c>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c r="AR89" s="221">
        <f t="shared" si="123"/>
        <v>8310000</v>
      </c>
      <c r="AS89" s="224">
        <f t="shared" si="124"/>
        <v>4.6166666666666665E-3</v>
      </c>
      <c r="AT89" s="225">
        <f t="shared" si="125"/>
        <v>9690000</v>
      </c>
      <c r="AU89" s="224">
        <f t="shared" si="126"/>
        <v>53.833333333333336</v>
      </c>
      <c r="AV89" s="220" t="s">
        <v>576</v>
      </c>
      <c r="AW89" s="220" t="s">
        <v>560</v>
      </c>
      <c r="AX89" s="220" t="s">
        <v>4729</v>
      </c>
      <c r="AY89" s="221"/>
      <c r="AZ89" s="221">
        <v>1290000</v>
      </c>
      <c r="BA89" s="300"/>
      <c r="BB89" s="221"/>
      <c r="BC89" s="221">
        <v>3300000</v>
      </c>
      <c r="BD89" s="221">
        <v>3720000</v>
      </c>
      <c r="BE89" s="221"/>
      <c r="BF89" s="221"/>
      <c r="BH89" t="s">
        <v>4644</v>
      </c>
    </row>
    <row r="90" spans="2:60" x14ac:dyDescent="0.3">
      <c r="B90" s="288">
        <v>524113</v>
      </c>
      <c r="C90" s="220" t="s">
        <v>13</v>
      </c>
      <c r="D90" s="220"/>
      <c r="E90" s="220"/>
      <c r="F90" s="221">
        <v>2250000</v>
      </c>
      <c r="G90" s="221">
        <v>4500000</v>
      </c>
      <c r="H90" s="221"/>
      <c r="I90" s="221"/>
      <c r="J90" s="221"/>
      <c r="K90" s="221"/>
      <c r="L90" s="221"/>
      <c r="M90" s="221"/>
      <c r="N90" s="221"/>
      <c r="O90" s="221">
        <v>600000</v>
      </c>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c r="AR90" s="221">
        <f t="shared" si="123"/>
        <v>600000</v>
      </c>
      <c r="AS90" s="224">
        <f t="shared" si="124"/>
        <v>2.6666666666666666E-3</v>
      </c>
      <c r="AT90" s="225">
        <f t="shared" si="125"/>
        <v>1650000</v>
      </c>
      <c r="AU90" s="224">
        <f t="shared" si="126"/>
        <v>73.333333333333329</v>
      </c>
      <c r="AV90" s="220" t="s">
        <v>576</v>
      </c>
      <c r="AW90" s="220" t="s">
        <v>560</v>
      </c>
      <c r="AX90" s="220" t="s">
        <v>4729</v>
      </c>
      <c r="AY90" s="221">
        <v>600000</v>
      </c>
      <c r="AZ90" s="221"/>
      <c r="BA90" s="300"/>
      <c r="BB90" s="221"/>
      <c r="BC90" s="221"/>
      <c r="BD90" s="221"/>
      <c r="BE90" s="221"/>
      <c r="BF90" s="221"/>
    </row>
    <row r="91" spans="2:60" x14ac:dyDescent="0.3">
      <c r="B91" s="290" t="s">
        <v>514</v>
      </c>
      <c r="C91" s="222" t="s">
        <v>151</v>
      </c>
      <c r="D91" s="222"/>
      <c r="E91" s="222"/>
      <c r="F91" s="223">
        <f t="shared" ref="F91:AQ91" si="138">SUM(F92:F94)</f>
        <v>61193000</v>
      </c>
      <c r="G91" s="223">
        <f t="shared" ref="G91" si="139">SUM(G92:G94)</f>
        <v>101050000</v>
      </c>
      <c r="H91" s="223">
        <f t="shared" si="138"/>
        <v>0</v>
      </c>
      <c r="I91" s="223">
        <f t="shared" si="138"/>
        <v>0</v>
      </c>
      <c r="J91" s="223">
        <f t="shared" si="138"/>
        <v>0</v>
      </c>
      <c r="K91" s="223">
        <f t="shared" si="138"/>
        <v>0</v>
      </c>
      <c r="L91" s="223">
        <f t="shared" si="138"/>
        <v>0</v>
      </c>
      <c r="M91" s="223">
        <f t="shared" si="138"/>
        <v>0</v>
      </c>
      <c r="N91" s="223">
        <f t="shared" si="138"/>
        <v>0</v>
      </c>
      <c r="O91" s="223">
        <f t="shared" si="138"/>
        <v>4907400</v>
      </c>
      <c r="P91" s="223">
        <f t="shared" si="138"/>
        <v>8779000</v>
      </c>
      <c r="Q91" s="223">
        <f t="shared" si="138"/>
        <v>14352838</v>
      </c>
      <c r="R91" s="223">
        <f t="shared" si="138"/>
        <v>1410000</v>
      </c>
      <c r="S91" s="223">
        <f t="shared" si="138"/>
        <v>0</v>
      </c>
      <c r="T91" s="223">
        <f t="shared" si="138"/>
        <v>0</v>
      </c>
      <c r="U91" s="223">
        <f t="shared" si="138"/>
        <v>0</v>
      </c>
      <c r="V91" s="223">
        <f t="shared" si="138"/>
        <v>3691500</v>
      </c>
      <c r="W91" s="223">
        <f t="shared" si="138"/>
        <v>0</v>
      </c>
      <c r="X91" s="223">
        <f t="shared" si="138"/>
        <v>0</v>
      </c>
      <c r="Y91" s="223">
        <f t="shared" si="138"/>
        <v>0</v>
      </c>
      <c r="Z91" s="223">
        <f t="shared" si="138"/>
        <v>0</v>
      </c>
      <c r="AA91" s="223">
        <f t="shared" si="138"/>
        <v>0</v>
      </c>
      <c r="AB91" s="223">
        <f t="shared" si="138"/>
        <v>0</v>
      </c>
      <c r="AC91" s="223">
        <f t="shared" si="138"/>
        <v>0</v>
      </c>
      <c r="AD91" s="223">
        <f t="shared" si="138"/>
        <v>0</v>
      </c>
      <c r="AE91" s="223">
        <f t="shared" si="138"/>
        <v>0</v>
      </c>
      <c r="AF91" s="223">
        <f t="shared" si="138"/>
        <v>0</v>
      </c>
      <c r="AG91" s="223">
        <f t="shared" si="138"/>
        <v>0</v>
      </c>
      <c r="AH91" s="223">
        <f t="shared" si="138"/>
        <v>0</v>
      </c>
      <c r="AI91" s="223">
        <f t="shared" si="138"/>
        <v>0</v>
      </c>
      <c r="AJ91" s="223">
        <f t="shared" si="138"/>
        <v>0</v>
      </c>
      <c r="AK91" s="223">
        <f t="shared" si="138"/>
        <v>0</v>
      </c>
      <c r="AL91" s="223">
        <f t="shared" si="138"/>
        <v>0</v>
      </c>
      <c r="AM91" s="223">
        <f t="shared" si="138"/>
        <v>0</v>
      </c>
      <c r="AN91" s="223">
        <f t="shared" si="138"/>
        <v>0</v>
      </c>
      <c r="AO91" s="223">
        <f t="shared" si="138"/>
        <v>0</v>
      </c>
      <c r="AP91" s="223">
        <f t="shared" si="138"/>
        <v>0</v>
      </c>
      <c r="AQ91" s="223">
        <f t="shared" si="138"/>
        <v>0</v>
      </c>
      <c r="AR91" s="223">
        <f t="shared" si="123"/>
        <v>33140738</v>
      </c>
      <c r="AS91" s="231">
        <f t="shared" si="124"/>
        <v>5.415772719101858E-3</v>
      </c>
      <c r="AT91" s="232">
        <f t="shared" si="125"/>
        <v>28052262</v>
      </c>
      <c r="AU91" s="231">
        <f t="shared" si="126"/>
        <v>45.84227280898142</v>
      </c>
      <c r="AV91" s="220" t="s">
        <v>576</v>
      </c>
      <c r="AW91" s="220" t="s">
        <v>560</v>
      </c>
      <c r="AX91" s="220" t="s">
        <v>4729</v>
      </c>
      <c r="AY91" s="223">
        <f t="shared" ref="AY91:BB91" si="140">SUM(AY92:AY94)</f>
        <v>4907400</v>
      </c>
      <c r="AZ91" s="223">
        <f t="shared" si="140"/>
        <v>8779000</v>
      </c>
      <c r="BA91" s="223">
        <f t="shared" si="140"/>
        <v>0</v>
      </c>
      <c r="BB91" s="223">
        <f t="shared" si="140"/>
        <v>1410000</v>
      </c>
      <c r="BC91" s="223">
        <f t="shared" ref="BC91" si="141">SUM(BC92:BC94)</f>
        <v>0</v>
      </c>
      <c r="BD91" s="223">
        <f t="shared" ref="BD91:BE91" si="142">SUM(BD92:BD94)</f>
        <v>0</v>
      </c>
      <c r="BE91" s="223">
        <f t="shared" si="142"/>
        <v>3691500</v>
      </c>
      <c r="BF91" s="223">
        <f t="shared" ref="BF91" si="143">SUM(BF92:BF94)</f>
        <v>0</v>
      </c>
    </row>
    <row r="92" spans="2:60" x14ac:dyDescent="0.3">
      <c r="B92" s="288">
        <v>521211</v>
      </c>
      <c r="C92" s="220" t="s">
        <v>7</v>
      </c>
      <c r="D92" s="220"/>
      <c r="E92" s="220"/>
      <c r="F92" s="221">
        <v>13500000</v>
      </c>
      <c r="G92" s="221">
        <v>28000000</v>
      </c>
      <c r="H92" s="221"/>
      <c r="I92" s="221"/>
      <c r="J92" s="221"/>
      <c r="K92" s="221"/>
      <c r="L92" s="221"/>
      <c r="M92" s="221"/>
      <c r="N92" s="221"/>
      <c r="O92" s="221"/>
      <c r="P92" s="221">
        <v>5459000</v>
      </c>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c r="AR92" s="221">
        <f t="shared" si="123"/>
        <v>5459000</v>
      </c>
      <c r="AS92" s="224">
        <f t="shared" si="124"/>
        <v>4.0437037037037039E-3</v>
      </c>
      <c r="AT92" s="225">
        <f t="shared" si="125"/>
        <v>8041000</v>
      </c>
      <c r="AU92" s="224">
        <f t="shared" si="126"/>
        <v>59.562962962962963</v>
      </c>
      <c r="AV92" s="220" t="s">
        <v>576</v>
      </c>
      <c r="AW92" s="220" t="s">
        <v>560</v>
      </c>
      <c r="AX92" s="220" t="s">
        <v>4729</v>
      </c>
      <c r="AY92" s="221"/>
      <c r="AZ92" s="221">
        <v>5459000</v>
      </c>
      <c r="BA92" s="300"/>
      <c r="BB92" s="221"/>
      <c r="BC92" s="221"/>
      <c r="BD92" s="221"/>
      <c r="BE92" s="221"/>
      <c r="BF92" s="221"/>
    </row>
    <row r="93" spans="2:60" x14ac:dyDescent="0.3">
      <c r="B93" s="288">
        <v>524111</v>
      </c>
      <c r="C93" s="220" t="s">
        <v>19</v>
      </c>
      <c r="D93" s="220"/>
      <c r="E93" s="220"/>
      <c r="F93" s="221">
        <v>47693000</v>
      </c>
      <c r="G93" s="221">
        <v>71250000</v>
      </c>
      <c r="H93" s="221"/>
      <c r="I93" s="221"/>
      <c r="J93" s="221"/>
      <c r="K93" s="221"/>
      <c r="L93" s="221"/>
      <c r="M93" s="221"/>
      <c r="N93" s="221"/>
      <c r="O93" s="221">
        <v>4907400</v>
      </c>
      <c r="P93" s="221">
        <v>3320000</v>
      </c>
      <c r="Q93" s="221">
        <v>14352838</v>
      </c>
      <c r="R93" s="221">
        <v>1410000</v>
      </c>
      <c r="S93" s="221"/>
      <c r="T93" s="221"/>
      <c r="U93" s="221"/>
      <c r="V93" s="221">
        <v>3691500</v>
      </c>
      <c r="W93" s="221"/>
      <c r="X93" s="221"/>
      <c r="Y93" s="221"/>
      <c r="Z93" s="221"/>
      <c r="AA93" s="221"/>
      <c r="AB93" s="221"/>
      <c r="AC93" s="221"/>
      <c r="AD93" s="221"/>
      <c r="AE93" s="221"/>
      <c r="AF93" s="221"/>
      <c r="AG93" s="221"/>
      <c r="AH93" s="221"/>
      <c r="AI93" s="221"/>
      <c r="AJ93" s="221"/>
      <c r="AK93" s="221"/>
      <c r="AL93" s="221"/>
      <c r="AM93" s="221"/>
      <c r="AN93" s="221"/>
      <c r="AO93" s="221"/>
      <c r="AP93" s="221"/>
      <c r="AQ93" s="221"/>
      <c r="AR93" s="221">
        <f t="shared" si="123"/>
        <v>27681738</v>
      </c>
      <c r="AS93" s="224">
        <f t="shared" si="124"/>
        <v>5.804151133290001E-3</v>
      </c>
      <c r="AT93" s="225">
        <f t="shared" si="125"/>
        <v>20011262</v>
      </c>
      <c r="AU93" s="224">
        <f t="shared" si="126"/>
        <v>41.958488667099992</v>
      </c>
      <c r="AV93" s="220" t="s">
        <v>576</v>
      </c>
      <c r="AW93" s="220" t="s">
        <v>560</v>
      </c>
      <c r="AX93" s="220" t="s">
        <v>4729</v>
      </c>
      <c r="AY93" s="221">
        <v>4907400</v>
      </c>
      <c r="AZ93" s="221">
        <v>3320000</v>
      </c>
      <c r="BA93" s="300"/>
      <c r="BB93" s="221">
        <v>1410000</v>
      </c>
      <c r="BC93" s="221"/>
      <c r="BD93" s="221"/>
      <c r="BE93" s="221">
        <v>3691500</v>
      </c>
      <c r="BF93" s="221"/>
    </row>
    <row r="94" spans="2:60" x14ac:dyDescent="0.3">
      <c r="B94" s="288">
        <v>524113</v>
      </c>
      <c r="C94" s="220" t="s">
        <v>13</v>
      </c>
      <c r="D94" s="220"/>
      <c r="E94" s="220"/>
      <c r="F94" s="221">
        <v>0</v>
      </c>
      <c r="G94" s="221">
        <v>1800000</v>
      </c>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c r="AR94" s="221">
        <f t="shared" si="123"/>
        <v>0</v>
      </c>
      <c r="AS94" s="224" t="e">
        <f t="shared" si="124"/>
        <v>#DIV/0!</v>
      </c>
      <c r="AT94" s="225">
        <f t="shared" si="125"/>
        <v>0</v>
      </c>
      <c r="AU94" s="224" t="e">
        <f t="shared" si="126"/>
        <v>#DIV/0!</v>
      </c>
      <c r="AV94" s="220" t="s">
        <v>576</v>
      </c>
      <c r="AW94" s="220" t="s">
        <v>560</v>
      </c>
      <c r="AX94" s="220" t="s">
        <v>4729</v>
      </c>
      <c r="AY94" s="221"/>
      <c r="AZ94" s="221"/>
      <c r="BA94" s="300"/>
      <c r="BB94" s="221"/>
      <c r="BC94" s="221"/>
      <c r="BD94" s="221"/>
      <c r="BE94" s="221"/>
      <c r="BF94" s="221"/>
    </row>
    <row r="95" spans="2:60" x14ac:dyDescent="0.3">
      <c r="B95" s="290" t="s">
        <v>519</v>
      </c>
      <c r="C95" s="222" t="s">
        <v>152</v>
      </c>
      <c r="D95" s="222"/>
      <c r="E95" s="222"/>
      <c r="F95" s="223">
        <f t="shared" ref="F95:AQ95" si="144">SUM(F96:F101)</f>
        <v>148337000</v>
      </c>
      <c r="G95" s="223">
        <f t="shared" ref="G95" si="145">SUM(G96:G101)</f>
        <v>411672000</v>
      </c>
      <c r="H95" s="223">
        <f t="shared" si="144"/>
        <v>0</v>
      </c>
      <c r="I95" s="223">
        <f t="shared" si="144"/>
        <v>0</v>
      </c>
      <c r="J95" s="223">
        <f t="shared" si="144"/>
        <v>0</v>
      </c>
      <c r="K95" s="223">
        <f t="shared" si="144"/>
        <v>0</v>
      </c>
      <c r="L95" s="223">
        <f t="shared" si="144"/>
        <v>0</v>
      </c>
      <c r="M95" s="223">
        <f t="shared" si="144"/>
        <v>0</v>
      </c>
      <c r="N95" s="223">
        <f t="shared" si="144"/>
        <v>0</v>
      </c>
      <c r="O95" s="223">
        <f t="shared" si="144"/>
        <v>13360000</v>
      </c>
      <c r="P95" s="223">
        <f t="shared" si="144"/>
        <v>74319450</v>
      </c>
      <c r="Q95" s="223">
        <f t="shared" si="144"/>
        <v>3712700</v>
      </c>
      <c r="R95" s="223">
        <f t="shared" si="144"/>
        <v>3229000</v>
      </c>
      <c r="S95" s="223">
        <f t="shared" si="144"/>
        <v>0</v>
      </c>
      <c r="T95" s="223">
        <f t="shared" si="144"/>
        <v>0</v>
      </c>
      <c r="U95" s="223">
        <f t="shared" si="144"/>
        <v>5608000</v>
      </c>
      <c r="V95" s="223">
        <f t="shared" si="144"/>
        <v>31126830</v>
      </c>
      <c r="W95" s="223">
        <f t="shared" si="144"/>
        <v>0</v>
      </c>
      <c r="X95" s="223">
        <f t="shared" si="144"/>
        <v>0</v>
      </c>
      <c r="Y95" s="223">
        <f t="shared" si="144"/>
        <v>0</v>
      </c>
      <c r="Z95" s="223">
        <f t="shared" si="144"/>
        <v>0</v>
      </c>
      <c r="AA95" s="223">
        <f t="shared" si="144"/>
        <v>0</v>
      </c>
      <c r="AB95" s="223">
        <f t="shared" si="144"/>
        <v>0</v>
      </c>
      <c r="AC95" s="223">
        <f t="shared" si="144"/>
        <v>0</v>
      </c>
      <c r="AD95" s="223">
        <f t="shared" si="144"/>
        <v>0</v>
      </c>
      <c r="AE95" s="223">
        <f t="shared" si="144"/>
        <v>0</v>
      </c>
      <c r="AF95" s="223">
        <f t="shared" si="144"/>
        <v>0</v>
      </c>
      <c r="AG95" s="223">
        <f t="shared" si="144"/>
        <v>0</v>
      </c>
      <c r="AH95" s="223">
        <f t="shared" si="144"/>
        <v>0</v>
      </c>
      <c r="AI95" s="223">
        <f t="shared" si="144"/>
        <v>0</v>
      </c>
      <c r="AJ95" s="223">
        <f t="shared" si="144"/>
        <v>0</v>
      </c>
      <c r="AK95" s="223">
        <f t="shared" si="144"/>
        <v>0</v>
      </c>
      <c r="AL95" s="223">
        <f t="shared" si="144"/>
        <v>0</v>
      </c>
      <c r="AM95" s="223">
        <f t="shared" si="144"/>
        <v>0</v>
      </c>
      <c r="AN95" s="223">
        <f t="shared" si="144"/>
        <v>0</v>
      </c>
      <c r="AO95" s="223">
        <f t="shared" si="144"/>
        <v>0</v>
      </c>
      <c r="AP95" s="223">
        <f t="shared" si="144"/>
        <v>0</v>
      </c>
      <c r="AQ95" s="223">
        <f t="shared" si="144"/>
        <v>0</v>
      </c>
      <c r="AR95" s="223">
        <f t="shared" si="123"/>
        <v>131355980</v>
      </c>
      <c r="AS95" s="231">
        <f t="shared" si="124"/>
        <v>8.8552404322589789E-3</v>
      </c>
      <c r="AT95" s="232">
        <f t="shared" si="125"/>
        <v>16981020</v>
      </c>
      <c r="AU95" s="231">
        <f t="shared" si="126"/>
        <v>11.447595677410222</v>
      </c>
      <c r="AV95" s="220" t="s">
        <v>576</v>
      </c>
      <c r="AW95" s="220" t="s">
        <v>560</v>
      </c>
      <c r="AX95" s="220" t="s">
        <v>4729</v>
      </c>
      <c r="AY95" s="223">
        <f t="shared" ref="AY95:BB95" si="146">SUM(AY96:AY101)</f>
        <v>1560000</v>
      </c>
      <c r="AZ95" s="223">
        <f t="shared" si="146"/>
        <v>74319450</v>
      </c>
      <c r="BA95" s="223">
        <f t="shared" si="146"/>
        <v>11800000</v>
      </c>
      <c r="BB95" s="223">
        <f t="shared" si="146"/>
        <v>3229000</v>
      </c>
      <c r="BC95" s="223">
        <f t="shared" ref="BC95" si="147">SUM(BC96:BC101)</f>
        <v>1860000</v>
      </c>
      <c r="BD95" s="223">
        <f t="shared" ref="BD95:BE95" si="148">SUM(BD96:BD101)</f>
        <v>3748000</v>
      </c>
      <c r="BE95" s="223">
        <f t="shared" si="148"/>
        <v>31126830</v>
      </c>
      <c r="BF95" s="223">
        <f t="shared" ref="BF95" si="149">SUM(BF96:BF101)</f>
        <v>0</v>
      </c>
    </row>
    <row r="96" spans="2:60" x14ac:dyDescent="0.3">
      <c r="B96" s="288">
        <v>521211</v>
      </c>
      <c r="C96" s="220" t="s">
        <v>7</v>
      </c>
      <c r="D96" s="220"/>
      <c r="E96" s="220"/>
      <c r="F96" s="221">
        <v>38100000</v>
      </c>
      <c r="G96" s="221">
        <v>57600000</v>
      </c>
      <c r="H96" s="221"/>
      <c r="I96" s="221"/>
      <c r="J96" s="221"/>
      <c r="K96" s="221"/>
      <c r="L96" s="221"/>
      <c r="M96" s="221"/>
      <c r="N96" s="221"/>
      <c r="O96" s="221"/>
      <c r="P96" s="221">
        <v>31495000</v>
      </c>
      <c r="Q96" s="221"/>
      <c r="R96" s="221"/>
      <c r="S96" s="221"/>
      <c r="T96" s="221"/>
      <c r="U96" s="221"/>
      <c r="V96" s="221">
        <v>6600000</v>
      </c>
      <c r="W96" s="221"/>
      <c r="X96" s="221"/>
      <c r="Y96" s="221"/>
      <c r="Z96" s="221"/>
      <c r="AA96" s="221"/>
      <c r="AB96" s="221"/>
      <c r="AC96" s="221"/>
      <c r="AD96" s="221"/>
      <c r="AE96" s="221"/>
      <c r="AF96" s="221"/>
      <c r="AG96" s="221"/>
      <c r="AH96" s="221"/>
      <c r="AI96" s="221"/>
      <c r="AJ96" s="221"/>
      <c r="AK96" s="221"/>
      <c r="AL96" s="221"/>
      <c r="AM96" s="221"/>
      <c r="AN96" s="221"/>
      <c r="AO96" s="221"/>
      <c r="AP96" s="221"/>
      <c r="AQ96" s="221"/>
      <c r="AR96" s="221">
        <f t="shared" si="123"/>
        <v>38095000</v>
      </c>
      <c r="AS96" s="224">
        <f t="shared" si="124"/>
        <v>9.9986876640419959E-3</v>
      </c>
      <c r="AT96" s="225">
        <f t="shared" si="125"/>
        <v>5000</v>
      </c>
      <c r="AU96" s="224">
        <f t="shared" si="126"/>
        <v>1.3123359580052493E-2</v>
      </c>
      <c r="AV96" s="220" t="s">
        <v>576</v>
      </c>
      <c r="AW96" s="220" t="s">
        <v>560</v>
      </c>
      <c r="AX96" s="220" t="s">
        <v>4729</v>
      </c>
      <c r="AY96" s="221"/>
      <c r="AZ96" s="221">
        <v>31495000</v>
      </c>
      <c r="BA96" s="300"/>
      <c r="BB96" s="221"/>
      <c r="BC96" s="221"/>
      <c r="BD96" s="221"/>
      <c r="BE96" s="221">
        <v>6600000</v>
      </c>
      <c r="BF96" s="221"/>
    </row>
    <row r="97" spans="2:58" x14ac:dyDescent="0.3">
      <c r="B97" s="288">
        <v>521241</v>
      </c>
      <c r="C97" s="220" t="s">
        <v>642</v>
      </c>
      <c r="D97" s="220"/>
      <c r="E97" s="220"/>
      <c r="F97" s="221">
        <v>82534000</v>
      </c>
      <c r="G97" s="221">
        <v>226200000</v>
      </c>
      <c r="H97" s="221"/>
      <c r="I97" s="221"/>
      <c r="J97" s="221"/>
      <c r="K97" s="221"/>
      <c r="L97" s="221"/>
      <c r="M97" s="221"/>
      <c r="N97" s="221"/>
      <c r="O97" s="300">
        <v>11800000</v>
      </c>
      <c r="P97" s="221">
        <v>35332450</v>
      </c>
      <c r="Q97" s="221"/>
      <c r="R97" s="221"/>
      <c r="S97" s="221"/>
      <c r="T97" s="221"/>
      <c r="U97" s="221"/>
      <c r="V97" s="221">
        <v>20031830</v>
      </c>
      <c r="W97" s="221"/>
      <c r="X97" s="221"/>
      <c r="Y97" s="221"/>
      <c r="Z97" s="221"/>
      <c r="AA97" s="221"/>
      <c r="AB97" s="221"/>
      <c r="AC97" s="221"/>
      <c r="AD97" s="221"/>
      <c r="AE97" s="221"/>
      <c r="AF97" s="221"/>
      <c r="AG97" s="221"/>
      <c r="AH97" s="221"/>
      <c r="AI97" s="221"/>
      <c r="AJ97" s="221"/>
      <c r="AK97" s="221"/>
      <c r="AL97" s="221"/>
      <c r="AM97" s="221"/>
      <c r="AN97" s="221"/>
      <c r="AO97" s="221"/>
      <c r="AP97" s="221"/>
      <c r="AQ97" s="221"/>
      <c r="AR97" s="221">
        <f t="shared" si="123"/>
        <v>67164280</v>
      </c>
      <c r="AS97" s="224">
        <f t="shared" si="124"/>
        <v>8.1377711003949877E-3</v>
      </c>
      <c r="AT97" s="225">
        <f t="shared" si="125"/>
        <v>15369720</v>
      </c>
      <c r="AU97" s="224">
        <f t="shared" si="126"/>
        <v>18.622288996050113</v>
      </c>
      <c r="AV97" s="220" t="s">
        <v>576</v>
      </c>
      <c r="AW97" s="220" t="s">
        <v>560</v>
      </c>
      <c r="AX97" s="220" t="s">
        <v>4729</v>
      </c>
      <c r="AY97" s="221"/>
      <c r="AZ97" s="221">
        <v>35332450</v>
      </c>
      <c r="BA97" s="300">
        <v>11800000</v>
      </c>
      <c r="BB97" s="221"/>
      <c r="BC97" s="221"/>
      <c r="BD97" s="221"/>
      <c r="BE97" s="221">
        <v>20031830</v>
      </c>
      <c r="BF97" s="221"/>
    </row>
    <row r="98" spans="2:58" x14ac:dyDescent="0.3">
      <c r="B98" s="288">
        <v>522191</v>
      </c>
      <c r="C98" s="220" t="s">
        <v>22</v>
      </c>
      <c r="D98" s="220"/>
      <c r="E98" s="220"/>
      <c r="F98" s="221">
        <v>1606000</v>
      </c>
      <c r="G98" s="221">
        <v>35000000</v>
      </c>
      <c r="H98" s="221"/>
      <c r="I98" s="221"/>
      <c r="J98" s="221"/>
      <c r="K98" s="221"/>
      <c r="L98" s="221"/>
      <c r="M98" s="221"/>
      <c r="N98" s="221"/>
      <c r="O98" s="300"/>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1"/>
      <c r="AS98" s="224"/>
      <c r="AT98" s="225"/>
      <c r="AU98" s="224"/>
      <c r="AV98" s="220" t="s">
        <v>576</v>
      </c>
      <c r="AW98" s="220" t="s">
        <v>560</v>
      </c>
      <c r="AX98" s="220" t="s">
        <v>4729</v>
      </c>
      <c r="AY98" s="221"/>
      <c r="AZ98" s="221"/>
      <c r="BA98" s="300"/>
      <c r="BB98" s="221"/>
      <c r="BC98" s="221"/>
      <c r="BD98" s="221"/>
      <c r="BE98" s="221"/>
      <c r="BF98" s="221"/>
    </row>
    <row r="99" spans="2:58" x14ac:dyDescent="0.3">
      <c r="B99" s="288">
        <v>522192</v>
      </c>
      <c r="C99" s="220" t="s">
        <v>24</v>
      </c>
      <c r="D99" s="220"/>
      <c r="E99" s="220"/>
      <c r="F99" s="221">
        <v>4246000</v>
      </c>
      <c r="G99" s="221">
        <v>48000000</v>
      </c>
      <c r="H99" s="221"/>
      <c r="I99" s="221"/>
      <c r="J99" s="221"/>
      <c r="K99" s="221"/>
      <c r="L99" s="221"/>
      <c r="M99" s="221"/>
      <c r="N99" s="221"/>
      <c r="O99" s="221"/>
      <c r="P99" s="221">
        <v>802000</v>
      </c>
      <c r="Q99" s="221"/>
      <c r="R99" s="221">
        <v>3229000</v>
      </c>
      <c r="S99" s="221"/>
      <c r="T99" s="221"/>
      <c r="U99" s="221"/>
      <c r="V99" s="221">
        <v>215000</v>
      </c>
      <c r="W99" s="221"/>
      <c r="X99" s="221"/>
      <c r="Y99" s="221"/>
      <c r="Z99" s="221"/>
      <c r="AA99" s="221"/>
      <c r="AB99" s="221"/>
      <c r="AC99" s="221"/>
      <c r="AD99" s="221"/>
      <c r="AE99" s="221"/>
      <c r="AF99" s="221"/>
      <c r="AG99" s="221"/>
      <c r="AH99" s="221"/>
      <c r="AI99" s="221"/>
      <c r="AJ99" s="221"/>
      <c r="AK99" s="221"/>
      <c r="AL99" s="221"/>
      <c r="AM99" s="221"/>
      <c r="AN99" s="221"/>
      <c r="AO99" s="221"/>
      <c r="AP99" s="221"/>
      <c r="AQ99" s="221"/>
      <c r="AR99" s="221">
        <f t="shared" si="123"/>
        <v>4246000</v>
      </c>
      <c r="AS99" s="224">
        <f>AR99/F99/100</f>
        <v>0.01</v>
      </c>
      <c r="AT99" s="225">
        <f t="shared" si="125"/>
        <v>0</v>
      </c>
      <c r="AU99" s="224">
        <f t="shared" si="126"/>
        <v>0</v>
      </c>
      <c r="AV99" s="220" t="s">
        <v>576</v>
      </c>
      <c r="AW99" s="220" t="s">
        <v>560</v>
      </c>
      <c r="AX99" s="220" t="s">
        <v>4729</v>
      </c>
      <c r="AY99" s="221"/>
      <c r="AZ99" s="221">
        <v>802000</v>
      </c>
      <c r="BA99" s="300"/>
      <c r="BB99" s="221">
        <v>3229000</v>
      </c>
      <c r="BC99" s="221"/>
      <c r="BD99" s="221"/>
      <c r="BE99" s="221">
        <v>215000</v>
      </c>
      <c r="BF99" s="221"/>
    </row>
    <row r="100" spans="2:58" x14ac:dyDescent="0.3">
      <c r="B100" s="288">
        <v>524111</v>
      </c>
      <c r="C100" s="220" t="s">
        <v>19</v>
      </c>
      <c r="D100" s="220"/>
      <c r="E100" s="220"/>
      <c r="F100" s="221">
        <v>21851000</v>
      </c>
      <c r="G100" s="221">
        <v>42772000</v>
      </c>
      <c r="H100" s="221"/>
      <c r="I100" s="221"/>
      <c r="J100" s="221"/>
      <c r="K100" s="221"/>
      <c r="L100" s="221"/>
      <c r="M100" s="221"/>
      <c r="N100" s="221"/>
      <c r="O100" s="221">
        <v>1560000</v>
      </c>
      <c r="P100" s="221">
        <v>6690000</v>
      </c>
      <c r="Q100" s="221">
        <v>3712700</v>
      </c>
      <c r="R100" s="221"/>
      <c r="S100" s="221"/>
      <c r="T100" s="221"/>
      <c r="U100" s="221">
        <f>1860000+3748000</f>
        <v>5608000</v>
      </c>
      <c r="V100" s="221">
        <v>4280000</v>
      </c>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c r="AR100" s="221">
        <f t="shared" si="123"/>
        <v>21850700</v>
      </c>
      <c r="AS100" s="224">
        <f>AR100/F100/100</f>
        <v>9.9998627065122879E-3</v>
      </c>
      <c r="AT100" s="225">
        <f t="shared" si="125"/>
        <v>300</v>
      </c>
      <c r="AU100" s="224">
        <f t="shared" si="126"/>
        <v>1.3729348771223285E-3</v>
      </c>
      <c r="AV100" s="220" t="s">
        <v>576</v>
      </c>
      <c r="AW100" s="220" t="s">
        <v>560</v>
      </c>
      <c r="AX100" s="220" t="s">
        <v>4729</v>
      </c>
      <c r="AY100" s="221">
        <v>1560000</v>
      </c>
      <c r="AZ100" s="221">
        <v>6690000</v>
      </c>
      <c r="BA100" s="300"/>
      <c r="BB100" s="221"/>
      <c r="BC100" s="221">
        <v>1860000</v>
      </c>
      <c r="BD100" s="221">
        <v>3748000</v>
      </c>
      <c r="BE100" s="221">
        <v>4280000</v>
      </c>
      <c r="BF100" s="221"/>
    </row>
    <row r="101" spans="2:58" x14ac:dyDescent="0.3">
      <c r="B101" s="288">
        <v>524113</v>
      </c>
      <c r="C101" s="220" t="s">
        <v>13</v>
      </c>
      <c r="D101" s="220"/>
      <c r="E101" s="220"/>
      <c r="F101" s="221">
        <v>0</v>
      </c>
      <c r="G101" s="221">
        <v>2100000</v>
      </c>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c r="AR101" s="221">
        <f t="shared" si="123"/>
        <v>0</v>
      </c>
      <c r="AS101" s="224" t="e">
        <f>AR101/F101/100</f>
        <v>#DIV/0!</v>
      </c>
      <c r="AT101" s="225">
        <f t="shared" si="125"/>
        <v>0</v>
      </c>
      <c r="AU101" s="224" t="e">
        <f t="shared" si="126"/>
        <v>#DIV/0!</v>
      </c>
      <c r="AV101" s="220" t="s">
        <v>576</v>
      </c>
      <c r="AW101" s="220" t="s">
        <v>560</v>
      </c>
      <c r="AX101" s="220" t="s">
        <v>4729</v>
      </c>
      <c r="AY101" s="221"/>
      <c r="AZ101" s="221"/>
      <c r="BA101" s="300"/>
      <c r="BB101" s="221"/>
      <c r="BC101" s="221"/>
      <c r="BD101" s="221"/>
      <c r="BE101" s="221"/>
      <c r="BF101" s="221"/>
    </row>
    <row r="102" spans="2:58" x14ac:dyDescent="0.3">
      <c r="B102" s="290" t="s">
        <v>578</v>
      </c>
      <c r="C102" s="222" t="s">
        <v>154</v>
      </c>
      <c r="D102" s="222"/>
      <c r="E102" s="222"/>
      <c r="F102" s="223">
        <f t="shared" ref="F102:AQ102" si="150">SUM(F103:F107)</f>
        <v>17357000</v>
      </c>
      <c r="G102" s="223">
        <f t="shared" ref="G102" si="151">SUM(G103:G107)</f>
        <v>450000000</v>
      </c>
      <c r="H102" s="223">
        <f t="shared" si="150"/>
        <v>0</v>
      </c>
      <c r="I102" s="223">
        <f t="shared" si="150"/>
        <v>0</v>
      </c>
      <c r="J102" s="223">
        <f t="shared" si="150"/>
        <v>0</v>
      </c>
      <c r="K102" s="223">
        <f t="shared" si="150"/>
        <v>0</v>
      </c>
      <c r="L102" s="223">
        <f t="shared" si="150"/>
        <v>0</v>
      </c>
      <c r="M102" s="223">
        <f t="shared" si="150"/>
        <v>0</v>
      </c>
      <c r="N102" s="223">
        <f t="shared" si="150"/>
        <v>0</v>
      </c>
      <c r="O102" s="223">
        <f t="shared" si="150"/>
        <v>1743940</v>
      </c>
      <c r="P102" s="223">
        <f t="shared" si="150"/>
        <v>2949500</v>
      </c>
      <c r="Q102" s="223">
        <f t="shared" si="150"/>
        <v>0</v>
      </c>
      <c r="R102" s="223">
        <f t="shared" si="150"/>
        <v>0</v>
      </c>
      <c r="S102" s="223">
        <f t="shared" si="150"/>
        <v>0</v>
      </c>
      <c r="T102" s="223">
        <f t="shared" si="150"/>
        <v>0</v>
      </c>
      <c r="U102" s="223">
        <f t="shared" si="150"/>
        <v>3603218</v>
      </c>
      <c r="V102" s="223">
        <f t="shared" si="150"/>
        <v>0</v>
      </c>
      <c r="W102" s="223">
        <f t="shared" si="150"/>
        <v>5350700</v>
      </c>
      <c r="X102" s="223">
        <f t="shared" si="150"/>
        <v>0</v>
      </c>
      <c r="Y102" s="223">
        <f t="shared" si="150"/>
        <v>0</v>
      </c>
      <c r="Z102" s="223">
        <f t="shared" si="150"/>
        <v>0</v>
      </c>
      <c r="AA102" s="223">
        <f t="shared" si="150"/>
        <v>0</v>
      </c>
      <c r="AB102" s="223">
        <f t="shared" si="150"/>
        <v>0</v>
      </c>
      <c r="AC102" s="223">
        <f t="shared" si="150"/>
        <v>0</v>
      </c>
      <c r="AD102" s="223">
        <f t="shared" si="150"/>
        <v>0</v>
      </c>
      <c r="AE102" s="223">
        <f t="shared" si="150"/>
        <v>0</v>
      </c>
      <c r="AF102" s="223">
        <f t="shared" si="150"/>
        <v>0</v>
      </c>
      <c r="AG102" s="223">
        <f t="shared" si="150"/>
        <v>0</v>
      </c>
      <c r="AH102" s="223">
        <f t="shared" si="150"/>
        <v>0</v>
      </c>
      <c r="AI102" s="223">
        <f t="shared" si="150"/>
        <v>0</v>
      </c>
      <c r="AJ102" s="223">
        <f t="shared" si="150"/>
        <v>0</v>
      </c>
      <c r="AK102" s="223">
        <f t="shared" si="150"/>
        <v>0</v>
      </c>
      <c r="AL102" s="223">
        <f t="shared" si="150"/>
        <v>0</v>
      </c>
      <c r="AM102" s="223">
        <f t="shared" si="150"/>
        <v>0</v>
      </c>
      <c r="AN102" s="223">
        <f t="shared" si="150"/>
        <v>0</v>
      </c>
      <c r="AO102" s="223">
        <f t="shared" si="150"/>
        <v>0</v>
      </c>
      <c r="AP102" s="223">
        <f t="shared" si="150"/>
        <v>0</v>
      </c>
      <c r="AQ102" s="223">
        <f t="shared" si="150"/>
        <v>0</v>
      </c>
      <c r="AR102" s="223">
        <f t="shared" si="123"/>
        <v>13647358</v>
      </c>
      <c r="AS102" s="231">
        <f t="shared" ref="AS102:AS127" si="152">AR102/F102/100</f>
        <v>7.8627401048568298E-3</v>
      </c>
      <c r="AT102" s="232">
        <f t="shared" si="125"/>
        <v>3709642</v>
      </c>
      <c r="AU102" s="231">
        <f>AT102/F102*100</f>
        <v>21.372598951431698</v>
      </c>
      <c r="AV102" s="220" t="s">
        <v>535</v>
      </c>
      <c r="AW102" s="220" t="s">
        <v>538</v>
      </c>
      <c r="AX102" s="220" t="s">
        <v>4729</v>
      </c>
      <c r="AY102" s="223">
        <f t="shared" ref="AY102:BB102" si="153">SUM(AY103:AY107)</f>
        <v>0</v>
      </c>
      <c r="AZ102" s="223">
        <f t="shared" si="153"/>
        <v>2949500</v>
      </c>
      <c r="BA102" s="223">
        <f t="shared" si="153"/>
        <v>1743940</v>
      </c>
      <c r="BB102" s="223">
        <f t="shared" si="153"/>
        <v>0</v>
      </c>
      <c r="BC102" s="223">
        <f t="shared" ref="BC102" si="154">SUM(BC103:BC107)</f>
        <v>3351204</v>
      </c>
      <c r="BD102" s="223">
        <f t="shared" ref="BD102:BE102" si="155">SUM(BD103:BD107)</f>
        <v>252014</v>
      </c>
      <c r="BE102" s="223">
        <f t="shared" si="155"/>
        <v>0</v>
      </c>
      <c r="BF102" s="223">
        <f t="shared" ref="BF102" si="156">SUM(BF103:BF107)</f>
        <v>0</v>
      </c>
    </row>
    <row r="103" spans="2:58" x14ac:dyDescent="0.3">
      <c r="B103" s="288">
        <v>521211</v>
      </c>
      <c r="C103" s="220" t="s">
        <v>7</v>
      </c>
      <c r="D103" s="220"/>
      <c r="E103" s="220"/>
      <c r="F103" s="221">
        <v>4000000</v>
      </c>
      <c r="G103" s="221">
        <v>32000000</v>
      </c>
      <c r="H103" s="221"/>
      <c r="I103" s="221"/>
      <c r="J103" s="221"/>
      <c r="K103" s="221"/>
      <c r="L103" s="221"/>
      <c r="M103" s="221"/>
      <c r="N103" s="221"/>
      <c r="O103" s="300">
        <v>1499700</v>
      </c>
      <c r="P103" s="221">
        <v>2499500</v>
      </c>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c r="AR103" s="221">
        <f t="shared" si="123"/>
        <v>3999200</v>
      </c>
      <c r="AS103" s="224">
        <f t="shared" si="152"/>
        <v>9.9979999999999999E-3</v>
      </c>
      <c r="AT103" s="225">
        <f t="shared" si="125"/>
        <v>800</v>
      </c>
      <c r="AU103" s="224">
        <f t="shared" si="126"/>
        <v>0.02</v>
      </c>
      <c r="AV103" s="220" t="s">
        <v>535</v>
      </c>
      <c r="AW103" s="220" t="s">
        <v>538</v>
      </c>
      <c r="AX103" s="220" t="s">
        <v>4729</v>
      </c>
      <c r="AY103" s="221"/>
      <c r="AZ103" s="221">
        <v>2499500</v>
      </c>
      <c r="BA103" s="300">
        <v>1499700</v>
      </c>
      <c r="BB103" s="221"/>
      <c r="BC103" s="221"/>
      <c r="BD103" s="221"/>
      <c r="BE103" s="221"/>
      <c r="BF103" s="221"/>
    </row>
    <row r="104" spans="2:58" x14ac:dyDescent="0.3">
      <c r="B104" s="288">
        <v>521219</v>
      </c>
      <c r="C104" s="220" t="s">
        <v>53</v>
      </c>
      <c r="D104" s="220"/>
      <c r="E104" s="220"/>
      <c r="F104" s="221">
        <v>4298000</v>
      </c>
      <c r="G104" s="221">
        <v>298141000</v>
      </c>
      <c r="H104" s="221"/>
      <c r="I104" s="221"/>
      <c r="J104" s="221"/>
      <c r="K104" s="221"/>
      <c r="L104" s="221"/>
      <c r="M104" s="221"/>
      <c r="N104" s="221"/>
      <c r="O104" s="300">
        <v>244240</v>
      </c>
      <c r="P104" s="221">
        <v>450000</v>
      </c>
      <c r="Q104" s="221"/>
      <c r="R104" s="221"/>
      <c r="S104" s="221"/>
      <c r="T104" s="221"/>
      <c r="U104" s="221">
        <f>3351204+252014</f>
        <v>3603218</v>
      </c>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c r="AR104" s="221">
        <f t="shared" si="123"/>
        <v>4297458</v>
      </c>
      <c r="AS104" s="224">
        <f t="shared" si="152"/>
        <v>9.9987389483480685E-3</v>
      </c>
      <c r="AT104" s="225">
        <f t="shared" si="125"/>
        <v>542</v>
      </c>
      <c r="AU104" s="224">
        <f>AT104/F104*100</f>
        <v>1.2610516519311306E-2</v>
      </c>
      <c r="AV104" s="220" t="s">
        <v>535</v>
      </c>
      <c r="AW104" s="220" t="s">
        <v>538</v>
      </c>
      <c r="AX104" s="220" t="s">
        <v>4729</v>
      </c>
      <c r="AY104" s="221"/>
      <c r="AZ104" s="221">
        <v>450000</v>
      </c>
      <c r="BA104" s="300">
        <v>244240</v>
      </c>
      <c r="BB104" s="221"/>
      <c r="BC104" s="221">
        <v>3351204</v>
      </c>
      <c r="BD104" s="221">
        <v>252014</v>
      </c>
      <c r="BE104" s="221"/>
      <c r="BF104" s="221"/>
    </row>
    <row r="105" spans="2:58" x14ac:dyDescent="0.3">
      <c r="B105" s="288">
        <v>522151</v>
      </c>
      <c r="C105" s="220" t="s">
        <v>11</v>
      </c>
      <c r="D105" s="220"/>
      <c r="E105" s="220"/>
      <c r="F105" s="221">
        <v>0</v>
      </c>
      <c r="G105" s="221">
        <v>30000000</v>
      </c>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c r="AR105" s="221">
        <f t="shared" si="123"/>
        <v>0</v>
      </c>
      <c r="AS105" s="224" t="e">
        <f t="shared" si="152"/>
        <v>#DIV/0!</v>
      </c>
      <c r="AT105" s="225">
        <f t="shared" si="125"/>
        <v>0</v>
      </c>
      <c r="AU105" s="224" t="e">
        <f t="shared" si="126"/>
        <v>#DIV/0!</v>
      </c>
      <c r="AV105" s="220" t="s">
        <v>535</v>
      </c>
      <c r="AW105" s="220" t="s">
        <v>538</v>
      </c>
      <c r="AX105" s="220" t="s">
        <v>4729</v>
      </c>
      <c r="AY105" s="221"/>
      <c r="AZ105" s="221"/>
      <c r="BA105" s="300"/>
      <c r="BB105" s="221"/>
      <c r="BC105" s="221"/>
      <c r="BD105" s="221"/>
      <c r="BE105" s="221"/>
      <c r="BF105" s="221"/>
    </row>
    <row r="106" spans="2:58" x14ac:dyDescent="0.3">
      <c r="B106" s="288">
        <v>522192</v>
      </c>
      <c r="C106" s="220" t="s">
        <v>24</v>
      </c>
      <c r="D106" s="220"/>
      <c r="E106" s="220"/>
      <c r="F106" s="221">
        <v>0</v>
      </c>
      <c r="G106" s="221">
        <v>8000000</v>
      </c>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c r="AR106" s="221">
        <f t="shared" si="123"/>
        <v>0</v>
      </c>
      <c r="AS106" s="224" t="e">
        <f t="shared" si="152"/>
        <v>#DIV/0!</v>
      </c>
      <c r="AT106" s="225">
        <f t="shared" si="125"/>
        <v>0</v>
      </c>
      <c r="AU106" s="224" t="e">
        <f t="shared" si="126"/>
        <v>#DIV/0!</v>
      </c>
      <c r="AV106" s="220" t="s">
        <v>535</v>
      </c>
      <c r="AW106" s="220" t="s">
        <v>538</v>
      </c>
      <c r="AX106" s="220" t="s">
        <v>4729</v>
      </c>
      <c r="AY106" s="221"/>
      <c r="AZ106" s="221"/>
      <c r="BA106" s="300"/>
      <c r="BB106" s="221"/>
      <c r="BC106" s="221"/>
      <c r="BD106" s="221"/>
      <c r="BE106" s="221"/>
      <c r="BF106" s="221"/>
    </row>
    <row r="107" spans="2:58" x14ac:dyDescent="0.3">
      <c r="B107" s="288">
        <v>524111</v>
      </c>
      <c r="C107" s="220" t="s">
        <v>19</v>
      </c>
      <c r="D107" s="220"/>
      <c r="E107" s="220"/>
      <c r="F107" s="221">
        <v>9059000</v>
      </c>
      <c r="G107" s="221">
        <v>81859000</v>
      </c>
      <c r="H107" s="221"/>
      <c r="I107" s="221"/>
      <c r="J107" s="221"/>
      <c r="K107" s="221"/>
      <c r="L107" s="221"/>
      <c r="M107" s="221"/>
      <c r="N107" s="221"/>
      <c r="O107" s="221"/>
      <c r="P107" s="221"/>
      <c r="Q107" s="221"/>
      <c r="R107" s="221"/>
      <c r="S107" s="221"/>
      <c r="T107" s="221"/>
      <c r="U107" s="221"/>
      <c r="V107" s="221"/>
      <c r="W107" s="221">
        <f>1650000+3700700</f>
        <v>5350700</v>
      </c>
      <c r="X107" s="221"/>
      <c r="Y107" s="221"/>
      <c r="Z107" s="221"/>
      <c r="AA107" s="221"/>
      <c r="AB107" s="221"/>
      <c r="AC107" s="221"/>
      <c r="AD107" s="221"/>
      <c r="AE107" s="221"/>
      <c r="AF107" s="221"/>
      <c r="AG107" s="221"/>
      <c r="AH107" s="221"/>
      <c r="AI107" s="221"/>
      <c r="AJ107" s="221"/>
      <c r="AK107" s="221"/>
      <c r="AL107" s="221"/>
      <c r="AM107" s="221"/>
      <c r="AN107" s="221"/>
      <c r="AO107" s="221"/>
      <c r="AP107" s="221"/>
      <c r="AQ107" s="221"/>
      <c r="AR107" s="221">
        <f t="shared" si="123"/>
        <v>5350700</v>
      </c>
      <c r="AS107" s="224">
        <f t="shared" si="152"/>
        <v>5.9065018213930896E-3</v>
      </c>
      <c r="AT107" s="225">
        <f t="shared" si="125"/>
        <v>3708300</v>
      </c>
      <c r="AU107" s="224">
        <f t="shared" si="126"/>
        <v>40.934981786069102</v>
      </c>
      <c r="AV107" s="220" t="s">
        <v>535</v>
      </c>
      <c r="AW107" s="220" t="s">
        <v>538</v>
      </c>
      <c r="AX107" s="220" t="s">
        <v>4729</v>
      </c>
      <c r="AY107" s="221"/>
      <c r="AZ107" s="221"/>
      <c r="BA107" s="300"/>
      <c r="BB107" s="221"/>
      <c r="BC107" s="221"/>
      <c r="BD107" s="221"/>
      <c r="BE107" s="221"/>
      <c r="BF107" s="221"/>
    </row>
    <row r="108" spans="2:58" x14ac:dyDescent="0.3">
      <c r="B108" s="290" t="s">
        <v>579</v>
      </c>
      <c r="C108" s="222" t="s">
        <v>56</v>
      </c>
      <c r="D108" s="222"/>
      <c r="E108" s="222"/>
      <c r="F108" s="223">
        <f t="shared" ref="F108:AQ108" si="157">SUM(F109:F112)</f>
        <v>83506000</v>
      </c>
      <c r="G108" s="223">
        <f t="shared" ref="G108" si="158">SUM(G109:G112)</f>
        <v>350000000</v>
      </c>
      <c r="H108" s="223">
        <f t="shared" si="157"/>
        <v>0</v>
      </c>
      <c r="I108" s="223">
        <f t="shared" si="157"/>
        <v>0</v>
      </c>
      <c r="J108" s="223">
        <f t="shared" si="157"/>
        <v>0</v>
      </c>
      <c r="K108" s="223">
        <f t="shared" si="157"/>
        <v>0</v>
      </c>
      <c r="L108" s="223">
        <f t="shared" si="157"/>
        <v>0</v>
      </c>
      <c r="M108" s="223">
        <f t="shared" si="157"/>
        <v>0</v>
      </c>
      <c r="N108" s="223">
        <f t="shared" si="157"/>
        <v>0</v>
      </c>
      <c r="O108" s="223">
        <f t="shared" si="157"/>
        <v>3173213</v>
      </c>
      <c r="P108" s="223">
        <f t="shared" si="157"/>
        <v>3236994</v>
      </c>
      <c r="Q108" s="223">
        <f t="shared" si="157"/>
        <v>1000000</v>
      </c>
      <c r="R108" s="223">
        <f t="shared" si="157"/>
        <v>0</v>
      </c>
      <c r="S108" s="223">
        <f t="shared" si="157"/>
        <v>0</v>
      </c>
      <c r="T108" s="223">
        <f t="shared" si="157"/>
        <v>19414000</v>
      </c>
      <c r="U108" s="223">
        <f t="shared" si="157"/>
        <v>8092833</v>
      </c>
      <c r="V108" s="223">
        <f t="shared" si="157"/>
        <v>12845223</v>
      </c>
      <c r="W108" s="223">
        <f t="shared" si="157"/>
        <v>30535327</v>
      </c>
      <c r="X108" s="223">
        <f t="shared" si="157"/>
        <v>0</v>
      </c>
      <c r="Y108" s="223">
        <f t="shared" si="157"/>
        <v>0</v>
      </c>
      <c r="Z108" s="223">
        <f t="shared" si="157"/>
        <v>0</v>
      </c>
      <c r="AA108" s="223">
        <f t="shared" si="157"/>
        <v>0</v>
      </c>
      <c r="AB108" s="223">
        <f t="shared" si="157"/>
        <v>0</v>
      </c>
      <c r="AC108" s="223">
        <f t="shared" si="157"/>
        <v>0</v>
      </c>
      <c r="AD108" s="223">
        <f t="shared" si="157"/>
        <v>0</v>
      </c>
      <c r="AE108" s="223">
        <f t="shared" si="157"/>
        <v>0</v>
      </c>
      <c r="AF108" s="223">
        <f t="shared" si="157"/>
        <v>0</v>
      </c>
      <c r="AG108" s="223">
        <f t="shared" si="157"/>
        <v>0</v>
      </c>
      <c r="AH108" s="223">
        <f t="shared" si="157"/>
        <v>0</v>
      </c>
      <c r="AI108" s="223">
        <f t="shared" si="157"/>
        <v>0</v>
      </c>
      <c r="AJ108" s="223">
        <f t="shared" si="157"/>
        <v>0</v>
      </c>
      <c r="AK108" s="223">
        <f t="shared" si="157"/>
        <v>0</v>
      </c>
      <c r="AL108" s="223">
        <f t="shared" si="157"/>
        <v>0</v>
      </c>
      <c r="AM108" s="223">
        <f t="shared" si="157"/>
        <v>0</v>
      </c>
      <c r="AN108" s="223">
        <f t="shared" si="157"/>
        <v>0</v>
      </c>
      <c r="AO108" s="223">
        <f t="shared" si="157"/>
        <v>0</v>
      </c>
      <c r="AP108" s="223">
        <f t="shared" si="157"/>
        <v>0</v>
      </c>
      <c r="AQ108" s="223">
        <f t="shared" si="157"/>
        <v>0</v>
      </c>
      <c r="AR108" s="223">
        <f t="shared" si="123"/>
        <v>78297590</v>
      </c>
      <c r="AS108" s="231">
        <f t="shared" si="152"/>
        <v>9.3762831413311612E-3</v>
      </c>
      <c r="AT108" s="232">
        <f t="shared" si="125"/>
        <v>5208410</v>
      </c>
      <c r="AU108" s="231">
        <f t="shared" si="126"/>
        <v>6.2371685866883819</v>
      </c>
      <c r="AV108" s="220" t="s">
        <v>531</v>
      </c>
      <c r="AW108" s="220" t="s">
        <v>532</v>
      </c>
      <c r="AX108" s="220" t="s">
        <v>4729</v>
      </c>
      <c r="AY108" s="223">
        <f t="shared" ref="AY108:BB108" si="159">SUM(AY109:AY112)</f>
        <v>0</v>
      </c>
      <c r="AZ108" s="223">
        <f t="shared" si="159"/>
        <v>3236994</v>
      </c>
      <c r="BA108" s="223">
        <f t="shared" si="159"/>
        <v>3173213</v>
      </c>
      <c r="BB108" s="223">
        <f t="shared" si="159"/>
        <v>0</v>
      </c>
      <c r="BC108" s="223">
        <f t="shared" ref="BC108" si="160">SUM(BC109:BC112)</f>
        <v>0</v>
      </c>
      <c r="BD108" s="223">
        <f t="shared" ref="BD108:BE108" si="161">SUM(BD109:BD112)</f>
        <v>8092833</v>
      </c>
      <c r="BE108" s="223">
        <f t="shared" si="161"/>
        <v>12845223</v>
      </c>
      <c r="BF108" s="223">
        <f t="shared" ref="BF108" si="162">SUM(BF109:BF112)</f>
        <v>0</v>
      </c>
    </row>
    <row r="109" spans="2:58" x14ac:dyDescent="0.3">
      <c r="B109" s="288">
        <v>521211</v>
      </c>
      <c r="C109" s="220" t="s">
        <v>7</v>
      </c>
      <c r="D109" s="220"/>
      <c r="E109" s="220"/>
      <c r="F109" s="221">
        <v>12550000</v>
      </c>
      <c r="G109" s="221">
        <v>31000000</v>
      </c>
      <c r="H109" s="221"/>
      <c r="I109" s="221"/>
      <c r="J109" s="221"/>
      <c r="K109" s="221"/>
      <c r="L109" s="221"/>
      <c r="M109" s="221"/>
      <c r="N109" s="221"/>
      <c r="O109" s="221"/>
      <c r="P109" s="221">
        <v>1200000</v>
      </c>
      <c r="Q109" s="221"/>
      <c r="R109" s="221"/>
      <c r="S109" s="221"/>
      <c r="T109" s="221"/>
      <c r="U109" s="221">
        <v>7854000</v>
      </c>
      <c r="V109" s="221">
        <v>2488500</v>
      </c>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c r="AR109" s="221">
        <f t="shared" si="123"/>
        <v>11542500</v>
      </c>
      <c r="AS109" s="224">
        <f t="shared" si="152"/>
        <v>9.1972111553784864E-3</v>
      </c>
      <c r="AT109" s="225">
        <f t="shared" si="125"/>
        <v>1007500</v>
      </c>
      <c r="AU109" s="224">
        <f t="shared" si="126"/>
        <v>8.0278884462151403</v>
      </c>
      <c r="AV109" s="220" t="s">
        <v>531</v>
      </c>
      <c r="AW109" s="220" t="s">
        <v>532</v>
      </c>
      <c r="AX109" s="220" t="s">
        <v>4729</v>
      </c>
      <c r="AY109" s="221"/>
      <c r="AZ109" s="221">
        <v>1200000</v>
      </c>
      <c r="BA109" s="300"/>
      <c r="BB109" s="221"/>
      <c r="BC109" s="221"/>
      <c r="BD109" s="221">
        <v>7854000</v>
      </c>
      <c r="BE109" s="221">
        <v>2488500</v>
      </c>
      <c r="BF109" s="221"/>
    </row>
    <row r="110" spans="2:58" x14ac:dyDescent="0.3">
      <c r="B110" s="288">
        <v>521219</v>
      </c>
      <c r="C110" s="220" t="s">
        <v>53</v>
      </c>
      <c r="D110" s="220"/>
      <c r="E110" s="220"/>
      <c r="F110" s="221">
        <v>1192000</v>
      </c>
      <c r="G110" s="221">
        <v>3000000</v>
      </c>
      <c r="H110" s="221"/>
      <c r="I110" s="221"/>
      <c r="J110" s="221"/>
      <c r="K110" s="221"/>
      <c r="L110" s="221"/>
      <c r="M110" s="221"/>
      <c r="N110" s="221"/>
      <c r="O110" s="300">
        <v>473213</v>
      </c>
      <c r="P110" s="221">
        <v>236994</v>
      </c>
      <c r="Q110" s="221"/>
      <c r="R110" s="221"/>
      <c r="S110" s="221"/>
      <c r="T110" s="221"/>
      <c r="U110" s="221">
        <v>238833</v>
      </c>
      <c r="V110" s="221">
        <v>242378</v>
      </c>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c r="AR110" s="221">
        <f t="shared" si="123"/>
        <v>1191418</v>
      </c>
      <c r="AS110" s="224">
        <f t="shared" si="152"/>
        <v>9.9951174496644285E-3</v>
      </c>
      <c r="AT110" s="225">
        <f t="shared" si="125"/>
        <v>582</v>
      </c>
      <c r="AU110" s="224">
        <f t="shared" si="126"/>
        <v>4.8825503355704701E-2</v>
      </c>
      <c r="AV110" s="220" t="s">
        <v>531</v>
      </c>
      <c r="AW110" s="220" t="s">
        <v>532</v>
      </c>
      <c r="AX110" s="220" t="s">
        <v>4729</v>
      </c>
      <c r="AY110" s="221"/>
      <c r="AZ110" s="221">
        <v>236994</v>
      </c>
      <c r="BA110" s="300">
        <v>473213</v>
      </c>
      <c r="BB110" s="221"/>
      <c r="BC110" s="221"/>
      <c r="BD110" s="221">
        <v>238833</v>
      </c>
      <c r="BE110" s="221">
        <v>242378</v>
      </c>
      <c r="BF110" s="221"/>
    </row>
    <row r="111" spans="2:58" x14ac:dyDescent="0.3">
      <c r="B111" s="288">
        <v>522151</v>
      </c>
      <c r="C111" s="220" t="s">
        <v>11</v>
      </c>
      <c r="D111" s="220"/>
      <c r="E111" s="220"/>
      <c r="F111" s="221">
        <v>9000000</v>
      </c>
      <c r="G111" s="221">
        <v>70000000</v>
      </c>
      <c r="H111" s="221"/>
      <c r="I111" s="221"/>
      <c r="J111" s="221"/>
      <c r="K111" s="221"/>
      <c r="L111" s="221"/>
      <c r="M111" s="221"/>
      <c r="N111" s="221"/>
      <c r="O111" s="221"/>
      <c r="P111" s="221">
        <v>1800000</v>
      </c>
      <c r="Q111" s="221">
        <v>1000000</v>
      </c>
      <c r="R111" s="221"/>
      <c r="S111" s="221"/>
      <c r="T111" s="221"/>
      <c r="U111" s="221"/>
      <c r="V111" s="221">
        <v>2000000</v>
      </c>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c r="AR111" s="221">
        <f t="shared" si="123"/>
        <v>4800000</v>
      </c>
      <c r="AS111" s="224">
        <f t="shared" si="152"/>
        <v>5.3333333333333332E-3</v>
      </c>
      <c r="AT111" s="225">
        <f t="shared" si="125"/>
        <v>4200000</v>
      </c>
      <c r="AU111" s="224">
        <f t="shared" si="126"/>
        <v>46.666666666666664</v>
      </c>
      <c r="AV111" s="220" t="s">
        <v>531</v>
      </c>
      <c r="AW111" s="220" t="s">
        <v>532</v>
      </c>
      <c r="AX111" s="220" t="s">
        <v>4729</v>
      </c>
      <c r="AY111" s="221"/>
      <c r="AZ111" s="221">
        <v>1800000</v>
      </c>
      <c r="BA111" s="300"/>
      <c r="BB111" s="221"/>
      <c r="BC111" s="221"/>
      <c r="BD111" s="221"/>
      <c r="BE111" s="221">
        <v>2000000</v>
      </c>
      <c r="BF111" s="221"/>
    </row>
    <row r="112" spans="2:58" x14ac:dyDescent="0.3">
      <c r="B112" s="288">
        <v>524111</v>
      </c>
      <c r="C112" s="220" t="s">
        <v>19</v>
      </c>
      <c r="D112" s="220"/>
      <c r="E112" s="220"/>
      <c r="F112" s="221">
        <v>60764000</v>
      </c>
      <c r="G112" s="221">
        <v>246000000</v>
      </c>
      <c r="H112" s="221"/>
      <c r="I112" s="221"/>
      <c r="J112" s="221"/>
      <c r="K112" s="221"/>
      <c r="L112" s="221"/>
      <c r="M112" s="221"/>
      <c r="N112" s="221"/>
      <c r="O112" s="300">
        <v>2700000</v>
      </c>
      <c r="P112" s="221"/>
      <c r="Q112" s="221"/>
      <c r="R112" s="221"/>
      <c r="S112" s="221"/>
      <c r="T112" s="221">
        <f>872000+14922000+3620000</f>
        <v>19414000</v>
      </c>
      <c r="U112" s="221"/>
      <c r="V112" s="221">
        <v>8114345</v>
      </c>
      <c r="W112" s="221">
        <f>3000000+25425327+2110000</f>
        <v>30535327</v>
      </c>
      <c r="X112" s="221"/>
      <c r="Y112" s="221"/>
      <c r="Z112" s="221"/>
      <c r="AA112" s="221"/>
      <c r="AB112" s="221"/>
      <c r="AC112" s="221"/>
      <c r="AD112" s="221"/>
      <c r="AE112" s="221"/>
      <c r="AF112" s="221"/>
      <c r="AG112" s="221"/>
      <c r="AH112" s="221"/>
      <c r="AI112" s="221"/>
      <c r="AJ112" s="221"/>
      <c r="AK112" s="221"/>
      <c r="AL112" s="221"/>
      <c r="AM112" s="221"/>
      <c r="AN112" s="221"/>
      <c r="AO112" s="221"/>
      <c r="AP112" s="221"/>
      <c r="AQ112" s="221"/>
      <c r="AR112" s="221">
        <f t="shared" si="123"/>
        <v>60763672</v>
      </c>
      <c r="AS112" s="224">
        <f t="shared" si="152"/>
        <v>9.9999460206701349E-3</v>
      </c>
      <c r="AT112" s="225">
        <f t="shared" si="125"/>
        <v>328</v>
      </c>
      <c r="AU112" s="224">
        <f t="shared" si="126"/>
        <v>5.3979329866368244E-4</v>
      </c>
      <c r="AV112" s="220" t="s">
        <v>531</v>
      </c>
      <c r="AW112" s="220" t="s">
        <v>532</v>
      </c>
      <c r="AX112" s="220" t="s">
        <v>4729</v>
      </c>
      <c r="AY112" s="221"/>
      <c r="AZ112" s="221"/>
      <c r="BA112" s="300">
        <v>2700000</v>
      </c>
      <c r="BB112" s="221"/>
      <c r="BC112" s="221"/>
      <c r="BD112" s="221"/>
      <c r="BE112" s="221">
        <v>8114345</v>
      </c>
      <c r="BF112" s="221"/>
    </row>
    <row r="113" spans="2:58" x14ac:dyDescent="0.3">
      <c r="B113" s="290" t="s">
        <v>580</v>
      </c>
      <c r="C113" s="222" t="s">
        <v>1505</v>
      </c>
      <c r="D113" s="222"/>
      <c r="E113" s="222"/>
      <c r="F113" s="223">
        <f t="shared" ref="F113:AQ113" si="163">SUM(F114:F117)</f>
        <v>0</v>
      </c>
      <c r="G113" s="223">
        <f t="shared" ref="G113" si="164">SUM(G114:G117)</f>
        <v>639737000</v>
      </c>
      <c r="H113" s="223">
        <f t="shared" si="163"/>
        <v>0</v>
      </c>
      <c r="I113" s="223">
        <f t="shared" si="163"/>
        <v>0</v>
      </c>
      <c r="J113" s="223">
        <f t="shared" si="163"/>
        <v>0</v>
      </c>
      <c r="K113" s="223">
        <f t="shared" si="163"/>
        <v>0</v>
      </c>
      <c r="L113" s="223">
        <f t="shared" si="163"/>
        <v>0</v>
      </c>
      <c r="M113" s="223">
        <f t="shared" si="163"/>
        <v>0</v>
      </c>
      <c r="N113" s="223">
        <f t="shared" si="163"/>
        <v>0</v>
      </c>
      <c r="O113" s="223">
        <f t="shared" si="163"/>
        <v>0</v>
      </c>
      <c r="P113" s="223">
        <f t="shared" si="163"/>
        <v>0</v>
      </c>
      <c r="Q113" s="223">
        <f t="shared" si="163"/>
        <v>0</v>
      </c>
      <c r="R113" s="223">
        <f t="shared" si="163"/>
        <v>0</v>
      </c>
      <c r="S113" s="223">
        <f t="shared" si="163"/>
        <v>0</v>
      </c>
      <c r="T113" s="223">
        <f t="shared" si="163"/>
        <v>0</v>
      </c>
      <c r="U113" s="223">
        <f t="shared" si="163"/>
        <v>0</v>
      </c>
      <c r="V113" s="223">
        <f t="shared" si="163"/>
        <v>0</v>
      </c>
      <c r="W113" s="223">
        <f t="shared" si="163"/>
        <v>0</v>
      </c>
      <c r="X113" s="223">
        <f t="shared" si="163"/>
        <v>0</v>
      </c>
      <c r="Y113" s="223">
        <f t="shared" si="163"/>
        <v>0</v>
      </c>
      <c r="Z113" s="223">
        <f t="shared" si="163"/>
        <v>0</v>
      </c>
      <c r="AA113" s="223">
        <f t="shared" si="163"/>
        <v>0</v>
      </c>
      <c r="AB113" s="223">
        <f t="shared" si="163"/>
        <v>0</v>
      </c>
      <c r="AC113" s="223">
        <f t="shared" si="163"/>
        <v>0</v>
      </c>
      <c r="AD113" s="223">
        <f t="shared" si="163"/>
        <v>0</v>
      </c>
      <c r="AE113" s="223">
        <f t="shared" si="163"/>
        <v>0</v>
      </c>
      <c r="AF113" s="223">
        <f t="shared" si="163"/>
        <v>0</v>
      </c>
      <c r="AG113" s="223">
        <f t="shared" si="163"/>
        <v>0</v>
      </c>
      <c r="AH113" s="223">
        <f t="shared" si="163"/>
        <v>0</v>
      </c>
      <c r="AI113" s="223">
        <f t="shared" si="163"/>
        <v>0</v>
      </c>
      <c r="AJ113" s="223">
        <f t="shared" si="163"/>
        <v>0</v>
      </c>
      <c r="AK113" s="223">
        <f t="shared" si="163"/>
        <v>0</v>
      </c>
      <c r="AL113" s="223">
        <f t="shared" si="163"/>
        <v>0</v>
      </c>
      <c r="AM113" s="223">
        <f t="shared" si="163"/>
        <v>0</v>
      </c>
      <c r="AN113" s="223">
        <f t="shared" si="163"/>
        <v>0</v>
      </c>
      <c r="AO113" s="223">
        <f t="shared" si="163"/>
        <v>0</v>
      </c>
      <c r="AP113" s="223">
        <f t="shared" si="163"/>
        <v>0</v>
      </c>
      <c r="AQ113" s="223">
        <f t="shared" si="163"/>
        <v>0</v>
      </c>
      <c r="AR113" s="223">
        <f t="shared" si="123"/>
        <v>0</v>
      </c>
      <c r="AS113" s="231" t="e">
        <f t="shared" si="152"/>
        <v>#DIV/0!</v>
      </c>
      <c r="AT113" s="232">
        <f t="shared" si="125"/>
        <v>0</v>
      </c>
      <c r="AU113" s="231" t="e">
        <f t="shared" si="126"/>
        <v>#DIV/0!</v>
      </c>
      <c r="AV113" s="220" t="s">
        <v>531</v>
      </c>
      <c r="AW113" s="220" t="s">
        <v>534</v>
      </c>
      <c r="AX113" s="220" t="s">
        <v>4729</v>
      </c>
      <c r="AY113" s="223">
        <f t="shared" ref="AY113:BB113" si="165">SUM(AY114:AY117)</f>
        <v>0</v>
      </c>
      <c r="AZ113" s="223">
        <f t="shared" si="165"/>
        <v>0</v>
      </c>
      <c r="BA113" s="223">
        <f t="shared" si="165"/>
        <v>0</v>
      </c>
      <c r="BB113" s="223">
        <f t="shared" si="165"/>
        <v>0</v>
      </c>
      <c r="BC113" s="223">
        <f t="shared" ref="BC113" si="166">SUM(BC114:BC117)</f>
        <v>0</v>
      </c>
      <c r="BD113" s="223">
        <f t="shared" ref="BD113:BE113" si="167">SUM(BD114:BD117)</f>
        <v>0</v>
      </c>
      <c r="BE113" s="223">
        <f t="shared" si="167"/>
        <v>0</v>
      </c>
      <c r="BF113" s="223">
        <f t="shared" ref="BF113" si="168">SUM(BF114:BF117)</f>
        <v>0</v>
      </c>
    </row>
    <row r="114" spans="2:58" x14ac:dyDescent="0.3">
      <c r="B114" s="288">
        <v>521211</v>
      </c>
      <c r="C114" s="220" t="s">
        <v>7</v>
      </c>
      <c r="D114" s="220"/>
      <c r="E114" s="220"/>
      <c r="F114" s="221">
        <v>0</v>
      </c>
      <c r="G114" s="221">
        <v>118575000</v>
      </c>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c r="AR114" s="221">
        <f t="shared" si="123"/>
        <v>0</v>
      </c>
      <c r="AS114" s="224" t="e">
        <f t="shared" si="152"/>
        <v>#DIV/0!</v>
      </c>
      <c r="AT114" s="225">
        <f t="shared" si="125"/>
        <v>0</v>
      </c>
      <c r="AU114" s="224" t="e">
        <f t="shared" si="126"/>
        <v>#DIV/0!</v>
      </c>
      <c r="AV114" s="220" t="s">
        <v>531</v>
      </c>
      <c r="AW114" s="220" t="s">
        <v>534</v>
      </c>
      <c r="AX114" s="220" t="s">
        <v>4729</v>
      </c>
      <c r="AY114" s="221"/>
      <c r="AZ114" s="221"/>
      <c r="BA114" s="300"/>
      <c r="BB114" s="221"/>
      <c r="BC114" s="221"/>
      <c r="BD114" s="221"/>
      <c r="BE114" s="221"/>
      <c r="BF114" s="221"/>
    </row>
    <row r="115" spans="2:58" x14ac:dyDescent="0.3">
      <c r="B115" s="288">
        <v>521219</v>
      </c>
      <c r="C115" s="220" t="s">
        <v>53</v>
      </c>
      <c r="D115" s="220"/>
      <c r="E115" s="220"/>
      <c r="F115" s="221">
        <v>0</v>
      </c>
      <c r="G115" s="221">
        <v>393200000</v>
      </c>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c r="AR115" s="221">
        <f t="shared" si="123"/>
        <v>0</v>
      </c>
      <c r="AS115" s="224" t="e">
        <f t="shared" si="152"/>
        <v>#DIV/0!</v>
      </c>
      <c r="AT115" s="225">
        <f t="shared" si="125"/>
        <v>0</v>
      </c>
      <c r="AU115" s="224" t="e">
        <f t="shared" si="126"/>
        <v>#DIV/0!</v>
      </c>
      <c r="AV115" s="220" t="s">
        <v>531</v>
      </c>
      <c r="AW115" s="220" t="s">
        <v>534</v>
      </c>
      <c r="AX115" s="220" t="s">
        <v>4729</v>
      </c>
      <c r="AY115" s="221"/>
      <c r="AZ115" s="221"/>
      <c r="BA115" s="300"/>
      <c r="BB115" s="221"/>
      <c r="BC115" s="221"/>
      <c r="BD115" s="221"/>
      <c r="BE115" s="221"/>
      <c r="BF115" s="221"/>
    </row>
    <row r="116" spans="2:58" x14ac:dyDescent="0.3">
      <c r="B116" s="288">
        <v>522141</v>
      </c>
      <c r="C116" s="220" t="s">
        <v>95</v>
      </c>
      <c r="D116" s="220"/>
      <c r="E116" s="220"/>
      <c r="F116" s="221">
        <v>0</v>
      </c>
      <c r="G116" s="221">
        <v>120000000</v>
      </c>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c r="AR116" s="221">
        <f t="shared" si="123"/>
        <v>0</v>
      </c>
      <c r="AS116" s="224" t="e">
        <f t="shared" si="152"/>
        <v>#DIV/0!</v>
      </c>
      <c r="AT116" s="225">
        <f>F116-AR116</f>
        <v>0</v>
      </c>
      <c r="AU116" s="224" t="e">
        <f t="shared" si="126"/>
        <v>#DIV/0!</v>
      </c>
      <c r="AV116" s="220" t="s">
        <v>531</v>
      </c>
      <c r="AW116" s="220" t="s">
        <v>534</v>
      </c>
      <c r="AX116" s="220" t="s">
        <v>4729</v>
      </c>
      <c r="AY116" s="221"/>
      <c r="AZ116" s="221"/>
      <c r="BA116" s="300"/>
      <c r="BB116" s="221"/>
      <c r="BC116" s="221"/>
      <c r="BD116" s="221"/>
      <c r="BE116" s="221"/>
      <c r="BF116" s="221"/>
    </row>
    <row r="117" spans="2:58" x14ac:dyDescent="0.3">
      <c r="B117" s="288">
        <v>524111</v>
      </c>
      <c r="C117" s="220" t="s">
        <v>19</v>
      </c>
      <c r="D117" s="220"/>
      <c r="E117" s="220"/>
      <c r="F117" s="221">
        <v>0</v>
      </c>
      <c r="G117" s="221">
        <v>7962000</v>
      </c>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c r="AR117" s="221">
        <f t="shared" si="123"/>
        <v>0</v>
      </c>
      <c r="AS117" s="224" t="e">
        <f t="shared" si="152"/>
        <v>#DIV/0!</v>
      </c>
      <c r="AT117" s="225">
        <f t="shared" si="125"/>
        <v>0</v>
      </c>
      <c r="AU117" s="224" t="e">
        <f t="shared" si="126"/>
        <v>#DIV/0!</v>
      </c>
      <c r="AV117" s="220" t="s">
        <v>531</v>
      </c>
      <c r="AW117" s="220" t="s">
        <v>534</v>
      </c>
      <c r="AX117" s="220" t="s">
        <v>4729</v>
      </c>
      <c r="AY117" s="221"/>
      <c r="AZ117" s="221"/>
      <c r="BA117" s="300"/>
      <c r="BB117" s="221"/>
      <c r="BC117" s="221"/>
      <c r="BD117" s="221"/>
      <c r="BE117" s="221"/>
      <c r="BF117" s="221"/>
    </row>
    <row r="118" spans="2:58" x14ac:dyDescent="0.3">
      <c r="B118" s="290" t="s">
        <v>581</v>
      </c>
      <c r="C118" s="222" t="s">
        <v>1537</v>
      </c>
      <c r="D118" s="222"/>
      <c r="E118" s="222"/>
      <c r="F118" s="223">
        <f>SUM(F119:F122)</f>
        <v>110263000</v>
      </c>
      <c r="G118" s="223">
        <f>SUM(G119:G122)</f>
        <v>110263000</v>
      </c>
      <c r="H118" s="223">
        <f t="shared" ref="H118:AQ118" si="169">SUM(H119:H122)</f>
        <v>0</v>
      </c>
      <c r="I118" s="223">
        <f t="shared" si="169"/>
        <v>0</v>
      </c>
      <c r="J118" s="223">
        <f t="shared" si="169"/>
        <v>0</v>
      </c>
      <c r="K118" s="223">
        <f t="shared" si="169"/>
        <v>0</v>
      </c>
      <c r="L118" s="223">
        <f t="shared" si="169"/>
        <v>0</v>
      </c>
      <c r="M118" s="223">
        <f t="shared" si="169"/>
        <v>0</v>
      </c>
      <c r="N118" s="223">
        <f t="shared" si="169"/>
        <v>0</v>
      </c>
      <c r="O118" s="223">
        <f t="shared" si="169"/>
        <v>9200000</v>
      </c>
      <c r="P118" s="223">
        <f t="shared" si="169"/>
        <v>18676000</v>
      </c>
      <c r="Q118" s="223">
        <f t="shared" si="169"/>
        <v>0</v>
      </c>
      <c r="R118" s="223">
        <f t="shared" si="169"/>
        <v>0</v>
      </c>
      <c r="S118" s="223">
        <f t="shared" si="169"/>
        <v>0</v>
      </c>
      <c r="T118" s="223">
        <f t="shared" si="169"/>
        <v>0</v>
      </c>
      <c r="U118" s="223">
        <f t="shared" si="169"/>
        <v>528000</v>
      </c>
      <c r="V118" s="223">
        <f t="shared" si="169"/>
        <v>20747000</v>
      </c>
      <c r="W118" s="223">
        <f t="shared" si="169"/>
        <v>0</v>
      </c>
      <c r="X118" s="223">
        <f t="shared" si="169"/>
        <v>0</v>
      </c>
      <c r="Y118" s="223">
        <f t="shared" si="169"/>
        <v>0</v>
      </c>
      <c r="Z118" s="223">
        <f t="shared" si="169"/>
        <v>0</v>
      </c>
      <c r="AA118" s="223">
        <f t="shared" si="169"/>
        <v>0</v>
      </c>
      <c r="AB118" s="223">
        <f t="shared" si="169"/>
        <v>0</v>
      </c>
      <c r="AC118" s="223">
        <f t="shared" si="169"/>
        <v>0</v>
      </c>
      <c r="AD118" s="223">
        <f t="shared" si="169"/>
        <v>0</v>
      </c>
      <c r="AE118" s="223">
        <f t="shared" si="169"/>
        <v>0</v>
      </c>
      <c r="AF118" s="223">
        <f t="shared" si="169"/>
        <v>0</v>
      </c>
      <c r="AG118" s="223">
        <f t="shared" si="169"/>
        <v>0</v>
      </c>
      <c r="AH118" s="223">
        <f t="shared" si="169"/>
        <v>0</v>
      </c>
      <c r="AI118" s="223">
        <f t="shared" si="169"/>
        <v>0</v>
      </c>
      <c r="AJ118" s="223">
        <f t="shared" si="169"/>
        <v>0</v>
      </c>
      <c r="AK118" s="223">
        <f t="shared" si="169"/>
        <v>0</v>
      </c>
      <c r="AL118" s="223">
        <f t="shared" si="169"/>
        <v>0</v>
      </c>
      <c r="AM118" s="223">
        <f t="shared" si="169"/>
        <v>0</v>
      </c>
      <c r="AN118" s="223">
        <f t="shared" si="169"/>
        <v>0</v>
      </c>
      <c r="AO118" s="223">
        <f t="shared" si="169"/>
        <v>0</v>
      </c>
      <c r="AP118" s="223">
        <f t="shared" si="169"/>
        <v>0</v>
      </c>
      <c r="AQ118" s="223">
        <f t="shared" si="169"/>
        <v>0</v>
      </c>
      <c r="AR118" s="223">
        <f t="shared" si="123"/>
        <v>49151000</v>
      </c>
      <c r="AS118" s="231">
        <f t="shared" si="152"/>
        <v>4.4576149751049763E-3</v>
      </c>
      <c r="AT118" s="232">
        <f t="shared" si="125"/>
        <v>61112000</v>
      </c>
      <c r="AU118" s="231">
        <f t="shared" si="126"/>
        <v>55.423850248950238</v>
      </c>
      <c r="AV118" s="220" t="s">
        <v>531</v>
      </c>
      <c r="AW118" s="220" t="s">
        <v>534</v>
      </c>
      <c r="AX118" s="220" t="s">
        <v>4729</v>
      </c>
      <c r="AY118" s="223">
        <f t="shared" ref="AY118:BB118" si="170">SUM(AY119:AY122)</f>
        <v>0</v>
      </c>
      <c r="AZ118" s="223">
        <f t="shared" si="170"/>
        <v>18676000</v>
      </c>
      <c r="BA118" s="223">
        <f t="shared" si="170"/>
        <v>9200000</v>
      </c>
      <c r="BB118" s="223">
        <f t="shared" si="170"/>
        <v>0</v>
      </c>
      <c r="BC118" s="223">
        <f t="shared" ref="BC118" si="171">SUM(BC119:BC122)</f>
        <v>0</v>
      </c>
      <c r="BD118" s="223">
        <f t="shared" ref="BD118:BE118" si="172">SUM(BD119:BD122)</f>
        <v>528000</v>
      </c>
      <c r="BE118" s="223">
        <f t="shared" si="172"/>
        <v>20747000</v>
      </c>
      <c r="BF118" s="223">
        <f t="shared" ref="BF118" si="173">SUM(BF119:BF122)</f>
        <v>0</v>
      </c>
    </row>
    <row r="119" spans="2:58" x14ac:dyDescent="0.3">
      <c r="B119" s="288">
        <v>521211</v>
      </c>
      <c r="C119" s="220" t="s">
        <v>7</v>
      </c>
      <c r="D119" s="220"/>
      <c r="E119" s="220"/>
      <c r="F119" s="221">
        <v>17550000</v>
      </c>
      <c r="G119" s="221">
        <v>17550000</v>
      </c>
      <c r="H119" s="221"/>
      <c r="I119" s="221"/>
      <c r="J119" s="221"/>
      <c r="K119" s="221"/>
      <c r="L119" s="221"/>
      <c r="M119" s="221"/>
      <c r="N119" s="221"/>
      <c r="O119" s="300"/>
      <c r="P119" s="221">
        <v>2444000</v>
      </c>
      <c r="Q119" s="221"/>
      <c r="R119" s="221"/>
      <c r="S119" s="221"/>
      <c r="T119" s="221"/>
      <c r="U119" s="221">
        <v>528000</v>
      </c>
      <c r="V119" s="221">
        <v>6497000</v>
      </c>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c r="AR119" s="221">
        <f t="shared" si="123"/>
        <v>9469000</v>
      </c>
      <c r="AS119" s="224">
        <f t="shared" si="152"/>
        <v>5.3954415954415962E-3</v>
      </c>
      <c r="AT119" s="225">
        <f t="shared" si="125"/>
        <v>8081000</v>
      </c>
      <c r="AU119" s="224">
        <f t="shared" si="126"/>
        <v>46.04558404558405</v>
      </c>
      <c r="AV119" s="220" t="s">
        <v>531</v>
      </c>
      <c r="AW119" s="220" t="s">
        <v>534</v>
      </c>
      <c r="AX119" s="220" t="s">
        <v>4729</v>
      </c>
      <c r="AY119" s="221"/>
      <c r="AZ119" s="221">
        <v>2444000</v>
      </c>
      <c r="BA119" s="300"/>
      <c r="BB119" s="221"/>
      <c r="BC119" s="221"/>
      <c r="BD119" s="221">
        <v>528000</v>
      </c>
      <c r="BE119" s="221">
        <v>6497000</v>
      </c>
      <c r="BF119" s="221"/>
    </row>
    <row r="120" spans="2:58" x14ac:dyDescent="0.3">
      <c r="B120" s="288">
        <v>521219</v>
      </c>
      <c r="C120" s="220" t="s">
        <v>53</v>
      </c>
      <c r="D120" s="220"/>
      <c r="E120" s="220"/>
      <c r="F120" s="221">
        <v>27651000</v>
      </c>
      <c r="G120" s="221">
        <v>27651000</v>
      </c>
      <c r="H120" s="221"/>
      <c r="I120" s="221"/>
      <c r="J120" s="221"/>
      <c r="K120" s="221"/>
      <c r="L120" s="221"/>
      <c r="M120" s="221"/>
      <c r="N120" s="221"/>
      <c r="O120" s="300">
        <v>120000</v>
      </c>
      <c r="P120" s="221">
        <v>250000</v>
      </c>
      <c r="Q120" s="221"/>
      <c r="R120" s="221"/>
      <c r="S120" s="221"/>
      <c r="T120" s="221"/>
      <c r="U120" s="221"/>
      <c r="V120" s="221">
        <v>250000</v>
      </c>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c r="AR120" s="221">
        <f t="shared" si="123"/>
        <v>620000</v>
      </c>
      <c r="AS120" s="224">
        <f t="shared" si="152"/>
        <v>2.2422335539401832E-4</v>
      </c>
      <c r="AT120" s="225">
        <f t="shared" si="125"/>
        <v>27031000</v>
      </c>
      <c r="AU120" s="224">
        <f t="shared" si="126"/>
        <v>97.757766446059819</v>
      </c>
      <c r="AV120" s="220" t="s">
        <v>531</v>
      </c>
      <c r="AW120" s="220" t="s">
        <v>534</v>
      </c>
      <c r="AX120" s="383" t="s">
        <v>4729</v>
      </c>
      <c r="AY120" s="221"/>
      <c r="AZ120" s="221">
        <v>250000</v>
      </c>
      <c r="BA120" s="300">
        <v>120000</v>
      </c>
      <c r="BB120" s="221"/>
      <c r="BC120" s="221"/>
      <c r="BD120" s="221"/>
      <c r="BE120" s="221">
        <v>250000</v>
      </c>
      <c r="BF120" s="221"/>
    </row>
    <row r="121" spans="2:58" x14ac:dyDescent="0.3">
      <c r="B121" s="288">
        <v>522151</v>
      </c>
      <c r="C121" s="220" t="s">
        <v>11</v>
      </c>
      <c r="D121" s="220"/>
      <c r="E121" s="220"/>
      <c r="F121" s="221">
        <v>40000000</v>
      </c>
      <c r="G121" s="221">
        <v>40000000</v>
      </c>
      <c r="H121" s="221"/>
      <c r="I121" s="221"/>
      <c r="J121" s="221"/>
      <c r="K121" s="221"/>
      <c r="L121" s="221"/>
      <c r="M121" s="221"/>
      <c r="N121" s="221"/>
      <c r="O121" s="221"/>
      <c r="P121" s="221"/>
      <c r="Q121" s="221"/>
      <c r="R121" s="221"/>
      <c r="S121" s="221"/>
      <c r="T121" s="221"/>
      <c r="U121" s="221"/>
      <c r="V121" s="221">
        <v>14000000</v>
      </c>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c r="AR121" s="221">
        <f t="shared" si="123"/>
        <v>14000000</v>
      </c>
      <c r="AS121" s="224">
        <f t="shared" si="152"/>
        <v>3.4999999999999996E-3</v>
      </c>
      <c r="AT121" s="225">
        <f>F121-AR121</f>
        <v>26000000</v>
      </c>
      <c r="AU121" s="224">
        <f t="shared" si="126"/>
        <v>65</v>
      </c>
      <c r="AV121" s="220" t="s">
        <v>531</v>
      </c>
      <c r="AW121" s="220" t="s">
        <v>534</v>
      </c>
      <c r="AX121" s="220" t="s">
        <v>4729</v>
      </c>
      <c r="AY121" s="221"/>
      <c r="AZ121" s="221"/>
      <c r="BA121" s="300"/>
      <c r="BB121" s="221"/>
      <c r="BC121" s="221"/>
      <c r="BD121" s="221"/>
      <c r="BE121" s="221">
        <v>14000000</v>
      </c>
      <c r="BF121" s="221"/>
    </row>
    <row r="122" spans="2:58" x14ac:dyDescent="0.3">
      <c r="B122" s="288">
        <v>524111</v>
      </c>
      <c r="C122" s="220" t="s">
        <v>19</v>
      </c>
      <c r="D122" s="220"/>
      <c r="E122" s="220"/>
      <c r="F122" s="221">
        <v>25062000</v>
      </c>
      <c r="G122" s="221">
        <v>25062000</v>
      </c>
      <c r="H122" s="221"/>
      <c r="I122" s="221"/>
      <c r="J122" s="221"/>
      <c r="K122" s="221"/>
      <c r="L122" s="221"/>
      <c r="M122" s="221"/>
      <c r="N122" s="221"/>
      <c r="O122" s="300">
        <v>9080000</v>
      </c>
      <c r="P122" s="221">
        <v>15982000</v>
      </c>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f t="shared" si="123"/>
        <v>25062000</v>
      </c>
      <c r="AS122" s="224">
        <f t="shared" si="152"/>
        <v>0.01</v>
      </c>
      <c r="AT122" s="225">
        <f t="shared" si="125"/>
        <v>0</v>
      </c>
      <c r="AU122" s="224">
        <f t="shared" si="126"/>
        <v>0</v>
      </c>
      <c r="AV122" s="220" t="s">
        <v>531</v>
      </c>
      <c r="AW122" s="220" t="s">
        <v>534</v>
      </c>
      <c r="AX122" s="220" t="s">
        <v>4729</v>
      </c>
      <c r="AY122" s="221"/>
      <c r="AZ122" s="221">
        <v>15982000</v>
      </c>
      <c r="BA122" s="300">
        <v>9080000</v>
      </c>
      <c r="BB122" s="221"/>
      <c r="BC122" s="221"/>
      <c r="BD122" s="221"/>
      <c r="BE122" s="221"/>
      <c r="BF122" s="221"/>
    </row>
    <row r="123" spans="2:58" x14ac:dyDescent="0.3">
      <c r="B123" s="226" t="s">
        <v>3986</v>
      </c>
      <c r="C123" s="227" t="s">
        <v>1701</v>
      </c>
      <c r="D123" s="227">
        <v>1</v>
      </c>
      <c r="E123" s="227" t="s">
        <v>3740</v>
      </c>
      <c r="F123" s="228">
        <f>F124</f>
        <v>2095658000</v>
      </c>
      <c r="G123" s="228">
        <f>G124</f>
        <v>2195658000</v>
      </c>
      <c r="H123" s="228">
        <f t="shared" ref="H123:AQ123" si="174">H124</f>
        <v>0</v>
      </c>
      <c r="I123" s="228">
        <f t="shared" si="174"/>
        <v>0</v>
      </c>
      <c r="J123" s="228">
        <f t="shared" si="174"/>
        <v>0</v>
      </c>
      <c r="K123" s="228">
        <f t="shared" si="174"/>
        <v>63640000</v>
      </c>
      <c r="L123" s="228">
        <f t="shared" si="174"/>
        <v>0</v>
      </c>
      <c r="M123" s="228">
        <f t="shared" si="174"/>
        <v>0</v>
      </c>
      <c r="N123" s="228">
        <f t="shared" si="174"/>
        <v>63640000</v>
      </c>
      <c r="O123" s="228">
        <f t="shared" si="174"/>
        <v>49421537</v>
      </c>
      <c r="P123" s="228">
        <f t="shared" si="174"/>
        <v>80540400</v>
      </c>
      <c r="Q123" s="228">
        <f t="shared" si="174"/>
        <v>127280000</v>
      </c>
      <c r="R123" s="228">
        <f t="shared" si="174"/>
        <v>35138796</v>
      </c>
      <c r="S123" s="228">
        <f t="shared" si="174"/>
        <v>0</v>
      </c>
      <c r="T123" s="228">
        <f t="shared" si="174"/>
        <v>63640000</v>
      </c>
      <c r="U123" s="228">
        <f t="shared" si="174"/>
        <v>116380908</v>
      </c>
      <c r="V123" s="228">
        <f t="shared" si="174"/>
        <v>0</v>
      </c>
      <c r="W123" s="228">
        <f t="shared" si="174"/>
        <v>63640000</v>
      </c>
      <c r="X123" s="228">
        <f t="shared" si="174"/>
        <v>0</v>
      </c>
      <c r="Y123" s="228">
        <f t="shared" si="174"/>
        <v>0</v>
      </c>
      <c r="Z123" s="228">
        <f t="shared" si="174"/>
        <v>0</v>
      </c>
      <c r="AA123" s="228">
        <f t="shared" si="174"/>
        <v>0</v>
      </c>
      <c r="AB123" s="228">
        <f t="shared" si="174"/>
        <v>0</v>
      </c>
      <c r="AC123" s="228">
        <f t="shared" si="174"/>
        <v>0</v>
      </c>
      <c r="AD123" s="228">
        <f t="shared" si="174"/>
        <v>0</v>
      </c>
      <c r="AE123" s="228">
        <f t="shared" si="174"/>
        <v>0</v>
      </c>
      <c r="AF123" s="228">
        <f t="shared" si="174"/>
        <v>0</v>
      </c>
      <c r="AG123" s="228">
        <f t="shared" si="174"/>
        <v>0</v>
      </c>
      <c r="AH123" s="228">
        <f t="shared" si="174"/>
        <v>0</v>
      </c>
      <c r="AI123" s="228">
        <f t="shared" si="174"/>
        <v>0</v>
      </c>
      <c r="AJ123" s="228">
        <f t="shared" si="174"/>
        <v>0</v>
      </c>
      <c r="AK123" s="228">
        <f t="shared" si="174"/>
        <v>0</v>
      </c>
      <c r="AL123" s="228">
        <f t="shared" si="174"/>
        <v>0</v>
      </c>
      <c r="AM123" s="228">
        <f t="shared" si="174"/>
        <v>0</v>
      </c>
      <c r="AN123" s="228">
        <f t="shared" si="174"/>
        <v>0</v>
      </c>
      <c r="AO123" s="228">
        <f t="shared" si="174"/>
        <v>0</v>
      </c>
      <c r="AP123" s="228">
        <f t="shared" si="174"/>
        <v>0</v>
      </c>
      <c r="AQ123" s="228">
        <f t="shared" si="174"/>
        <v>0</v>
      </c>
      <c r="AR123" s="228">
        <f>SUM(H123:AQ123)</f>
        <v>663321641</v>
      </c>
      <c r="AS123" s="229">
        <f t="shared" si="152"/>
        <v>3.1652189479390242E-3</v>
      </c>
      <c r="AT123" s="230">
        <f>F123-AR123</f>
        <v>1432336359</v>
      </c>
      <c r="AU123" s="229">
        <f>AT123/F123*100</f>
        <v>68.347810520609755</v>
      </c>
      <c r="AV123" s="220" t="s">
        <v>576</v>
      </c>
      <c r="AW123" s="220" t="s">
        <v>560</v>
      </c>
      <c r="AX123" s="220" t="s">
        <v>4812</v>
      </c>
      <c r="AY123" s="228">
        <f t="shared" ref="AY123:BF123" si="175">AY124</f>
        <v>40653115</v>
      </c>
      <c r="AZ123" s="228">
        <f t="shared" si="175"/>
        <v>80540400</v>
      </c>
      <c r="BA123" s="228">
        <f t="shared" si="175"/>
        <v>8768422</v>
      </c>
      <c r="BB123" s="228">
        <f t="shared" si="175"/>
        <v>35138796</v>
      </c>
      <c r="BC123" s="228">
        <f t="shared" si="175"/>
        <v>64950711</v>
      </c>
      <c r="BD123" s="228">
        <f t="shared" si="175"/>
        <v>51430197</v>
      </c>
      <c r="BE123" s="228">
        <f t="shared" si="175"/>
        <v>0</v>
      </c>
      <c r="BF123" s="228">
        <f t="shared" si="175"/>
        <v>0</v>
      </c>
    </row>
    <row r="124" spans="2:58" x14ac:dyDescent="0.3">
      <c r="B124" s="226" t="s">
        <v>557</v>
      </c>
      <c r="C124" s="227" t="s">
        <v>89</v>
      </c>
      <c r="D124" s="227"/>
      <c r="E124" s="227"/>
      <c r="F124" s="228">
        <f>F125+F128+F131+F134+F137</f>
        <v>2095658000</v>
      </c>
      <c r="G124" s="228">
        <f>G125+G128+G131+G134+G137</f>
        <v>2195658000</v>
      </c>
      <c r="H124" s="228">
        <f t="shared" ref="H124:AQ124" si="176">H125+H128+H131+H134+H137</f>
        <v>0</v>
      </c>
      <c r="I124" s="228">
        <f t="shared" si="176"/>
        <v>0</v>
      </c>
      <c r="J124" s="228">
        <f t="shared" si="176"/>
        <v>0</v>
      </c>
      <c r="K124" s="228">
        <f t="shared" si="176"/>
        <v>63640000</v>
      </c>
      <c r="L124" s="228">
        <f t="shared" si="176"/>
        <v>0</v>
      </c>
      <c r="M124" s="228">
        <f t="shared" si="176"/>
        <v>0</v>
      </c>
      <c r="N124" s="228">
        <f t="shared" si="176"/>
        <v>63640000</v>
      </c>
      <c r="O124" s="228">
        <f t="shared" si="176"/>
        <v>49421537</v>
      </c>
      <c r="P124" s="228">
        <f t="shared" si="176"/>
        <v>80540400</v>
      </c>
      <c r="Q124" s="228">
        <f t="shared" si="176"/>
        <v>127280000</v>
      </c>
      <c r="R124" s="228">
        <f t="shared" si="176"/>
        <v>35138796</v>
      </c>
      <c r="S124" s="228">
        <f t="shared" si="176"/>
        <v>0</v>
      </c>
      <c r="T124" s="228">
        <f t="shared" si="176"/>
        <v>63640000</v>
      </c>
      <c r="U124" s="228">
        <f t="shared" si="176"/>
        <v>116380908</v>
      </c>
      <c r="V124" s="228">
        <f t="shared" si="176"/>
        <v>0</v>
      </c>
      <c r="W124" s="228">
        <f t="shared" si="176"/>
        <v>63640000</v>
      </c>
      <c r="X124" s="228">
        <f t="shared" si="176"/>
        <v>0</v>
      </c>
      <c r="Y124" s="228">
        <f t="shared" si="176"/>
        <v>0</v>
      </c>
      <c r="Z124" s="228">
        <f t="shared" si="176"/>
        <v>0</v>
      </c>
      <c r="AA124" s="228">
        <f t="shared" si="176"/>
        <v>0</v>
      </c>
      <c r="AB124" s="228">
        <f t="shared" si="176"/>
        <v>0</v>
      </c>
      <c r="AC124" s="228">
        <f t="shared" si="176"/>
        <v>0</v>
      </c>
      <c r="AD124" s="228">
        <f t="shared" si="176"/>
        <v>0</v>
      </c>
      <c r="AE124" s="228">
        <f t="shared" si="176"/>
        <v>0</v>
      </c>
      <c r="AF124" s="228">
        <f t="shared" si="176"/>
        <v>0</v>
      </c>
      <c r="AG124" s="228">
        <f t="shared" si="176"/>
        <v>0</v>
      </c>
      <c r="AH124" s="228">
        <f t="shared" si="176"/>
        <v>0</v>
      </c>
      <c r="AI124" s="228">
        <f t="shared" si="176"/>
        <v>0</v>
      </c>
      <c r="AJ124" s="228">
        <f t="shared" si="176"/>
        <v>0</v>
      </c>
      <c r="AK124" s="228">
        <f t="shared" si="176"/>
        <v>0</v>
      </c>
      <c r="AL124" s="228">
        <f t="shared" si="176"/>
        <v>0</v>
      </c>
      <c r="AM124" s="228">
        <f t="shared" si="176"/>
        <v>0</v>
      </c>
      <c r="AN124" s="228">
        <f t="shared" si="176"/>
        <v>0</v>
      </c>
      <c r="AO124" s="228">
        <f t="shared" si="176"/>
        <v>0</v>
      </c>
      <c r="AP124" s="228">
        <f t="shared" si="176"/>
        <v>0</v>
      </c>
      <c r="AQ124" s="228">
        <f t="shared" si="176"/>
        <v>0</v>
      </c>
      <c r="AR124" s="228">
        <f>SUM(H124:AQ124)</f>
        <v>663321641</v>
      </c>
      <c r="AS124" s="229">
        <f t="shared" si="152"/>
        <v>3.1652189479390242E-3</v>
      </c>
      <c r="AT124" s="230">
        <f>F124-AR124</f>
        <v>1432336359</v>
      </c>
      <c r="AU124" s="229">
        <f t="shared" si="126"/>
        <v>68.347810520609755</v>
      </c>
      <c r="AV124" s="220" t="s">
        <v>576</v>
      </c>
      <c r="AW124" s="220" t="s">
        <v>560</v>
      </c>
      <c r="AX124" s="220" t="s">
        <v>4812</v>
      </c>
      <c r="AY124" s="228">
        <f t="shared" ref="AY124:BA124" si="177">AY125+AY128+AY131+AY134+AY137</f>
        <v>40653115</v>
      </c>
      <c r="AZ124" s="228">
        <f t="shared" si="177"/>
        <v>80540400</v>
      </c>
      <c r="BA124" s="228">
        <f t="shared" si="177"/>
        <v>8768422</v>
      </c>
      <c r="BB124" s="228">
        <f t="shared" ref="BB124" si="178">BB125+BB128+BB131+BB134+BB137</f>
        <v>35138796</v>
      </c>
      <c r="BC124" s="228">
        <f t="shared" ref="BC124" si="179">BC125+BC128+BC131+BC134+BC137</f>
        <v>64950711</v>
      </c>
      <c r="BD124" s="228">
        <f t="shared" ref="BD124:BE124" si="180">BD125+BD128+BD131+BD134+BD137</f>
        <v>51430197</v>
      </c>
      <c r="BE124" s="228">
        <f t="shared" si="180"/>
        <v>0</v>
      </c>
      <c r="BF124" s="228">
        <f t="shared" ref="BF124" si="181">BF125+BF128+BF131+BF134+BF137</f>
        <v>0</v>
      </c>
    </row>
    <row r="125" spans="2:58" x14ac:dyDescent="0.3">
      <c r="B125" s="290" t="s">
        <v>1807</v>
      </c>
      <c r="C125" s="222" t="s">
        <v>2171</v>
      </c>
      <c r="D125" s="222"/>
      <c r="E125" s="222"/>
      <c r="F125" s="223">
        <f>SUM(F126:F127)</f>
        <v>1254380000</v>
      </c>
      <c r="G125" s="223">
        <f>SUM(G126:G127)</f>
        <v>1254380000</v>
      </c>
      <c r="H125" s="223">
        <f t="shared" ref="H125:AQ125" si="182">SUM(H126:H127)</f>
        <v>0</v>
      </c>
      <c r="I125" s="223">
        <f t="shared" si="182"/>
        <v>0</v>
      </c>
      <c r="J125" s="223">
        <f t="shared" si="182"/>
        <v>0</v>
      </c>
      <c r="K125" s="223">
        <f t="shared" si="182"/>
        <v>63640000</v>
      </c>
      <c r="L125" s="223">
        <f t="shared" si="182"/>
        <v>0</v>
      </c>
      <c r="M125" s="223">
        <f t="shared" si="182"/>
        <v>0</v>
      </c>
      <c r="N125" s="223">
        <f t="shared" si="182"/>
        <v>63640000</v>
      </c>
      <c r="O125" s="223">
        <f t="shared" si="182"/>
        <v>22203587</v>
      </c>
      <c r="P125" s="223">
        <f t="shared" si="182"/>
        <v>27406900</v>
      </c>
      <c r="Q125" s="223">
        <f t="shared" si="182"/>
        <v>127280000</v>
      </c>
      <c r="R125" s="223">
        <f t="shared" si="182"/>
        <v>17187096</v>
      </c>
      <c r="S125" s="223">
        <f t="shared" si="182"/>
        <v>0</v>
      </c>
      <c r="T125" s="223">
        <f t="shared" si="182"/>
        <v>63640000</v>
      </c>
      <c r="U125" s="223">
        <f t="shared" si="182"/>
        <v>39128568</v>
      </c>
      <c r="V125" s="223">
        <f t="shared" si="182"/>
        <v>0</v>
      </c>
      <c r="W125" s="223">
        <f t="shared" si="182"/>
        <v>63640000</v>
      </c>
      <c r="X125" s="223">
        <f t="shared" si="182"/>
        <v>0</v>
      </c>
      <c r="Y125" s="223">
        <f t="shared" si="182"/>
        <v>0</v>
      </c>
      <c r="Z125" s="223">
        <f t="shared" si="182"/>
        <v>0</v>
      </c>
      <c r="AA125" s="223">
        <f t="shared" si="182"/>
        <v>0</v>
      </c>
      <c r="AB125" s="223">
        <f t="shared" si="182"/>
        <v>0</v>
      </c>
      <c r="AC125" s="223">
        <f t="shared" si="182"/>
        <v>0</v>
      </c>
      <c r="AD125" s="223">
        <f t="shared" si="182"/>
        <v>0</v>
      </c>
      <c r="AE125" s="223">
        <f t="shared" si="182"/>
        <v>0</v>
      </c>
      <c r="AF125" s="223">
        <f t="shared" si="182"/>
        <v>0</v>
      </c>
      <c r="AG125" s="223">
        <f t="shared" si="182"/>
        <v>0</v>
      </c>
      <c r="AH125" s="223">
        <f t="shared" si="182"/>
        <v>0</v>
      </c>
      <c r="AI125" s="223">
        <f t="shared" si="182"/>
        <v>0</v>
      </c>
      <c r="AJ125" s="223">
        <f t="shared" si="182"/>
        <v>0</v>
      </c>
      <c r="AK125" s="223">
        <f t="shared" si="182"/>
        <v>0</v>
      </c>
      <c r="AL125" s="223">
        <f t="shared" si="182"/>
        <v>0</v>
      </c>
      <c r="AM125" s="223">
        <f t="shared" si="182"/>
        <v>0</v>
      </c>
      <c r="AN125" s="223">
        <f t="shared" si="182"/>
        <v>0</v>
      </c>
      <c r="AO125" s="223">
        <f t="shared" si="182"/>
        <v>0</v>
      </c>
      <c r="AP125" s="223">
        <f t="shared" si="182"/>
        <v>0</v>
      </c>
      <c r="AQ125" s="223">
        <f t="shared" si="182"/>
        <v>0</v>
      </c>
      <c r="AR125" s="223">
        <f>SUM(H125:AQ125)</f>
        <v>487766151</v>
      </c>
      <c r="AS125" s="231">
        <f t="shared" si="152"/>
        <v>3.8885038903681501E-3</v>
      </c>
      <c r="AT125" s="232">
        <f>F125-AR125</f>
        <v>766613849</v>
      </c>
      <c r="AU125" s="231">
        <f>AT125/F125*100</f>
        <v>61.114961096318495</v>
      </c>
      <c r="AV125" s="220" t="s">
        <v>576</v>
      </c>
      <c r="AW125" s="220" t="s">
        <v>560</v>
      </c>
      <c r="AX125" s="220" t="s">
        <v>4812</v>
      </c>
      <c r="AY125" s="223">
        <f t="shared" ref="AY125:BA125" si="183">SUM(AY126:AY127)</f>
        <v>15353865</v>
      </c>
      <c r="AZ125" s="223">
        <f t="shared" si="183"/>
        <v>27406900</v>
      </c>
      <c r="BA125" s="223">
        <f t="shared" si="183"/>
        <v>6849722</v>
      </c>
      <c r="BB125" s="223">
        <f t="shared" ref="BB125" si="184">SUM(BB126:BB127)</f>
        <v>17187096</v>
      </c>
      <c r="BC125" s="223">
        <f t="shared" ref="BC125" si="185">SUM(BC126:BC127)</f>
        <v>10296711</v>
      </c>
      <c r="BD125" s="223">
        <f t="shared" ref="BD125:BE125" si="186">SUM(BD126:BD127)</f>
        <v>28831857</v>
      </c>
      <c r="BE125" s="223">
        <f t="shared" si="186"/>
        <v>0</v>
      </c>
      <c r="BF125" s="223">
        <f t="shared" ref="BF125" si="187">SUM(BF126:BF127)</f>
        <v>0</v>
      </c>
    </row>
    <row r="126" spans="2:58" x14ac:dyDescent="0.3">
      <c r="B126" s="288">
        <v>521111</v>
      </c>
      <c r="C126" s="220" t="s">
        <v>90</v>
      </c>
      <c r="D126" s="220"/>
      <c r="E126" s="220"/>
      <c r="F126" s="221">
        <v>1076220000</v>
      </c>
      <c r="G126" s="221">
        <v>1076220000</v>
      </c>
      <c r="H126" s="221"/>
      <c r="I126" s="221"/>
      <c r="J126" s="221"/>
      <c r="K126" s="221">
        <v>63640000</v>
      </c>
      <c r="L126" s="221"/>
      <c r="M126" s="221"/>
      <c r="N126" s="221">
        <v>63640000</v>
      </c>
      <c r="O126" s="221">
        <f>2178865+6849722</f>
        <v>9028587</v>
      </c>
      <c r="P126" s="221">
        <v>8107900</v>
      </c>
      <c r="Q126" s="221">
        <f>63640000+63640000</f>
        <v>127280000</v>
      </c>
      <c r="R126" s="221">
        <v>8235096</v>
      </c>
      <c r="S126" s="221"/>
      <c r="T126" s="221">
        <v>63640000</v>
      </c>
      <c r="U126" s="221">
        <f>8616711+7229857</f>
        <v>15846568</v>
      </c>
      <c r="V126" s="221"/>
      <c r="W126" s="221">
        <v>63640000</v>
      </c>
      <c r="X126" s="221"/>
      <c r="Y126" s="221"/>
      <c r="Z126" s="221"/>
      <c r="AA126" s="221"/>
      <c r="AB126" s="221"/>
      <c r="AC126" s="221"/>
      <c r="AD126" s="221"/>
      <c r="AE126" s="221"/>
      <c r="AF126" s="221"/>
      <c r="AG126" s="221"/>
      <c r="AH126" s="221"/>
      <c r="AI126" s="221"/>
      <c r="AJ126" s="221"/>
      <c r="AK126" s="221"/>
      <c r="AL126" s="221"/>
      <c r="AM126" s="221"/>
      <c r="AN126" s="221"/>
      <c r="AO126" s="221"/>
      <c r="AP126" s="221"/>
      <c r="AQ126" s="221"/>
      <c r="AR126" s="221">
        <f>SUM(H126:AQ126)</f>
        <v>423058151</v>
      </c>
      <c r="AS126" s="224">
        <f t="shared" si="152"/>
        <v>3.9309634740108904E-3</v>
      </c>
      <c r="AT126" s="225">
        <f>F126-AR126</f>
        <v>653161849</v>
      </c>
      <c r="AU126" s="224">
        <f>AT126/F126*100</f>
        <v>60.690365259891102</v>
      </c>
      <c r="AV126" s="220" t="s">
        <v>576</v>
      </c>
      <c r="AW126" s="220" t="s">
        <v>560</v>
      </c>
      <c r="AX126" s="220" t="s">
        <v>4812</v>
      </c>
      <c r="AY126" s="221">
        <v>2178865</v>
      </c>
      <c r="AZ126" s="221">
        <v>8107900</v>
      </c>
      <c r="BA126" s="300">
        <v>6849722</v>
      </c>
      <c r="BB126" s="221">
        <v>8235096</v>
      </c>
      <c r="BC126" s="221">
        <v>8616711</v>
      </c>
      <c r="BD126" s="221">
        <v>7229857</v>
      </c>
      <c r="BE126" s="221"/>
      <c r="BF126" s="221"/>
    </row>
    <row r="127" spans="2:58" x14ac:dyDescent="0.3">
      <c r="B127" s="288">
        <v>521811</v>
      </c>
      <c r="C127" s="220" t="s">
        <v>64</v>
      </c>
      <c r="D127" s="220"/>
      <c r="E127" s="220"/>
      <c r="F127" s="221">
        <v>178160000</v>
      </c>
      <c r="G127" s="221">
        <v>178160000</v>
      </c>
      <c r="H127" s="221"/>
      <c r="I127" s="221"/>
      <c r="J127" s="221"/>
      <c r="K127" s="221"/>
      <c r="L127" s="221"/>
      <c r="M127" s="221"/>
      <c r="N127" s="221"/>
      <c r="O127" s="221">
        <v>13175000</v>
      </c>
      <c r="P127" s="221">
        <v>19299000</v>
      </c>
      <c r="Q127" s="221"/>
      <c r="R127" s="221">
        <v>8952000</v>
      </c>
      <c r="S127" s="221"/>
      <c r="T127" s="221"/>
      <c r="U127" s="221">
        <f>1680000+21602000</f>
        <v>23282000</v>
      </c>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c r="AR127" s="221">
        <f t="shared" si="123"/>
        <v>64708000</v>
      </c>
      <c r="AS127" s="224">
        <f t="shared" si="152"/>
        <v>3.6320161652447238E-3</v>
      </c>
      <c r="AT127" s="225">
        <f>F127-AR127</f>
        <v>113452000</v>
      </c>
      <c r="AU127" s="224">
        <f t="shared" si="126"/>
        <v>63.679838347552767</v>
      </c>
      <c r="AV127" s="220" t="s">
        <v>576</v>
      </c>
      <c r="AW127" s="220" t="s">
        <v>560</v>
      </c>
      <c r="AX127" s="220" t="s">
        <v>4812</v>
      </c>
      <c r="AY127" s="221">
        <v>13175000</v>
      </c>
      <c r="AZ127" s="221">
        <v>19299000</v>
      </c>
      <c r="BA127" s="300"/>
      <c r="BB127" s="221">
        <v>8952000</v>
      </c>
      <c r="BC127" s="221">
        <v>1680000</v>
      </c>
      <c r="BD127" s="221">
        <v>21602000</v>
      </c>
      <c r="BE127" s="221"/>
      <c r="BF127" s="221"/>
    </row>
    <row r="128" spans="2:58" x14ac:dyDescent="0.3">
      <c r="B128" s="290" t="s">
        <v>2208</v>
      </c>
      <c r="C128" s="222" t="s">
        <v>2209</v>
      </c>
      <c r="D128" s="222"/>
      <c r="E128" s="222"/>
      <c r="F128" s="223">
        <f t="shared" ref="F128:AQ128" si="188">SUM(F129:F130)</f>
        <v>148852000</v>
      </c>
      <c r="G128" s="223">
        <f t="shared" ref="G128" si="189">SUM(G129:G130)</f>
        <v>148852000</v>
      </c>
      <c r="H128" s="223">
        <f t="shared" si="188"/>
        <v>0</v>
      </c>
      <c r="I128" s="223">
        <f t="shared" si="188"/>
        <v>0</v>
      </c>
      <c r="J128" s="223">
        <f t="shared" si="188"/>
        <v>0</v>
      </c>
      <c r="K128" s="223">
        <f t="shared" si="188"/>
        <v>0</v>
      </c>
      <c r="L128" s="223">
        <f t="shared" si="188"/>
        <v>0</v>
      </c>
      <c r="M128" s="223">
        <f t="shared" si="188"/>
        <v>0</v>
      </c>
      <c r="N128" s="223">
        <f t="shared" si="188"/>
        <v>0</v>
      </c>
      <c r="O128" s="223">
        <f t="shared" si="188"/>
        <v>354050</v>
      </c>
      <c r="P128" s="223">
        <f t="shared" si="188"/>
        <v>4950000</v>
      </c>
      <c r="Q128" s="223">
        <f t="shared" si="188"/>
        <v>0</v>
      </c>
      <c r="R128" s="223">
        <f t="shared" si="188"/>
        <v>10503000</v>
      </c>
      <c r="S128" s="223">
        <f t="shared" si="188"/>
        <v>0</v>
      </c>
      <c r="T128" s="223">
        <f t="shared" si="188"/>
        <v>0</v>
      </c>
      <c r="U128" s="223">
        <f t="shared" si="188"/>
        <v>6279000</v>
      </c>
      <c r="V128" s="223">
        <f t="shared" si="188"/>
        <v>0</v>
      </c>
      <c r="W128" s="223">
        <f t="shared" si="188"/>
        <v>0</v>
      </c>
      <c r="X128" s="223">
        <f t="shared" si="188"/>
        <v>0</v>
      </c>
      <c r="Y128" s="223">
        <f t="shared" si="188"/>
        <v>0</v>
      </c>
      <c r="Z128" s="223">
        <f t="shared" si="188"/>
        <v>0</v>
      </c>
      <c r="AA128" s="223">
        <f t="shared" si="188"/>
        <v>0</v>
      </c>
      <c r="AB128" s="223">
        <f t="shared" si="188"/>
        <v>0</v>
      </c>
      <c r="AC128" s="223">
        <f t="shared" si="188"/>
        <v>0</v>
      </c>
      <c r="AD128" s="223">
        <f t="shared" si="188"/>
        <v>0</v>
      </c>
      <c r="AE128" s="223">
        <f t="shared" si="188"/>
        <v>0</v>
      </c>
      <c r="AF128" s="223">
        <f t="shared" si="188"/>
        <v>0</v>
      </c>
      <c r="AG128" s="223">
        <f t="shared" si="188"/>
        <v>0</v>
      </c>
      <c r="AH128" s="223">
        <f t="shared" si="188"/>
        <v>0</v>
      </c>
      <c r="AI128" s="223">
        <f t="shared" si="188"/>
        <v>0</v>
      </c>
      <c r="AJ128" s="223">
        <f t="shared" si="188"/>
        <v>0</v>
      </c>
      <c r="AK128" s="223">
        <f t="shared" si="188"/>
        <v>0</v>
      </c>
      <c r="AL128" s="223">
        <f t="shared" si="188"/>
        <v>0</v>
      </c>
      <c r="AM128" s="223">
        <f t="shared" si="188"/>
        <v>0</v>
      </c>
      <c r="AN128" s="223">
        <f t="shared" si="188"/>
        <v>0</v>
      </c>
      <c r="AO128" s="223">
        <f t="shared" si="188"/>
        <v>0</v>
      </c>
      <c r="AP128" s="223">
        <f t="shared" si="188"/>
        <v>0</v>
      </c>
      <c r="AQ128" s="223">
        <f t="shared" si="188"/>
        <v>0</v>
      </c>
      <c r="AR128" s="223">
        <f t="shared" ref="AR128:AR138" si="190">SUM(H128:AQ128)</f>
        <v>22086050</v>
      </c>
      <c r="AS128" s="231">
        <f t="shared" ref="AS128:AS129" si="191">AR128/F128/100</f>
        <v>1.4837590358208154E-3</v>
      </c>
      <c r="AT128" s="232">
        <f t="shared" ref="AT128" si="192">F128-AR128</f>
        <v>126765950</v>
      </c>
      <c r="AU128" s="231">
        <f t="shared" ref="AU128:AU135" si="193">AT128/F128*100</f>
        <v>85.162409641791854</v>
      </c>
      <c r="AV128" s="220" t="s">
        <v>576</v>
      </c>
      <c r="AW128" s="220" t="s">
        <v>560</v>
      </c>
      <c r="AX128" s="220" t="s">
        <v>4812</v>
      </c>
      <c r="AY128" s="223">
        <f>SUM(AY129:AY130)</f>
        <v>295050</v>
      </c>
      <c r="AZ128" s="223">
        <f t="shared" ref="AZ128:BB128" si="194">SUM(AZ129:AZ130)</f>
        <v>4950000</v>
      </c>
      <c r="BA128" s="223">
        <f t="shared" si="194"/>
        <v>59000</v>
      </c>
      <c r="BB128" s="223">
        <f t="shared" si="194"/>
        <v>10503000</v>
      </c>
      <c r="BC128" s="223">
        <f t="shared" ref="BC128" si="195">SUM(BC129:BC130)</f>
        <v>276000</v>
      </c>
      <c r="BD128" s="223">
        <f t="shared" ref="BD128:BE128" si="196">SUM(BD129:BD130)</f>
        <v>6003000</v>
      </c>
      <c r="BE128" s="223">
        <f t="shared" si="196"/>
        <v>0</v>
      </c>
      <c r="BF128" s="223">
        <f t="shared" ref="BF128" si="197">SUM(BF129:BF130)</f>
        <v>0</v>
      </c>
    </row>
    <row r="129" spans="2:58" x14ac:dyDescent="0.3">
      <c r="B129" s="288">
        <v>521114</v>
      </c>
      <c r="C129" s="220" t="s">
        <v>94</v>
      </c>
      <c r="D129" s="220"/>
      <c r="E129" s="220"/>
      <c r="F129" s="221">
        <v>30000000</v>
      </c>
      <c r="G129" s="221">
        <v>30000000</v>
      </c>
      <c r="H129" s="221"/>
      <c r="I129" s="221"/>
      <c r="J129" s="221"/>
      <c r="K129" s="221"/>
      <c r="L129" s="221"/>
      <c r="M129" s="221"/>
      <c r="N129" s="221"/>
      <c r="O129" s="221">
        <f>295050+59000</f>
        <v>354050</v>
      </c>
      <c r="P129" s="221"/>
      <c r="Q129" s="221"/>
      <c r="R129" s="221">
        <v>603000</v>
      </c>
      <c r="S129" s="221"/>
      <c r="T129" s="221"/>
      <c r="U129" s="221">
        <f>276000+1053000</f>
        <v>1329000</v>
      </c>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c r="AR129" s="221">
        <f t="shared" si="190"/>
        <v>2286050</v>
      </c>
      <c r="AS129" s="224">
        <f t="shared" si="191"/>
        <v>7.6201666666666666E-4</v>
      </c>
      <c r="AT129" s="225">
        <f t="shared" ref="AT129:AT138" si="198">F129-AR129</f>
        <v>27713950</v>
      </c>
      <c r="AU129" s="224">
        <f t="shared" si="193"/>
        <v>92.379833333333337</v>
      </c>
      <c r="AV129" s="220" t="s">
        <v>576</v>
      </c>
      <c r="AW129" s="220" t="s">
        <v>560</v>
      </c>
      <c r="AX129" s="220" t="s">
        <v>4812</v>
      </c>
      <c r="AY129" s="221">
        <v>295050</v>
      </c>
      <c r="AZ129" s="221"/>
      <c r="BA129" s="300">
        <v>59000</v>
      </c>
      <c r="BB129" s="221">
        <v>603000</v>
      </c>
      <c r="BC129" s="221">
        <v>276000</v>
      </c>
      <c r="BD129" s="221">
        <v>1053000</v>
      </c>
      <c r="BE129" s="221"/>
      <c r="BF129" s="221"/>
    </row>
    <row r="130" spans="2:58" x14ac:dyDescent="0.3">
      <c r="B130" s="288">
        <v>522141</v>
      </c>
      <c r="C130" s="220" t="s">
        <v>95</v>
      </c>
      <c r="D130" s="220"/>
      <c r="E130" s="220"/>
      <c r="F130" s="221">
        <v>118852000</v>
      </c>
      <c r="G130" s="221">
        <v>118852000</v>
      </c>
      <c r="H130" s="221"/>
      <c r="I130" s="221"/>
      <c r="J130" s="221"/>
      <c r="K130" s="221"/>
      <c r="L130" s="221"/>
      <c r="M130" s="221"/>
      <c r="N130" s="221"/>
      <c r="O130" s="221"/>
      <c r="P130" s="221">
        <v>4950000</v>
      </c>
      <c r="Q130" s="221"/>
      <c r="R130" s="221">
        <v>9900000</v>
      </c>
      <c r="S130" s="221"/>
      <c r="T130" s="221"/>
      <c r="U130" s="221">
        <v>4950000</v>
      </c>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c r="AR130" s="221">
        <f t="shared" si="190"/>
        <v>19800000</v>
      </c>
      <c r="AS130" s="224">
        <f t="shared" ref="AS130:AS132" si="199">AR130/F130/100</f>
        <v>1.6659374684481539E-3</v>
      </c>
      <c r="AT130" s="225">
        <f t="shared" si="198"/>
        <v>99052000</v>
      </c>
      <c r="AU130" s="224">
        <f t="shared" si="193"/>
        <v>83.340625315518452</v>
      </c>
      <c r="AV130" s="220" t="s">
        <v>576</v>
      </c>
      <c r="AW130" s="220" t="s">
        <v>560</v>
      </c>
      <c r="AX130" s="220" t="s">
        <v>4812</v>
      </c>
      <c r="AY130" s="221"/>
      <c r="AZ130" s="221">
        <v>4950000</v>
      </c>
      <c r="BA130" s="300"/>
      <c r="BB130" s="221">
        <v>9900000</v>
      </c>
      <c r="BC130" s="221"/>
      <c r="BD130" s="221">
        <v>4950000</v>
      </c>
      <c r="BE130" s="221"/>
      <c r="BF130" s="221"/>
    </row>
    <row r="131" spans="2:58" x14ac:dyDescent="0.3">
      <c r="B131" s="290" t="s">
        <v>2219</v>
      </c>
      <c r="C131" s="222" t="s">
        <v>2220</v>
      </c>
      <c r="D131" s="222"/>
      <c r="E131" s="222"/>
      <c r="F131" s="223">
        <f>SUM(F132:F133)</f>
        <v>533050000</v>
      </c>
      <c r="G131" s="223">
        <f>SUM(G132:G133)</f>
        <v>533050000</v>
      </c>
      <c r="H131" s="223">
        <f t="shared" ref="H131:BB131" si="200">SUM(H132:H133)</f>
        <v>0</v>
      </c>
      <c r="I131" s="223">
        <f t="shared" si="200"/>
        <v>0</v>
      </c>
      <c r="J131" s="223">
        <f t="shared" si="200"/>
        <v>0</v>
      </c>
      <c r="K131" s="223">
        <f t="shared" si="200"/>
        <v>0</v>
      </c>
      <c r="L131" s="223">
        <f t="shared" si="200"/>
        <v>0</v>
      </c>
      <c r="M131" s="223">
        <f t="shared" si="200"/>
        <v>0</v>
      </c>
      <c r="N131" s="223">
        <f t="shared" si="200"/>
        <v>0</v>
      </c>
      <c r="O131" s="223">
        <f t="shared" si="200"/>
        <v>26863900</v>
      </c>
      <c r="P131" s="223">
        <f t="shared" si="200"/>
        <v>38727500</v>
      </c>
      <c r="Q131" s="223">
        <f t="shared" si="200"/>
        <v>0</v>
      </c>
      <c r="R131" s="223">
        <f t="shared" si="200"/>
        <v>7448700</v>
      </c>
      <c r="S131" s="223">
        <f t="shared" si="200"/>
        <v>0</v>
      </c>
      <c r="T131" s="223">
        <f t="shared" si="200"/>
        <v>0</v>
      </c>
      <c r="U131" s="223">
        <f t="shared" si="200"/>
        <v>21835340</v>
      </c>
      <c r="V131" s="223">
        <f t="shared" si="200"/>
        <v>0</v>
      </c>
      <c r="W131" s="223">
        <f t="shared" si="200"/>
        <v>0</v>
      </c>
      <c r="X131" s="223">
        <f t="shared" si="200"/>
        <v>0</v>
      </c>
      <c r="Y131" s="223">
        <f t="shared" si="200"/>
        <v>0</v>
      </c>
      <c r="Z131" s="223">
        <f t="shared" si="200"/>
        <v>0</v>
      </c>
      <c r="AA131" s="223">
        <f t="shared" si="200"/>
        <v>0</v>
      </c>
      <c r="AB131" s="223">
        <f t="shared" si="200"/>
        <v>0</v>
      </c>
      <c r="AC131" s="223">
        <f t="shared" si="200"/>
        <v>0</v>
      </c>
      <c r="AD131" s="223">
        <f t="shared" si="200"/>
        <v>0</v>
      </c>
      <c r="AE131" s="223">
        <f t="shared" si="200"/>
        <v>0</v>
      </c>
      <c r="AF131" s="223">
        <f t="shared" si="200"/>
        <v>0</v>
      </c>
      <c r="AG131" s="223">
        <f t="shared" si="200"/>
        <v>0</v>
      </c>
      <c r="AH131" s="223">
        <f t="shared" si="200"/>
        <v>0</v>
      </c>
      <c r="AI131" s="223">
        <f t="shared" si="200"/>
        <v>0</v>
      </c>
      <c r="AJ131" s="223">
        <f t="shared" si="200"/>
        <v>0</v>
      </c>
      <c r="AK131" s="223">
        <f t="shared" si="200"/>
        <v>0</v>
      </c>
      <c r="AL131" s="223">
        <f t="shared" si="200"/>
        <v>0</v>
      </c>
      <c r="AM131" s="223">
        <f t="shared" si="200"/>
        <v>0</v>
      </c>
      <c r="AN131" s="223">
        <f t="shared" si="200"/>
        <v>0</v>
      </c>
      <c r="AO131" s="223">
        <f t="shared" si="200"/>
        <v>0</v>
      </c>
      <c r="AP131" s="223">
        <f t="shared" si="200"/>
        <v>0</v>
      </c>
      <c r="AQ131" s="223">
        <f t="shared" si="200"/>
        <v>0</v>
      </c>
      <c r="AR131" s="223">
        <f t="shared" si="190"/>
        <v>94875440</v>
      </c>
      <c r="AS131" s="231">
        <f t="shared" si="199"/>
        <v>1.7798600506519087E-3</v>
      </c>
      <c r="AT131" s="232">
        <f t="shared" si="198"/>
        <v>438174560</v>
      </c>
      <c r="AU131" s="231">
        <f t="shared" si="193"/>
        <v>82.201399493480906</v>
      </c>
      <c r="AV131" s="220" t="s">
        <v>576</v>
      </c>
      <c r="AW131" s="220" t="s">
        <v>560</v>
      </c>
      <c r="AX131" s="220" t="s">
        <v>4812</v>
      </c>
      <c r="AY131" s="223">
        <f t="shared" si="200"/>
        <v>25004200</v>
      </c>
      <c r="AZ131" s="223">
        <f t="shared" si="200"/>
        <v>38727500</v>
      </c>
      <c r="BA131" s="223">
        <f t="shared" si="200"/>
        <v>1859700</v>
      </c>
      <c r="BB131" s="223">
        <f t="shared" si="200"/>
        <v>7448700</v>
      </c>
      <c r="BC131" s="223">
        <f t="shared" ref="BC131" si="201">SUM(BC132:BC133)</f>
        <v>9968000</v>
      </c>
      <c r="BD131" s="223">
        <f t="shared" ref="BD131:BE131" si="202">SUM(BD132:BD133)</f>
        <v>11867340</v>
      </c>
      <c r="BE131" s="223">
        <f t="shared" si="202"/>
        <v>0</v>
      </c>
      <c r="BF131" s="223">
        <f t="shared" ref="BF131" si="203">SUM(BF132:BF133)</f>
        <v>0</v>
      </c>
    </row>
    <row r="132" spans="2:58" x14ac:dyDescent="0.3">
      <c r="B132" s="288">
        <v>523121</v>
      </c>
      <c r="C132" s="220" t="s">
        <v>99</v>
      </c>
      <c r="D132" s="220"/>
      <c r="E132" s="220"/>
      <c r="F132" s="221">
        <v>497050000</v>
      </c>
      <c r="G132" s="221">
        <v>497050000</v>
      </c>
      <c r="H132" s="221"/>
      <c r="I132" s="221"/>
      <c r="J132" s="221"/>
      <c r="K132" s="221"/>
      <c r="L132" s="221"/>
      <c r="M132" s="221"/>
      <c r="N132" s="221"/>
      <c r="O132" s="221">
        <f>25004200+1859700</f>
        <v>26863900</v>
      </c>
      <c r="P132" s="221">
        <v>32727500</v>
      </c>
      <c r="Q132" s="221"/>
      <c r="R132" s="221">
        <v>7448700</v>
      </c>
      <c r="S132" s="221"/>
      <c r="T132" s="221"/>
      <c r="U132" s="221">
        <f>6968000+11867340</f>
        <v>18835340</v>
      </c>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c r="AR132" s="221">
        <f t="shared" si="190"/>
        <v>85875440</v>
      </c>
      <c r="AS132" s="224">
        <f t="shared" si="199"/>
        <v>1.7277022432350868E-3</v>
      </c>
      <c r="AT132" s="225">
        <f t="shared" si="198"/>
        <v>411174560</v>
      </c>
      <c r="AU132" s="224">
        <f t="shared" si="193"/>
        <v>82.722977567649124</v>
      </c>
      <c r="AV132" s="220" t="s">
        <v>576</v>
      </c>
      <c r="AW132" s="220" t="s">
        <v>560</v>
      </c>
      <c r="AX132" s="220" t="s">
        <v>4812</v>
      </c>
      <c r="AY132" s="221">
        <v>25004200</v>
      </c>
      <c r="AZ132" s="221">
        <v>32727500</v>
      </c>
      <c r="BA132" s="300">
        <v>1859700</v>
      </c>
      <c r="BB132" s="221">
        <v>7448700</v>
      </c>
      <c r="BC132" s="221">
        <v>6968000</v>
      </c>
      <c r="BD132" s="221">
        <v>11867340</v>
      </c>
      <c r="BE132" s="221"/>
      <c r="BF132" s="221"/>
    </row>
    <row r="133" spans="2:58" x14ac:dyDescent="0.3">
      <c r="B133" s="288">
        <v>523199</v>
      </c>
      <c r="C133" s="220" t="s">
        <v>102</v>
      </c>
      <c r="D133" s="220"/>
      <c r="E133" s="220"/>
      <c r="F133" s="221">
        <v>36000000</v>
      </c>
      <c r="G133" s="221">
        <v>36000000</v>
      </c>
      <c r="H133" s="221"/>
      <c r="I133" s="221"/>
      <c r="J133" s="221"/>
      <c r="K133" s="221"/>
      <c r="L133" s="221"/>
      <c r="M133" s="221"/>
      <c r="N133" s="221"/>
      <c r="O133" s="221"/>
      <c r="P133" s="221">
        <v>6000000</v>
      </c>
      <c r="Q133" s="221"/>
      <c r="R133" s="221"/>
      <c r="S133" s="221"/>
      <c r="T133" s="221"/>
      <c r="U133" s="221">
        <v>3000000</v>
      </c>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c r="AR133" s="221">
        <f t="shared" si="190"/>
        <v>9000000</v>
      </c>
      <c r="AS133" s="224">
        <f t="shared" ref="AS133:AS135" si="204">AR133/F133/100</f>
        <v>2.5000000000000001E-3</v>
      </c>
      <c r="AT133" s="225">
        <f t="shared" si="198"/>
        <v>27000000</v>
      </c>
      <c r="AU133" s="224">
        <f t="shared" si="193"/>
        <v>75</v>
      </c>
      <c r="AV133" s="220" t="s">
        <v>576</v>
      </c>
      <c r="AW133" s="220" t="s">
        <v>560</v>
      </c>
      <c r="AX133" s="220" t="s">
        <v>4812</v>
      </c>
      <c r="AY133" s="221"/>
      <c r="AZ133" s="221">
        <v>6000000</v>
      </c>
      <c r="BA133" s="300"/>
      <c r="BB133" s="221"/>
      <c r="BC133" s="221">
        <v>3000000</v>
      </c>
      <c r="BD133" s="221"/>
      <c r="BE133" s="221"/>
      <c r="BF133" s="221"/>
    </row>
    <row r="134" spans="2:58" x14ac:dyDescent="0.3">
      <c r="B134" s="290" t="s">
        <v>2239</v>
      </c>
      <c r="C134" s="222" t="s">
        <v>2240</v>
      </c>
      <c r="D134" s="222"/>
      <c r="E134" s="222"/>
      <c r="F134" s="223">
        <f t="shared" ref="F134:BB134" si="205">SUM(F135:F136)</f>
        <v>159376000</v>
      </c>
      <c r="G134" s="223">
        <f t="shared" ref="G134" si="206">SUM(G135:G136)</f>
        <v>159376000</v>
      </c>
      <c r="H134" s="223">
        <f t="shared" si="205"/>
        <v>0</v>
      </c>
      <c r="I134" s="223">
        <f t="shared" si="205"/>
        <v>0</v>
      </c>
      <c r="J134" s="223">
        <f t="shared" si="205"/>
        <v>0</v>
      </c>
      <c r="K134" s="223">
        <f t="shared" si="205"/>
        <v>0</v>
      </c>
      <c r="L134" s="223">
        <f t="shared" si="205"/>
        <v>0</v>
      </c>
      <c r="M134" s="223">
        <f t="shared" si="205"/>
        <v>0</v>
      </c>
      <c r="N134" s="223">
        <f t="shared" si="205"/>
        <v>0</v>
      </c>
      <c r="O134" s="223">
        <f t="shared" si="205"/>
        <v>0</v>
      </c>
      <c r="P134" s="223">
        <f t="shared" si="205"/>
        <v>9456000</v>
      </c>
      <c r="Q134" s="223">
        <f t="shared" si="205"/>
        <v>0</v>
      </c>
      <c r="R134" s="223">
        <f t="shared" si="205"/>
        <v>0</v>
      </c>
      <c r="S134" s="223">
        <f t="shared" si="205"/>
        <v>0</v>
      </c>
      <c r="T134" s="223">
        <f t="shared" si="205"/>
        <v>0</v>
      </c>
      <c r="U134" s="223">
        <f t="shared" si="205"/>
        <v>49138000</v>
      </c>
      <c r="V134" s="223">
        <f t="shared" si="205"/>
        <v>0</v>
      </c>
      <c r="W134" s="223">
        <f t="shared" si="205"/>
        <v>0</v>
      </c>
      <c r="X134" s="223">
        <f t="shared" si="205"/>
        <v>0</v>
      </c>
      <c r="Y134" s="223">
        <f t="shared" si="205"/>
        <v>0</v>
      </c>
      <c r="Z134" s="223">
        <f t="shared" si="205"/>
        <v>0</v>
      </c>
      <c r="AA134" s="223">
        <f t="shared" si="205"/>
        <v>0</v>
      </c>
      <c r="AB134" s="223">
        <f t="shared" si="205"/>
        <v>0</v>
      </c>
      <c r="AC134" s="223">
        <f t="shared" si="205"/>
        <v>0</v>
      </c>
      <c r="AD134" s="223">
        <f t="shared" si="205"/>
        <v>0</v>
      </c>
      <c r="AE134" s="223">
        <f t="shared" si="205"/>
        <v>0</v>
      </c>
      <c r="AF134" s="223">
        <f t="shared" si="205"/>
        <v>0</v>
      </c>
      <c r="AG134" s="223">
        <f t="shared" si="205"/>
        <v>0</v>
      </c>
      <c r="AH134" s="223">
        <f t="shared" si="205"/>
        <v>0</v>
      </c>
      <c r="AI134" s="223">
        <f t="shared" si="205"/>
        <v>0</v>
      </c>
      <c r="AJ134" s="223">
        <f t="shared" si="205"/>
        <v>0</v>
      </c>
      <c r="AK134" s="223">
        <f t="shared" si="205"/>
        <v>0</v>
      </c>
      <c r="AL134" s="223">
        <f t="shared" si="205"/>
        <v>0</v>
      </c>
      <c r="AM134" s="223">
        <f t="shared" si="205"/>
        <v>0</v>
      </c>
      <c r="AN134" s="223">
        <f t="shared" si="205"/>
        <v>0</v>
      </c>
      <c r="AO134" s="223">
        <f t="shared" si="205"/>
        <v>0</v>
      </c>
      <c r="AP134" s="223">
        <f t="shared" si="205"/>
        <v>0</v>
      </c>
      <c r="AQ134" s="223">
        <f t="shared" si="205"/>
        <v>0</v>
      </c>
      <c r="AR134" s="223">
        <f t="shared" si="190"/>
        <v>58594000</v>
      </c>
      <c r="AS134" s="231">
        <f t="shared" si="204"/>
        <v>3.676463206505371E-3</v>
      </c>
      <c r="AT134" s="232">
        <f t="shared" si="198"/>
        <v>100782000</v>
      </c>
      <c r="AU134" s="231">
        <f t="shared" si="193"/>
        <v>63.235367934946296</v>
      </c>
      <c r="AV134" s="220" t="s">
        <v>576</v>
      </c>
      <c r="AW134" s="220" t="s">
        <v>560</v>
      </c>
      <c r="AX134" s="220" t="s">
        <v>4812</v>
      </c>
      <c r="AY134" s="223">
        <f t="shared" si="205"/>
        <v>0</v>
      </c>
      <c r="AZ134" s="223">
        <f t="shared" si="205"/>
        <v>9456000</v>
      </c>
      <c r="BA134" s="223">
        <f t="shared" si="205"/>
        <v>0</v>
      </c>
      <c r="BB134" s="223">
        <f t="shared" si="205"/>
        <v>0</v>
      </c>
      <c r="BC134" s="223">
        <f t="shared" ref="BC134" si="207">SUM(BC135:BC136)</f>
        <v>44410000</v>
      </c>
      <c r="BD134" s="223">
        <f t="shared" ref="BD134:BE134" si="208">SUM(BD135:BD136)</f>
        <v>4728000</v>
      </c>
      <c r="BE134" s="223">
        <f t="shared" si="208"/>
        <v>0</v>
      </c>
      <c r="BF134" s="223">
        <f t="shared" ref="BF134" si="209">SUM(BF135:BF136)</f>
        <v>0</v>
      </c>
    </row>
    <row r="135" spans="2:58" x14ac:dyDescent="0.3">
      <c r="B135" s="288">
        <v>521111</v>
      </c>
      <c r="C135" s="220" t="s">
        <v>90</v>
      </c>
      <c r="D135" s="220"/>
      <c r="E135" s="220"/>
      <c r="F135" s="221">
        <v>101040000</v>
      </c>
      <c r="G135" s="221">
        <v>101040000</v>
      </c>
      <c r="H135" s="221"/>
      <c r="I135" s="221"/>
      <c r="J135" s="221"/>
      <c r="K135" s="221"/>
      <c r="L135" s="221"/>
      <c r="M135" s="221"/>
      <c r="N135" s="221"/>
      <c r="O135" s="221"/>
      <c r="P135" s="221"/>
      <c r="Q135" s="221"/>
      <c r="R135" s="221"/>
      <c r="S135" s="221"/>
      <c r="T135" s="221"/>
      <c r="U135" s="221">
        <f>44410000</f>
        <v>44410000</v>
      </c>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c r="AR135" s="221">
        <f t="shared" si="190"/>
        <v>44410000</v>
      </c>
      <c r="AS135" s="224">
        <f t="shared" si="204"/>
        <v>4.395288994457641E-3</v>
      </c>
      <c r="AT135" s="225">
        <f t="shared" si="198"/>
        <v>56630000</v>
      </c>
      <c r="AU135" s="224">
        <f t="shared" si="193"/>
        <v>56.047110055423602</v>
      </c>
      <c r="AV135" s="220" t="s">
        <v>576</v>
      </c>
      <c r="AW135" s="220" t="s">
        <v>560</v>
      </c>
      <c r="AX135" s="220" t="s">
        <v>4812</v>
      </c>
      <c r="AY135" s="221"/>
      <c r="AZ135" s="221"/>
      <c r="BA135" s="300"/>
      <c r="BB135" s="221"/>
      <c r="BC135" s="221">
        <v>44410000</v>
      </c>
      <c r="BD135" s="221"/>
      <c r="BE135" s="221"/>
      <c r="BF135" s="221"/>
    </row>
    <row r="136" spans="2:58" x14ac:dyDescent="0.3">
      <c r="B136" s="288">
        <v>521115</v>
      </c>
      <c r="C136" s="220" t="s">
        <v>104</v>
      </c>
      <c r="D136" s="220"/>
      <c r="E136" s="220"/>
      <c r="F136" s="221">
        <v>58336000</v>
      </c>
      <c r="G136" s="221">
        <v>58336000</v>
      </c>
      <c r="H136" s="221"/>
      <c r="I136" s="221"/>
      <c r="J136" s="221"/>
      <c r="K136" s="221"/>
      <c r="L136" s="221"/>
      <c r="M136" s="221"/>
      <c r="N136" s="221"/>
      <c r="O136" s="221"/>
      <c r="P136" s="221">
        <v>9456000</v>
      </c>
      <c r="Q136" s="221"/>
      <c r="R136" s="221"/>
      <c r="S136" s="221"/>
      <c r="T136" s="221"/>
      <c r="U136" s="221">
        <v>4728000</v>
      </c>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c r="AR136" s="221">
        <f t="shared" si="190"/>
        <v>14184000</v>
      </c>
      <c r="AS136" s="224">
        <f t="shared" ref="AS136:AS189" si="210">AR136/F136/100</f>
        <v>2.4314317059791553E-3</v>
      </c>
      <c r="AT136" s="225">
        <f t="shared" si="198"/>
        <v>44152000</v>
      </c>
      <c r="AU136" s="224">
        <f t="shared" ref="AU136:AU189" si="211">AT136/F136*100</f>
        <v>75.685682940208437</v>
      </c>
      <c r="AV136" s="220" t="s">
        <v>576</v>
      </c>
      <c r="AW136" s="220" t="s">
        <v>560</v>
      </c>
      <c r="AX136" s="220" t="s">
        <v>4812</v>
      </c>
      <c r="AY136" s="221"/>
      <c r="AZ136" s="221">
        <v>9456000</v>
      </c>
      <c r="BA136" s="300"/>
      <c r="BB136" s="221"/>
      <c r="BC136" s="221"/>
      <c r="BD136" s="221">
        <v>4728000</v>
      </c>
      <c r="BE136" s="221"/>
      <c r="BF136" s="221"/>
    </row>
    <row r="137" spans="2:58" x14ac:dyDescent="0.3">
      <c r="B137" s="290" t="s">
        <v>4224</v>
      </c>
      <c r="C137" s="222" t="s">
        <v>4225</v>
      </c>
      <c r="D137" s="222"/>
      <c r="E137" s="222"/>
      <c r="F137" s="223">
        <f t="shared" ref="F137:BB137" si="212">SUM(F138:F140)</f>
        <v>0</v>
      </c>
      <c r="G137" s="223">
        <f t="shared" ref="G137" si="213">SUM(G138:G140)</f>
        <v>100000000</v>
      </c>
      <c r="H137" s="223">
        <f t="shared" si="212"/>
        <v>0</v>
      </c>
      <c r="I137" s="223">
        <f t="shared" si="212"/>
        <v>0</v>
      </c>
      <c r="J137" s="223">
        <f t="shared" si="212"/>
        <v>0</v>
      </c>
      <c r="K137" s="223">
        <f t="shared" si="212"/>
        <v>0</v>
      </c>
      <c r="L137" s="223">
        <f t="shared" si="212"/>
        <v>0</v>
      </c>
      <c r="M137" s="223">
        <f t="shared" si="212"/>
        <v>0</v>
      </c>
      <c r="N137" s="223">
        <f t="shared" si="212"/>
        <v>0</v>
      </c>
      <c r="O137" s="223">
        <f t="shared" si="212"/>
        <v>0</v>
      </c>
      <c r="P137" s="223">
        <f t="shared" si="212"/>
        <v>0</v>
      </c>
      <c r="Q137" s="223">
        <f t="shared" si="212"/>
        <v>0</v>
      </c>
      <c r="R137" s="223">
        <f t="shared" si="212"/>
        <v>0</v>
      </c>
      <c r="S137" s="223">
        <f t="shared" si="212"/>
        <v>0</v>
      </c>
      <c r="T137" s="223">
        <f t="shared" si="212"/>
        <v>0</v>
      </c>
      <c r="U137" s="223">
        <f t="shared" si="212"/>
        <v>0</v>
      </c>
      <c r="V137" s="223">
        <f t="shared" si="212"/>
        <v>0</v>
      </c>
      <c r="W137" s="223">
        <f t="shared" si="212"/>
        <v>0</v>
      </c>
      <c r="X137" s="223">
        <f t="shared" si="212"/>
        <v>0</v>
      </c>
      <c r="Y137" s="223">
        <f t="shared" si="212"/>
        <v>0</v>
      </c>
      <c r="Z137" s="223">
        <f t="shared" si="212"/>
        <v>0</v>
      </c>
      <c r="AA137" s="223">
        <f t="shared" si="212"/>
        <v>0</v>
      </c>
      <c r="AB137" s="223">
        <f t="shared" si="212"/>
        <v>0</v>
      </c>
      <c r="AC137" s="223">
        <f t="shared" si="212"/>
        <v>0</v>
      </c>
      <c r="AD137" s="223">
        <f t="shared" si="212"/>
        <v>0</v>
      </c>
      <c r="AE137" s="223">
        <f t="shared" si="212"/>
        <v>0</v>
      </c>
      <c r="AF137" s="223">
        <f t="shared" si="212"/>
        <v>0</v>
      </c>
      <c r="AG137" s="223">
        <f t="shared" si="212"/>
        <v>0</v>
      </c>
      <c r="AH137" s="223">
        <f t="shared" si="212"/>
        <v>0</v>
      </c>
      <c r="AI137" s="223">
        <f t="shared" si="212"/>
        <v>0</v>
      </c>
      <c r="AJ137" s="223">
        <f t="shared" si="212"/>
        <v>0</v>
      </c>
      <c r="AK137" s="223">
        <f t="shared" si="212"/>
        <v>0</v>
      </c>
      <c r="AL137" s="223">
        <f t="shared" si="212"/>
        <v>0</v>
      </c>
      <c r="AM137" s="223">
        <f t="shared" si="212"/>
        <v>0</v>
      </c>
      <c r="AN137" s="223">
        <f t="shared" si="212"/>
        <v>0</v>
      </c>
      <c r="AO137" s="223">
        <f t="shared" si="212"/>
        <v>0</v>
      </c>
      <c r="AP137" s="223">
        <f t="shared" si="212"/>
        <v>0</v>
      </c>
      <c r="AQ137" s="223">
        <f t="shared" si="212"/>
        <v>0</v>
      </c>
      <c r="AR137" s="223">
        <f t="shared" si="190"/>
        <v>0</v>
      </c>
      <c r="AS137" s="231" t="e">
        <f t="shared" si="210"/>
        <v>#DIV/0!</v>
      </c>
      <c r="AT137" s="232">
        <f t="shared" si="198"/>
        <v>0</v>
      </c>
      <c r="AU137" s="231" t="e">
        <f>AT137/F137*100</f>
        <v>#DIV/0!</v>
      </c>
      <c r="AV137" s="220" t="s">
        <v>576</v>
      </c>
      <c r="AW137" s="220" t="s">
        <v>560</v>
      </c>
      <c r="AX137" s="220" t="s">
        <v>4812</v>
      </c>
      <c r="AY137" s="223">
        <f t="shared" si="212"/>
        <v>0</v>
      </c>
      <c r="AZ137" s="223">
        <f t="shared" si="212"/>
        <v>0</v>
      </c>
      <c r="BA137" s="223">
        <f t="shared" si="212"/>
        <v>0</v>
      </c>
      <c r="BB137" s="223">
        <f t="shared" si="212"/>
        <v>0</v>
      </c>
      <c r="BC137" s="223">
        <f t="shared" ref="BC137" si="214">SUM(BC138:BC140)</f>
        <v>0</v>
      </c>
      <c r="BD137" s="223">
        <f t="shared" ref="BD137:BE137" si="215">SUM(BD138:BD140)</f>
        <v>0</v>
      </c>
      <c r="BE137" s="223">
        <f t="shared" si="215"/>
        <v>0</v>
      </c>
      <c r="BF137" s="223">
        <f t="shared" ref="BF137" si="216">SUM(BF138:BF140)</f>
        <v>0</v>
      </c>
    </row>
    <row r="138" spans="2:58" x14ac:dyDescent="0.3">
      <c r="B138" s="288">
        <v>521111</v>
      </c>
      <c r="C138" s="220" t="s">
        <v>90</v>
      </c>
      <c r="D138" s="220"/>
      <c r="E138" s="220"/>
      <c r="F138" s="221">
        <v>0</v>
      </c>
      <c r="G138" s="221">
        <v>45000000</v>
      </c>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c r="AR138" s="221">
        <f t="shared" si="190"/>
        <v>0</v>
      </c>
      <c r="AS138" s="224" t="e">
        <f t="shared" si="210"/>
        <v>#DIV/0!</v>
      </c>
      <c r="AT138" s="225">
        <f t="shared" si="198"/>
        <v>0</v>
      </c>
      <c r="AU138" s="224" t="e">
        <f>AT138/F138*100</f>
        <v>#DIV/0!</v>
      </c>
      <c r="AV138" s="220" t="s">
        <v>576</v>
      </c>
      <c r="AW138" s="220" t="s">
        <v>560</v>
      </c>
      <c r="AX138" s="220" t="s">
        <v>4812</v>
      </c>
      <c r="AY138" s="221"/>
      <c r="AZ138" s="221"/>
      <c r="BA138" s="300"/>
      <c r="BB138" s="221"/>
      <c r="BC138" s="221"/>
      <c r="BD138" s="221"/>
      <c r="BE138" s="221"/>
      <c r="BF138" s="221"/>
    </row>
    <row r="139" spans="2:58" x14ac:dyDescent="0.3">
      <c r="B139" s="288">
        <v>521811</v>
      </c>
      <c r="C139" s="220" t="s">
        <v>64</v>
      </c>
      <c r="D139" s="220"/>
      <c r="E139" s="220"/>
      <c r="F139" s="221">
        <v>0</v>
      </c>
      <c r="G139" s="221">
        <v>26000000</v>
      </c>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c r="AR139" s="221">
        <f t="shared" ref="AR139:AR140" si="217">SUM(H139:AQ139)</f>
        <v>0</v>
      </c>
      <c r="AS139" s="224" t="e">
        <f t="shared" ref="AS139:AS142" si="218">AR139/F139/100</f>
        <v>#DIV/0!</v>
      </c>
      <c r="AT139" s="225">
        <f t="shared" ref="AT139:AT140" si="219">F139-AR139</f>
        <v>0</v>
      </c>
      <c r="AU139" s="224" t="e">
        <f t="shared" ref="AU139:AU140" si="220">AT139/F139*100</f>
        <v>#DIV/0!</v>
      </c>
      <c r="AV139" s="220" t="s">
        <v>576</v>
      </c>
      <c r="AW139" s="220" t="s">
        <v>560</v>
      </c>
      <c r="AX139" s="220" t="s">
        <v>4812</v>
      </c>
      <c r="AY139" s="221"/>
      <c r="AZ139" s="221"/>
      <c r="BA139" s="300"/>
      <c r="BB139" s="221"/>
      <c r="BC139" s="221"/>
      <c r="BD139" s="221"/>
      <c r="BE139" s="221"/>
      <c r="BF139" s="221"/>
    </row>
    <row r="140" spans="2:58" x14ac:dyDescent="0.3">
      <c r="B140" s="288">
        <v>523121</v>
      </c>
      <c r="C140" s="220" t="s">
        <v>99</v>
      </c>
      <c r="D140" s="220"/>
      <c r="E140" s="220"/>
      <c r="F140" s="221">
        <v>0</v>
      </c>
      <c r="G140" s="221">
        <v>29000000</v>
      </c>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c r="AR140" s="221">
        <f t="shared" si="217"/>
        <v>0</v>
      </c>
      <c r="AS140" s="224" t="e">
        <f t="shared" si="218"/>
        <v>#DIV/0!</v>
      </c>
      <c r="AT140" s="225">
        <f t="shared" si="219"/>
        <v>0</v>
      </c>
      <c r="AU140" s="224" t="e">
        <f t="shared" si="220"/>
        <v>#DIV/0!</v>
      </c>
      <c r="AV140" s="220" t="s">
        <v>576</v>
      </c>
      <c r="AW140" s="220" t="s">
        <v>560</v>
      </c>
      <c r="AX140" s="220" t="s">
        <v>4812</v>
      </c>
      <c r="AY140" s="221"/>
      <c r="AZ140" s="221"/>
      <c r="BA140" s="300"/>
      <c r="BB140" s="221"/>
      <c r="BC140" s="221"/>
      <c r="BD140" s="221"/>
      <c r="BE140" s="221"/>
      <c r="BF140" s="221"/>
    </row>
    <row r="141" spans="2:58" x14ac:dyDescent="0.3">
      <c r="B141" s="236" t="s">
        <v>2269</v>
      </c>
      <c r="C141" s="237" t="s">
        <v>2270</v>
      </c>
      <c r="D141" s="237">
        <v>2</v>
      </c>
      <c r="E141" s="237" t="s">
        <v>42</v>
      </c>
      <c r="F141" s="235">
        <f t="shared" ref="F141:V143" si="221">F142</f>
        <v>540000000</v>
      </c>
      <c r="G141" s="235">
        <f t="shared" si="221"/>
        <v>540934000</v>
      </c>
      <c r="H141" s="235">
        <f t="shared" si="221"/>
        <v>0</v>
      </c>
      <c r="I141" s="235">
        <f t="shared" si="221"/>
        <v>0</v>
      </c>
      <c r="J141" s="235">
        <f t="shared" si="221"/>
        <v>0</v>
      </c>
      <c r="K141" s="235">
        <f t="shared" si="221"/>
        <v>0</v>
      </c>
      <c r="L141" s="235">
        <f t="shared" si="221"/>
        <v>0</v>
      </c>
      <c r="M141" s="235">
        <f t="shared" si="221"/>
        <v>0</v>
      </c>
      <c r="N141" s="235">
        <f t="shared" si="221"/>
        <v>0</v>
      </c>
      <c r="O141" s="235">
        <f t="shared" si="221"/>
        <v>0</v>
      </c>
      <c r="P141" s="235">
        <f t="shared" si="221"/>
        <v>0</v>
      </c>
      <c r="Q141" s="235">
        <f t="shared" si="221"/>
        <v>0</v>
      </c>
      <c r="R141" s="235">
        <f t="shared" si="221"/>
        <v>0</v>
      </c>
      <c r="S141" s="235">
        <f t="shared" si="221"/>
        <v>0</v>
      </c>
      <c r="T141" s="235">
        <f t="shared" si="221"/>
        <v>540000000</v>
      </c>
      <c r="U141" s="235">
        <f t="shared" si="221"/>
        <v>0</v>
      </c>
      <c r="V141" s="235">
        <f t="shared" si="221"/>
        <v>0</v>
      </c>
      <c r="W141" s="235">
        <f t="shared" ref="W141:AZ141" si="222">W142</f>
        <v>0</v>
      </c>
      <c r="X141" s="235">
        <f t="shared" si="222"/>
        <v>0</v>
      </c>
      <c r="Y141" s="235">
        <f t="shared" si="222"/>
        <v>0</v>
      </c>
      <c r="Z141" s="235">
        <f t="shared" si="222"/>
        <v>0</v>
      </c>
      <c r="AA141" s="235">
        <f t="shared" si="222"/>
        <v>0</v>
      </c>
      <c r="AB141" s="235">
        <f t="shared" si="222"/>
        <v>0</v>
      </c>
      <c r="AC141" s="235">
        <f t="shared" si="222"/>
        <v>0</v>
      </c>
      <c r="AD141" s="235">
        <f t="shared" si="222"/>
        <v>0</v>
      </c>
      <c r="AE141" s="235">
        <f t="shared" si="222"/>
        <v>0</v>
      </c>
      <c r="AF141" s="235">
        <f t="shared" si="222"/>
        <v>0</v>
      </c>
      <c r="AG141" s="235">
        <f t="shared" si="222"/>
        <v>0</v>
      </c>
      <c r="AH141" s="235">
        <f t="shared" si="222"/>
        <v>0</v>
      </c>
      <c r="AI141" s="235">
        <f t="shared" si="222"/>
        <v>0</v>
      </c>
      <c r="AJ141" s="235">
        <f t="shared" si="222"/>
        <v>0</v>
      </c>
      <c r="AK141" s="235">
        <f t="shared" si="222"/>
        <v>0</v>
      </c>
      <c r="AL141" s="235">
        <f t="shared" si="222"/>
        <v>0</v>
      </c>
      <c r="AM141" s="235">
        <f t="shared" si="222"/>
        <v>0</v>
      </c>
      <c r="AN141" s="235">
        <f t="shared" si="222"/>
        <v>0</v>
      </c>
      <c r="AO141" s="235">
        <f t="shared" si="222"/>
        <v>0</v>
      </c>
      <c r="AP141" s="235">
        <f t="shared" si="222"/>
        <v>0</v>
      </c>
      <c r="AQ141" s="235">
        <f t="shared" si="222"/>
        <v>0</v>
      </c>
      <c r="AR141" s="235">
        <f t="shared" ref="AR141:AR150" si="223">SUM(H141:AQ141)</f>
        <v>540000000</v>
      </c>
      <c r="AS141" s="238">
        <f t="shared" si="218"/>
        <v>0.01</v>
      </c>
      <c r="AT141" s="239">
        <f>F141-AR141</f>
        <v>0</v>
      </c>
      <c r="AU141" s="238">
        <f>AT141/F141*100</f>
        <v>0</v>
      </c>
      <c r="AV141" s="220" t="s">
        <v>576</v>
      </c>
      <c r="AW141" s="220" t="s">
        <v>560</v>
      </c>
      <c r="AX141" s="220" t="s">
        <v>4811</v>
      </c>
      <c r="AY141" s="235">
        <f>AY142</f>
        <v>0</v>
      </c>
      <c r="AZ141" s="235">
        <f t="shared" si="222"/>
        <v>0</v>
      </c>
      <c r="BA141" s="235">
        <f t="shared" ref="AZ141:BF142" si="224">BA142</f>
        <v>0</v>
      </c>
      <c r="BB141" s="235">
        <f t="shared" si="224"/>
        <v>0</v>
      </c>
      <c r="BC141" s="235">
        <f t="shared" si="224"/>
        <v>0</v>
      </c>
      <c r="BD141" s="235">
        <f t="shared" si="224"/>
        <v>0</v>
      </c>
      <c r="BE141" s="235">
        <f t="shared" si="224"/>
        <v>0</v>
      </c>
      <c r="BF141" s="235">
        <f t="shared" si="224"/>
        <v>0</v>
      </c>
    </row>
    <row r="142" spans="2:58" x14ac:dyDescent="0.3">
      <c r="B142" s="226" t="s">
        <v>4253</v>
      </c>
      <c r="C142" s="227" t="s">
        <v>2273</v>
      </c>
      <c r="D142" s="227">
        <v>1</v>
      </c>
      <c r="E142" s="227" t="s">
        <v>42</v>
      </c>
      <c r="F142" s="228">
        <f t="shared" si="221"/>
        <v>540000000</v>
      </c>
      <c r="G142" s="228">
        <f t="shared" si="221"/>
        <v>540934000</v>
      </c>
      <c r="H142" s="228">
        <f t="shared" ref="H142:AQ143" si="225">H143</f>
        <v>0</v>
      </c>
      <c r="I142" s="228">
        <f t="shared" si="225"/>
        <v>0</v>
      </c>
      <c r="J142" s="228">
        <f t="shared" si="225"/>
        <v>0</v>
      </c>
      <c r="K142" s="228">
        <f t="shared" si="225"/>
        <v>0</v>
      </c>
      <c r="L142" s="228">
        <f t="shared" si="225"/>
        <v>0</v>
      </c>
      <c r="M142" s="228">
        <f t="shared" si="225"/>
        <v>0</v>
      </c>
      <c r="N142" s="228">
        <f t="shared" si="225"/>
        <v>0</v>
      </c>
      <c r="O142" s="228">
        <f t="shared" si="225"/>
        <v>0</v>
      </c>
      <c r="P142" s="228">
        <f t="shared" si="225"/>
        <v>0</v>
      </c>
      <c r="Q142" s="228">
        <f t="shared" si="225"/>
        <v>0</v>
      </c>
      <c r="R142" s="228">
        <f t="shared" si="225"/>
        <v>0</v>
      </c>
      <c r="S142" s="228">
        <f t="shared" si="225"/>
        <v>0</v>
      </c>
      <c r="T142" s="228">
        <f t="shared" si="225"/>
        <v>540000000</v>
      </c>
      <c r="U142" s="228">
        <f t="shared" si="225"/>
        <v>0</v>
      </c>
      <c r="V142" s="228">
        <f t="shared" si="225"/>
        <v>0</v>
      </c>
      <c r="W142" s="228">
        <f t="shared" si="225"/>
        <v>0</v>
      </c>
      <c r="X142" s="228">
        <f t="shared" si="225"/>
        <v>0</v>
      </c>
      <c r="Y142" s="228">
        <f t="shared" si="225"/>
        <v>0</v>
      </c>
      <c r="Z142" s="228">
        <f t="shared" si="225"/>
        <v>0</v>
      </c>
      <c r="AA142" s="228">
        <f t="shared" si="225"/>
        <v>0</v>
      </c>
      <c r="AB142" s="228">
        <f t="shared" si="225"/>
        <v>0</v>
      </c>
      <c r="AC142" s="228">
        <f t="shared" si="225"/>
        <v>0</v>
      </c>
      <c r="AD142" s="228">
        <f t="shared" si="225"/>
        <v>0</v>
      </c>
      <c r="AE142" s="228">
        <f t="shared" si="225"/>
        <v>0</v>
      </c>
      <c r="AF142" s="228">
        <f t="shared" si="225"/>
        <v>0</v>
      </c>
      <c r="AG142" s="228">
        <f t="shared" si="225"/>
        <v>0</v>
      </c>
      <c r="AH142" s="228">
        <f t="shared" si="225"/>
        <v>0</v>
      </c>
      <c r="AI142" s="228">
        <f t="shared" si="225"/>
        <v>0</v>
      </c>
      <c r="AJ142" s="228">
        <f t="shared" si="225"/>
        <v>0</v>
      </c>
      <c r="AK142" s="228">
        <f t="shared" si="225"/>
        <v>0</v>
      </c>
      <c r="AL142" s="228">
        <f t="shared" si="225"/>
        <v>0</v>
      </c>
      <c r="AM142" s="228">
        <f t="shared" si="225"/>
        <v>0</v>
      </c>
      <c r="AN142" s="228">
        <f t="shared" si="225"/>
        <v>0</v>
      </c>
      <c r="AO142" s="228">
        <f t="shared" si="225"/>
        <v>0</v>
      </c>
      <c r="AP142" s="228">
        <f t="shared" si="225"/>
        <v>0</v>
      </c>
      <c r="AQ142" s="228">
        <f t="shared" si="225"/>
        <v>0</v>
      </c>
      <c r="AR142" s="228">
        <f t="shared" si="223"/>
        <v>540000000</v>
      </c>
      <c r="AS142" s="229">
        <f t="shared" si="218"/>
        <v>0.01</v>
      </c>
      <c r="AT142" s="230">
        <f t="shared" ref="AT142" si="226">F142-AR142</f>
        <v>0</v>
      </c>
      <c r="AU142" s="229">
        <f t="shared" ref="AU142" si="227">AT142/F142*100</f>
        <v>0</v>
      </c>
      <c r="AV142" s="220" t="s">
        <v>576</v>
      </c>
      <c r="AW142" s="220" t="s">
        <v>560</v>
      </c>
      <c r="AX142" s="220" t="s">
        <v>4811</v>
      </c>
      <c r="AY142" s="228">
        <f>AY143</f>
        <v>0</v>
      </c>
      <c r="AZ142" s="228">
        <f t="shared" si="224"/>
        <v>0</v>
      </c>
      <c r="BA142" s="228">
        <f t="shared" si="224"/>
        <v>0</v>
      </c>
      <c r="BB142" s="228">
        <f t="shared" si="224"/>
        <v>0</v>
      </c>
      <c r="BC142" s="228">
        <f t="shared" si="224"/>
        <v>0</v>
      </c>
      <c r="BD142" s="228">
        <f t="shared" si="224"/>
        <v>0</v>
      </c>
      <c r="BE142" s="228">
        <f t="shared" si="224"/>
        <v>0</v>
      </c>
      <c r="BF142" s="228">
        <f t="shared" si="224"/>
        <v>0</v>
      </c>
    </row>
    <row r="143" spans="2:58" x14ac:dyDescent="0.3">
      <c r="B143" s="226">
        <v>301</v>
      </c>
      <c r="C143" s="227" t="s">
        <v>2290</v>
      </c>
      <c r="D143" s="227"/>
      <c r="E143" s="227"/>
      <c r="F143" s="228">
        <f t="shared" si="221"/>
        <v>540000000</v>
      </c>
      <c r="G143" s="228">
        <f t="shared" si="221"/>
        <v>540934000</v>
      </c>
      <c r="H143" s="228">
        <f t="shared" si="225"/>
        <v>0</v>
      </c>
      <c r="I143" s="228">
        <f t="shared" ref="I143:BF143" si="228">I144</f>
        <v>0</v>
      </c>
      <c r="J143" s="228">
        <f t="shared" si="228"/>
        <v>0</v>
      </c>
      <c r="K143" s="228">
        <f t="shared" si="228"/>
        <v>0</v>
      </c>
      <c r="L143" s="228">
        <f t="shared" si="228"/>
        <v>0</v>
      </c>
      <c r="M143" s="228">
        <f t="shared" si="228"/>
        <v>0</v>
      </c>
      <c r="N143" s="228">
        <f t="shared" si="228"/>
        <v>0</v>
      </c>
      <c r="O143" s="228">
        <f t="shared" si="228"/>
        <v>0</v>
      </c>
      <c r="P143" s="228">
        <f t="shared" si="228"/>
        <v>0</v>
      </c>
      <c r="Q143" s="228">
        <f t="shared" si="228"/>
        <v>0</v>
      </c>
      <c r="R143" s="228">
        <f t="shared" si="228"/>
        <v>0</v>
      </c>
      <c r="S143" s="228">
        <f t="shared" si="228"/>
        <v>0</v>
      </c>
      <c r="T143" s="228">
        <f t="shared" si="228"/>
        <v>540000000</v>
      </c>
      <c r="U143" s="228">
        <f t="shared" si="228"/>
        <v>0</v>
      </c>
      <c r="V143" s="228">
        <f t="shared" si="228"/>
        <v>0</v>
      </c>
      <c r="W143" s="228">
        <f t="shared" si="228"/>
        <v>0</v>
      </c>
      <c r="X143" s="228">
        <f t="shared" si="228"/>
        <v>0</v>
      </c>
      <c r="Y143" s="228">
        <f t="shared" si="228"/>
        <v>0</v>
      </c>
      <c r="Z143" s="228">
        <f t="shared" si="228"/>
        <v>0</v>
      </c>
      <c r="AA143" s="228">
        <f t="shared" si="228"/>
        <v>0</v>
      </c>
      <c r="AB143" s="228">
        <f t="shared" si="228"/>
        <v>0</v>
      </c>
      <c r="AC143" s="228">
        <f t="shared" si="228"/>
        <v>0</v>
      </c>
      <c r="AD143" s="228">
        <f t="shared" si="228"/>
        <v>0</v>
      </c>
      <c r="AE143" s="228">
        <f t="shared" si="228"/>
        <v>0</v>
      </c>
      <c r="AF143" s="228">
        <f t="shared" si="228"/>
        <v>0</v>
      </c>
      <c r="AG143" s="228">
        <f t="shared" si="228"/>
        <v>0</v>
      </c>
      <c r="AH143" s="228">
        <f t="shared" si="228"/>
        <v>0</v>
      </c>
      <c r="AI143" s="228">
        <f t="shared" si="228"/>
        <v>0</v>
      </c>
      <c r="AJ143" s="228">
        <f t="shared" si="228"/>
        <v>0</v>
      </c>
      <c r="AK143" s="228">
        <f t="shared" si="228"/>
        <v>0</v>
      </c>
      <c r="AL143" s="228">
        <f t="shared" si="228"/>
        <v>0</v>
      </c>
      <c r="AM143" s="228">
        <f t="shared" si="228"/>
        <v>0</v>
      </c>
      <c r="AN143" s="228">
        <f t="shared" si="228"/>
        <v>0</v>
      </c>
      <c r="AO143" s="228">
        <f t="shared" si="228"/>
        <v>0</v>
      </c>
      <c r="AP143" s="228">
        <f t="shared" si="228"/>
        <v>0</v>
      </c>
      <c r="AQ143" s="228">
        <f t="shared" si="228"/>
        <v>0</v>
      </c>
      <c r="AR143" s="228">
        <f t="shared" si="223"/>
        <v>540000000</v>
      </c>
      <c r="AS143" s="229">
        <f t="shared" ref="AS143:AS147" si="229">AR143/F143/100</f>
        <v>0.01</v>
      </c>
      <c r="AT143" s="230">
        <f t="shared" ref="AT143" si="230">F143-AR143</f>
        <v>0</v>
      </c>
      <c r="AU143" s="229">
        <f t="shared" ref="AU143" si="231">AT143/F143*100</f>
        <v>0</v>
      </c>
      <c r="AV143" s="220" t="s">
        <v>576</v>
      </c>
      <c r="AW143" s="220" t="s">
        <v>560</v>
      </c>
      <c r="AX143" s="220" t="s">
        <v>4811</v>
      </c>
      <c r="AY143" s="228">
        <f>AY144</f>
        <v>0</v>
      </c>
      <c r="AZ143" s="228">
        <f t="shared" si="228"/>
        <v>0</v>
      </c>
      <c r="BA143" s="228">
        <f t="shared" si="228"/>
        <v>0</v>
      </c>
      <c r="BB143" s="228">
        <f t="shared" si="228"/>
        <v>0</v>
      </c>
      <c r="BC143" s="228">
        <f t="shared" si="228"/>
        <v>0</v>
      </c>
      <c r="BD143" s="228">
        <f t="shared" si="228"/>
        <v>0</v>
      </c>
      <c r="BE143" s="228">
        <f t="shared" si="228"/>
        <v>0</v>
      </c>
      <c r="BF143" s="228">
        <f t="shared" si="228"/>
        <v>0</v>
      </c>
    </row>
    <row r="144" spans="2:58" x14ac:dyDescent="0.3">
      <c r="B144" s="290" t="s">
        <v>8</v>
      </c>
      <c r="C144" s="222" t="s">
        <v>2292</v>
      </c>
      <c r="D144" s="222"/>
      <c r="E144" s="222"/>
      <c r="F144" s="223">
        <f t="shared" ref="F144:AY144" si="232">SUM(F145)</f>
        <v>540000000</v>
      </c>
      <c r="G144" s="223">
        <f t="shared" si="232"/>
        <v>540934000</v>
      </c>
      <c r="H144" s="223">
        <f t="shared" si="232"/>
        <v>0</v>
      </c>
      <c r="I144" s="223">
        <f t="shared" si="232"/>
        <v>0</v>
      </c>
      <c r="J144" s="223">
        <f t="shared" si="232"/>
        <v>0</v>
      </c>
      <c r="K144" s="223">
        <f t="shared" si="232"/>
        <v>0</v>
      </c>
      <c r="L144" s="223">
        <f t="shared" si="232"/>
        <v>0</v>
      </c>
      <c r="M144" s="223">
        <f t="shared" si="232"/>
        <v>0</v>
      </c>
      <c r="N144" s="223">
        <f t="shared" si="232"/>
        <v>0</v>
      </c>
      <c r="O144" s="223">
        <f t="shared" si="232"/>
        <v>0</v>
      </c>
      <c r="P144" s="223">
        <f t="shared" si="232"/>
        <v>0</v>
      </c>
      <c r="Q144" s="223">
        <f t="shared" si="232"/>
        <v>0</v>
      </c>
      <c r="R144" s="223">
        <f t="shared" si="232"/>
        <v>0</v>
      </c>
      <c r="S144" s="223">
        <f t="shared" si="232"/>
        <v>0</v>
      </c>
      <c r="T144" s="223">
        <f t="shared" si="232"/>
        <v>540000000</v>
      </c>
      <c r="U144" s="223">
        <f t="shared" si="232"/>
        <v>0</v>
      </c>
      <c r="V144" s="223">
        <f t="shared" si="232"/>
        <v>0</v>
      </c>
      <c r="W144" s="223">
        <f t="shared" si="232"/>
        <v>0</v>
      </c>
      <c r="X144" s="223">
        <f t="shared" si="232"/>
        <v>0</v>
      </c>
      <c r="Y144" s="223">
        <f t="shared" si="232"/>
        <v>0</v>
      </c>
      <c r="Z144" s="223">
        <f t="shared" si="232"/>
        <v>0</v>
      </c>
      <c r="AA144" s="223">
        <f t="shared" si="232"/>
        <v>0</v>
      </c>
      <c r="AB144" s="223">
        <f t="shared" si="232"/>
        <v>0</v>
      </c>
      <c r="AC144" s="223">
        <f t="shared" si="232"/>
        <v>0</v>
      </c>
      <c r="AD144" s="223">
        <f t="shared" si="232"/>
        <v>0</v>
      </c>
      <c r="AE144" s="223">
        <f t="shared" si="232"/>
        <v>0</v>
      </c>
      <c r="AF144" s="223">
        <f t="shared" si="232"/>
        <v>0</v>
      </c>
      <c r="AG144" s="223">
        <f t="shared" si="232"/>
        <v>0</v>
      </c>
      <c r="AH144" s="223">
        <f t="shared" si="232"/>
        <v>0</v>
      </c>
      <c r="AI144" s="223">
        <f t="shared" si="232"/>
        <v>0</v>
      </c>
      <c r="AJ144" s="223">
        <f t="shared" si="232"/>
        <v>0</v>
      </c>
      <c r="AK144" s="223">
        <f t="shared" si="232"/>
        <v>0</v>
      </c>
      <c r="AL144" s="223">
        <f t="shared" si="232"/>
        <v>0</v>
      </c>
      <c r="AM144" s="223">
        <f t="shared" si="232"/>
        <v>0</v>
      </c>
      <c r="AN144" s="223">
        <f t="shared" si="232"/>
        <v>0</v>
      </c>
      <c r="AO144" s="223">
        <f t="shared" si="232"/>
        <v>0</v>
      </c>
      <c r="AP144" s="223">
        <f t="shared" si="232"/>
        <v>0</v>
      </c>
      <c r="AQ144" s="223">
        <f t="shared" si="232"/>
        <v>0</v>
      </c>
      <c r="AR144" s="223">
        <f>SUM(H144:AQ144)</f>
        <v>540000000</v>
      </c>
      <c r="AS144" s="231">
        <f t="shared" si="229"/>
        <v>0.01</v>
      </c>
      <c r="AT144" s="232">
        <f>F144-AR144</f>
        <v>0</v>
      </c>
      <c r="AU144" s="231">
        <f>AT144/F144*100</f>
        <v>0</v>
      </c>
      <c r="AV144" s="220" t="s">
        <v>576</v>
      </c>
      <c r="AW144" s="220" t="s">
        <v>560</v>
      </c>
      <c r="AX144" s="220" t="s">
        <v>4811</v>
      </c>
      <c r="AY144" s="223">
        <f t="shared" si="232"/>
        <v>0</v>
      </c>
      <c r="AZ144" s="223">
        <f>SUM(AZ145)</f>
        <v>0</v>
      </c>
      <c r="BA144" s="223">
        <f>SUM(BA145)</f>
        <v>0</v>
      </c>
      <c r="BB144" s="223">
        <f t="shared" ref="BB144:BF144" si="233">SUM(BB145)</f>
        <v>0</v>
      </c>
      <c r="BC144" s="223">
        <f t="shared" si="233"/>
        <v>0</v>
      </c>
      <c r="BD144" s="223">
        <f t="shared" si="233"/>
        <v>0</v>
      </c>
      <c r="BE144" s="223">
        <f t="shared" si="233"/>
        <v>0</v>
      </c>
      <c r="BF144" s="223">
        <f t="shared" si="233"/>
        <v>0</v>
      </c>
    </row>
    <row r="145" spans="2:58" x14ac:dyDescent="0.3">
      <c r="B145" s="288">
        <v>532111</v>
      </c>
      <c r="C145" s="220" t="s">
        <v>43</v>
      </c>
      <c r="D145" s="220"/>
      <c r="E145" s="220"/>
      <c r="F145" s="221">
        <v>540000000</v>
      </c>
      <c r="G145" s="221">
        <v>540934000</v>
      </c>
      <c r="H145" s="221"/>
      <c r="I145" s="221"/>
      <c r="J145" s="221"/>
      <c r="K145" s="221"/>
      <c r="L145" s="221"/>
      <c r="M145" s="221"/>
      <c r="N145" s="221"/>
      <c r="O145" s="221"/>
      <c r="P145" s="221"/>
      <c r="Q145" s="221"/>
      <c r="R145" s="221"/>
      <c r="S145" s="221"/>
      <c r="T145" s="221">
        <v>540000000</v>
      </c>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c r="AR145" s="221">
        <f t="shared" si="223"/>
        <v>540000000</v>
      </c>
      <c r="AS145" s="224">
        <f t="shared" si="229"/>
        <v>0.01</v>
      </c>
      <c r="AT145" s="225">
        <f>F145-AR145</f>
        <v>0</v>
      </c>
      <c r="AU145" s="224">
        <f>AT145/F145*100</f>
        <v>0</v>
      </c>
      <c r="AV145" s="220" t="s">
        <v>576</v>
      </c>
      <c r="AW145" s="220" t="s">
        <v>560</v>
      </c>
      <c r="AX145" s="220" t="s">
        <v>4811</v>
      </c>
      <c r="AY145" s="221"/>
      <c r="AZ145" s="221"/>
      <c r="BA145" s="221"/>
      <c r="BB145" s="221"/>
      <c r="BC145" s="221"/>
      <c r="BD145" s="221"/>
      <c r="BE145" s="221"/>
      <c r="BF145" s="221"/>
    </row>
    <row r="146" spans="2:58" x14ac:dyDescent="0.3">
      <c r="B146" s="236" t="s">
        <v>2466</v>
      </c>
      <c r="C146" s="237" t="s">
        <v>2467</v>
      </c>
      <c r="D146" s="237">
        <v>5</v>
      </c>
      <c r="E146" s="237" t="s">
        <v>4315</v>
      </c>
      <c r="F146" s="235">
        <f>F147+F165+F182</f>
        <v>548290000</v>
      </c>
      <c r="G146" s="235">
        <f>G147+G165+G182</f>
        <v>1538790000</v>
      </c>
      <c r="H146" s="235">
        <f t="shared" ref="H146" si="234">H147+H165+H182</f>
        <v>0</v>
      </c>
      <c r="I146" s="235">
        <f t="shared" ref="I146:AY146" si="235">I147+I165+I182</f>
        <v>0</v>
      </c>
      <c r="J146" s="235">
        <f t="shared" si="235"/>
        <v>0</v>
      </c>
      <c r="K146" s="235">
        <f t="shared" si="235"/>
        <v>10597800</v>
      </c>
      <c r="L146" s="235">
        <f t="shared" si="235"/>
        <v>0</v>
      </c>
      <c r="M146" s="235">
        <f t="shared" si="235"/>
        <v>0</v>
      </c>
      <c r="N146" s="235">
        <f t="shared" si="235"/>
        <v>0</v>
      </c>
      <c r="O146" s="235">
        <f t="shared" si="235"/>
        <v>30344500</v>
      </c>
      <c r="P146" s="235">
        <f t="shared" si="235"/>
        <v>93601693</v>
      </c>
      <c r="Q146" s="235">
        <f t="shared" si="235"/>
        <v>22589500</v>
      </c>
      <c r="R146" s="235">
        <f t="shared" si="235"/>
        <v>19929200</v>
      </c>
      <c r="S146" s="235">
        <f t="shared" si="235"/>
        <v>0</v>
      </c>
      <c r="T146" s="235">
        <f t="shared" si="235"/>
        <v>9172500</v>
      </c>
      <c r="U146" s="235">
        <f t="shared" si="235"/>
        <v>20182883</v>
      </c>
      <c r="V146" s="235">
        <f t="shared" si="235"/>
        <v>82150655</v>
      </c>
      <c r="W146" s="235">
        <f t="shared" si="235"/>
        <v>51085531</v>
      </c>
      <c r="X146" s="235">
        <f t="shared" si="235"/>
        <v>0</v>
      </c>
      <c r="Y146" s="235">
        <f t="shared" si="235"/>
        <v>4670000</v>
      </c>
      <c r="Z146" s="235">
        <f t="shared" si="235"/>
        <v>0</v>
      </c>
      <c r="AA146" s="235">
        <f t="shared" si="235"/>
        <v>0</v>
      </c>
      <c r="AB146" s="235">
        <f t="shared" si="235"/>
        <v>0</v>
      </c>
      <c r="AC146" s="235">
        <f t="shared" si="235"/>
        <v>0</v>
      </c>
      <c r="AD146" s="235">
        <f t="shared" si="235"/>
        <v>0</v>
      </c>
      <c r="AE146" s="235">
        <f t="shared" si="235"/>
        <v>0</v>
      </c>
      <c r="AF146" s="235">
        <f t="shared" si="235"/>
        <v>0</v>
      </c>
      <c r="AG146" s="235">
        <f t="shared" si="235"/>
        <v>0</v>
      </c>
      <c r="AH146" s="235">
        <f t="shared" si="235"/>
        <v>0</v>
      </c>
      <c r="AI146" s="235">
        <f t="shared" si="235"/>
        <v>0</v>
      </c>
      <c r="AJ146" s="235">
        <f t="shared" si="235"/>
        <v>0</v>
      </c>
      <c r="AK146" s="235">
        <f t="shared" si="235"/>
        <v>0</v>
      </c>
      <c r="AL146" s="235">
        <f t="shared" si="235"/>
        <v>0</v>
      </c>
      <c r="AM146" s="235">
        <f t="shared" si="235"/>
        <v>0</v>
      </c>
      <c r="AN146" s="235">
        <f t="shared" si="235"/>
        <v>0</v>
      </c>
      <c r="AO146" s="235">
        <f t="shared" si="235"/>
        <v>0</v>
      </c>
      <c r="AP146" s="235">
        <f t="shared" si="235"/>
        <v>0</v>
      </c>
      <c r="AQ146" s="235">
        <f t="shared" si="235"/>
        <v>0</v>
      </c>
      <c r="AR146" s="235">
        <f t="shared" si="223"/>
        <v>344324262</v>
      </c>
      <c r="AS146" s="238">
        <f t="shared" si="229"/>
        <v>6.2799661128235063E-3</v>
      </c>
      <c r="AT146" s="239">
        <f>F146-AR146</f>
        <v>203965738</v>
      </c>
      <c r="AU146" s="238">
        <f>AT146/F146*100</f>
        <v>37.200338871764941</v>
      </c>
      <c r="AV146" s="220"/>
      <c r="AW146" s="220"/>
      <c r="AX146" s="220" t="s">
        <v>4729</v>
      </c>
      <c r="AY146" s="235">
        <f t="shared" si="235"/>
        <v>0</v>
      </c>
      <c r="AZ146" s="235">
        <f t="shared" ref="AZ146:BA146" si="236">AZ147+AZ165+AZ182</f>
        <v>93601693</v>
      </c>
      <c r="BA146" s="235">
        <f t="shared" si="236"/>
        <v>30344500</v>
      </c>
      <c r="BB146" s="235">
        <f t="shared" ref="BB146" si="237">BB147+BB165+BB182</f>
        <v>19929200</v>
      </c>
      <c r="BC146" s="235">
        <f t="shared" ref="BC146" si="238">BC147+BC165+BC182</f>
        <v>10000000</v>
      </c>
      <c r="BD146" s="235">
        <f t="shared" ref="BD146:BE146" si="239">BD147+BD165+BD182</f>
        <v>10182883</v>
      </c>
      <c r="BE146" s="235">
        <f t="shared" si="239"/>
        <v>82150655</v>
      </c>
      <c r="BF146" s="235">
        <f t="shared" ref="BF146" si="240">BF147+BF165+BF182</f>
        <v>4670000</v>
      </c>
    </row>
    <row r="147" spans="2:58" x14ac:dyDescent="0.3">
      <c r="B147" s="226" t="s">
        <v>4316</v>
      </c>
      <c r="C147" s="227" t="s">
        <v>2470</v>
      </c>
      <c r="D147" s="227">
        <v>1</v>
      </c>
      <c r="E147" s="227" t="s">
        <v>4315</v>
      </c>
      <c r="F147" s="228">
        <f>F148</f>
        <v>180572000</v>
      </c>
      <c r="G147" s="228">
        <f>G148</f>
        <v>615138000</v>
      </c>
      <c r="H147" s="228">
        <f t="shared" ref="H147:BF147" si="241">H148</f>
        <v>0</v>
      </c>
      <c r="I147" s="228">
        <f t="shared" si="241"/>
        <v>0</v>
      </c>
      <c r="J147" s="228">
        <f t="shared" si="241"/>
        <v>0</v>
      </c>
      <c r="K147" s="228">
        <f t="shared" si="241"/>
        <v>10597800</v>
      </c>
      <c r="L147" s="228">
        <f t="shared" si="241"/>
        <v>0</v>
      </c>
      <c r="M147" s="228">
        <f t="shared" si="241"/>
        <v>0</v>
      </c>
      <c r="N147" s="228">
        <f t="shared" si="241"/>
        <v>0</v>
      </c>
      <c r="O147" s="228">
        <f t="shared" si="241"/>
        <v>7845000</v>
      </c>
      <c r="P147" s="228">
        <f t="shared" si="241"/>
        <v>37430665</v>
      </c>
      <c r="Q147" s="228">
        <f t="shared" si="241"/>
        <v>6535000</v>
      </c>
      <c r="R147" s="228">
        <f t="shared" si="241"/>
        <v>0</v>
      </c>
      <c r="S147" s="228">
        <f t="shared" si="241"/>
        <v>0</v>
      </c>
      <c r="T147" s="228">
        <f t="shared" si="241"/>
        <v>9172500</v>
      </c>
      <c r="U147" s="228">
        <f t="shared" si="241"/>
        <v>0</v>
      </c>
      <c r="V147" s="228">
        <f t="shared" si="241"/>
        <v>19898480</v>
      </c>
      <c r="W147" s="228">
        <f t="shared" si="241"/>
        <v>10500000</v>
      </c>
      <c r="X147" s="228">
        <f t="shared" si="241"/>
        <v>0</v>
      </c>
      <c r="Y147" s="228">
        <f t="shared" si="241"/>
        <v>0</v>
      </c>
      <c r="Z147" s="228">
        <f t="shared" si="241"/>
        <v>0</v>
      </c>
      <c r="AA147" s="228">
        <f t="shared" si="241"/>
        <v>0</v>
      </c>
      <c r="AB147" s="228">
        <f t="shared" si="241"/>
        <v>0</v>
      </c>
      <c r="AC147" s="228">
        <f t="shared" si="241"/>
        <v>0</v>
      </c>
      <c r="AD147" s="228">
        <f t="shared" si="241"/>
        <v>0</v>
      </c>
      <c r="AE147" s="228">
        <f t="shared" si="241"/>
        <v>0</v>
      </c>
      <c r="AF147" s="228">
        <f t="shared" si="241"/>
        <v>0</v>
      </c>
      <c r="AG147" s="228">
        <f t="shared" si="241"/>
        <v>0</v>
      </c>
      <c r="AH147" s="228">
        <f t="shared" si="241"/>
        <v>0</v>
      </c>
      <c r="AI147" s="228">
        <f t="shared" si="241"/>
        <v>0</v>
      </c>
      <c r="AJ147" s="228">
        <f t="shared" si="241"/>
        <v>0</v>
      </c>
      <c r="AK147" s="228">
        <f t="shared" si="241"/>
        <v>0</v>
      </c>
      <c r="AL147" s="228">
        <f t="shared" si="241"/>
        <v>0</v>
      </c>
      <c r="AM147" s="228">
        <f t="shared" si="241"/>
        <v>0</v>
      </c>
      <c r="AN147" s="228">
        <f t="shared" si="241"/>
        <v>0</v>
      </c>
      <c r="AO147" s="228">
        <f t="shared" si="241"/>
        <v>0</v>
      </c>
      <c r="AP147" s="228">
        <f t="shared" si="241"/>
        <v>0</v>
      </c>
      <c r="AQ147" s="228">
        <f t="shared" si="241"/>
        <v>0</v>
      </c>
      <c r="AR147" s="228">
        <f t="shared" si="223"/>
        <v>101979445</v>
      </c>
      <c r="AS147" s="229">
        <f t="shared" si="229"/>
        <v>5.6475779744367891E-3</v>
      </c>
      <c r="AT147" s="230">
        <f t="shared" ref="AT147:AT148" si="242">F147-AR147</f>
        <v>78592555</v>
      </c>
      <c r="AU147" s="229">
        <f t="shared" ref="AU147:AU148" si="243">AT147/F147*100</f>
        <v>43.524220255632102</v>
      </c>
      <c r="AV147" s="220" t="s">
        <v>542</v>
      </c>
      <c r="AW147" s="220" t="s">
        <v>543</v>
      </c>
      <c r="AX147" s="220" t="s">
        <v>4729</v>
      </c>
      <c r="AY147" s="228">
        <f t="shared" si="241"/>
        <v>0</v>
      </c>
      <c r="AZ147" s="228">
        <f t="shared" si="241"/>
        <v>37430665</v>
      </c>
      <c r="BA147" s="228">
        <f t="shared" si="241"/>
        <v>7845000</v>
      </c>
      <c r="BB147" s="228">
        <f t="shared" si="241"/>
        <v>0</v>
      </c>
      <c r="BC147" s="228">
        <f t="shared" si="241"/>
        <v>0</v>
      </c>
      <c r="BD147" s="228">
        <f t="shared" si="241"/>
        <v>0</v>
      </c>
      <c r="BE147" s="228">
        <f t="shared" si="241"/>
        <v>19898480</v>
      </c>
      <c r="BF147" s="228">
        <f t="shared" si="241"/>
        <v>0</v>
      </c>
    </row>
    <row r="148" spans="2:58" x14ac:dyDescent="0.3">
      <c r="B148" s="226">
        <v>301</v>
      </c>
      <c r="C148" s="227" t="s">
        <v>2740</v>
      </c>
      <c r="D148" s="227"/>
      <c r="E148" s="227"/>
      <c r="F148" s="228">
        <f>F149+F154+F160</f>
        <v>180572000</v>
      </c>
      <c r="G148" s="228">
        <f>G149+G154+G160</f>
        <v>615138000</v>
      </c>
      <c r="H148" s="228">
        <f t="shared" ref="H148" si="244">H149+H154+H160</f>
        <v>0</v>
      </c>
      <c r="I148" s="228">
        <f t="shared" ref="I148:AY148" si="245">I149+I154+I160</f>
        <v>0</v>
      </c>
      <c r="J148" s="228">
        <f t="shared" si="245"/>
        <v>0</v>
      </c>
      <c r="K148" s="228">
        <f t="shared" si="245"/>
        <v>10597800</v>
      </c>
      <c r="L148" s="228">
        <f t="shared" si="245"/>
        <v>0</v>
      </c>
      <c r="M148" s="228">
        <f t="shared" si="245"/>
        <v>0</v>
      </c>
      <c r="N148" s="228">
        <f t="shared" si="245"/>
        <v>0</v>
      </c>
      <c r="O148" s="228">
        <f t="shared" si="245"/>
        <v>7845000</v>
      </c>
      <c r="P148" s="228">
        <f t="shared" si="245"/>
        <v>37430665</v>
      </c>
      <c r="Q148" s="228">
        <f t="shared" si="245"/>
        <v>6535000</v>
      </c>
      <c r="R148" s="228">
        <f t="shared" si="245"/>
        <v>0</v>
      </c>
      <c r="S148" s="228">
        <f t="shared" si="245"/>
        <v>0</v>
      </c>
      <c r="T148" s="228">
        <f t="shared" si="245"/>
        <v>9172500</v>
      </c>
      <c r="U148" s="228">
        <f t="shared" si="245"/>
        <v>0</v>
      </c>
      <c r="V148" s="228">
        <f t="shared" si="245"/>
        <v>19898480</v>
      </c>
      <c r="W148" s="228">
        <f t="shared" si="245"/>
        <v>10500000</v>
      </c>
      <c r="X148" s="228">
        <f t="shared" si="245"/>
        <v>0</v>
      </c>
      <c r="Y148" s="228">
        <f t="shared" si="245"/>
        <v>0</v>
      </c>
      <c r="Z148" s="228">
        <f t="shared" si="245"/>
        <v>0</v>
      </c>
      <c r="AA148" s="228">
        <f t="shared" si="245"/>
        <v>0</v>
      </c>
      <c r="AB148" s="228">
        <f t="shared" si="245"/>
        <v>0</v>
      </c>
      <c r="AC148" s="228">
        <f t="shared" si="245"/>
        <v>0</v>
      </c>
      <c r="AD148" s="228">
        <f t="shared" si="245"/>
        <v>0</v>
      </c>
      <c r="AE148" s="228">
        <f t="shared" si="245"/>
        <v>0</v>
      </c>
      <c r="AF148" s="228">
        <f t="shared" si="245"/>
        <v>0</v>
      </c>
      <c r="AG148" s="228">
        <f t="shared" si="245"/>
        <v>0</v>
      </c>
      <c r="AH148" s="228">
        <f t="shared" si="245"/>
        <v>0</v>
      </c>
      <c r="AI148" s="228">
        <f t="shared" si="245"/>
        <v>0</v>
      </c>
      <c r="AJ148" s="228">
        <f t="shared" si="245"/>
        <v>0</v>
      </c>
      <c r="AK148" s="228">
        <f t="shared" si="245"/>
        <v>0</v>
      </c>
      <c r="AL148" s="228">
        <f t="shared" si="245"/>
        <v>0</v>
      </c>
      <c r="AM148" s="228">
        <f t="shared" si="245"/>
        <v>0</v>
      </c>
      <c r="AN148" s="228">
        <f t="shared" si="245"/>
        <v>0</v>
      </c>
      <c r="AO148" s="228">
        <f t="shared" si="245"/>
        <v>0</v>
      </c>
      <c r="AP148" s="228">
        <f t="shared" si="245"/>
        <v>0</v>
      </c>
      <c r="AQ148" s="228">
        <f t="shared" si="245"/>
        <v>0</v>
      </c>
      <c r="AR148" s="228">
        <f t="shared" si="223"/>
        <v>101979445</v>
      </c>
      <c r="AS148" s="229">
        <f t="shared" ref="AS148:AS149" si="246">AR148/F148/100</f>
        <v>5.6475779744367891E-3</v>
      </c>
      <c r="AT148" s="230">
        <f t="shared" si="242"/>
        <v>78592555</v>
      </c>
      <c r="AU148" s="229">
        <f t="shared" si="243"/>
        <v>43.524220255632102</v>
      </c>
      <c r="AV148" s="220" t="s">
        <v>542</v>
      </c>
      <c r="AW148" s="220" t="s">
        <v>543</v>
      </c>
      <c r="AX148" s="220" t="s">
        <v>4729</v>
      </c>
      <c r="AY148" s="228">
        <f t="shared" si="245"/>
        <v>0</v>
      </c>
      <c r="AZ148" s="228">
        <f t="shared" ref="AZ148:BA148" si="247">AZ149+AZ154+AZ160</f>
        <v>37430665</v>
      </c>
      <c r="BA148" s="228">
        <f t="shared" si="247"/>
        <v>7845000</v>
      </c>
      <c r="BB148" s="228">
        <f t="shared" ref="BB148" si="248">BB149+BB154+BB160</f>
        <v>0</v>
      </c>
      <c r="BC148" s="228">
        <f t="shared" ref="BC148" si="249">BC149+BC154+BC160</f>
        <v>0</v>
      </c>
      <c r="BD148" s="228">
        <f t="shared" ref="BD148:BE148" si="250">BD149+BD154+BD160</f>
        <v>0</v>
      </c>
      <c r="BE148" s="228">
        <f t="shared" si="250"/>
        <v>19898480</v>
      </c>
      <c r="BF148" s="228">
        <f t="shared" ref="BF148" si="251">BF149+BF154+BF160</f>
        <v>0</v>
      </c>
    </row>
    <row r="149" spans="2:58" x14ac:dyDescent="0.3">
      <c r="B149" s="290" t="s">
        <v>8</v>
      </c>
      <c r="C149" s="222" t="s">
        <v>129</v>
      </c>
      <c r="D149" s="222"/>
      <c r="E149" s="222"/>
      <c r="F149" s="223">
        <f>SUM(F150:F153)</f>
        <v>22164000</v>
      </c>
      <c r="G149" s="223">
        <f>SUM(G150:G153)</f>
        <v>101050000</v>
      </c>
      <c r="H149" s="223">
        <f t="shared" ref="H149" si="252">SUM(H150:H153)</f>
        <v>0</v>
      </c>
      <c r="I149" s="223">
        <f t="shared" ref="I149:AY149" si="253">SUM(I150:I153)</f>
        <v>0</v>
      </c>
      <c r="J149" s="223">
        <f t="shared" si="253"/>
        <v>0</v>
      </c>
      <c r="K149" s="223">
        <f t="shared" si="253"/>
        <v>1010000</v>
      </c>
      <c r="L149" s="223">
        <f t="shared" si="253"/>
        <v>0</v>
      </c>
      <c r="M149" s="223">
        <f t="shared" si="253"/>
        <v>0</v>
      </c>
      <c r="N149" s="223">
        <f t="shared" si="253"/>
        <v>0</v>
      </c>
      <c r="O149" s="223">
        <f t="shared" si="253"/>
        <v>2805000</v>
      </c>
      <c r="P149" s="223">
        <f t="shared" si="253"/>
        <v>4303915</v>
      </c>
      <c r="Q149" s="223">
        <f t="shared" si="253"/>
        <v>0</v>
      </c>
      <c r="R149" s="223">
        <f t="shared" si="253"/>
        <v>0</v>
      </c>
      <c r="S149" s="223">
        <f t="shared" si="253"/>
        <v>0</v>
      </c>
      <c r="T149" s="223">
        <f t="shared" si="253"/>
        <v>1348500</v>
      </c>
      <c r="U149" s="223">
        <f t="shared" si="253"/>
        <v>0</v>
      </c>
      <c r="V149" s="223">
        <f t="shared" si="253"/>
        <v>4238980</v>
      </c>
      <c r="W149" s="223">
        <f t="shared" si="253"/>
        <v>0</v>
      </c>
      <c r="X149" s="223">
        <f t="shared" si="253"/>
        <v>0</v>
      </c>
      <c r="Y149" s="223">
        <f t="shared" si="253"/>
        <v>0</v>
      </c>
      <c r="Z149" s="223">
        <f t="shared" si="253"/>
        <v>0</v>
      </c>
      <c r="AA149" s="223">
        <f t="shared" si="253"/>
        <v>0</v>
      </c>
      <c r="AB149" s="223">
        <f t="shared" si="253"/>
        <v>0</v>
      </c>
      <c r="AC149" s="223">
        <f t="shared" si="253"/>
        <v>0</v>
      </c>
      <c r="AD149" s="223">
        <f t="shared" si="253"/>
        <v>0</v>
      </c>
      <c r="AE149" s="223">
        <f t="shared" si="253"/>
        <v>0</v>
      </c>
      <c r="AF149" s="223">
        <f t="shared" si="253"/>
        <v>0</v>
      </c>
      <c r="AG149" s="223">
        <f t="shared" si="253"/>
        <v>0</v>
      </c>
      <c r="AH149" s="223">
        <f t="shared" si="253"/>
        <v>0</v>
      </c>
      <c r="AI149" s="223">
        <f t="shared" si="253"/>
        <v>0</v>
      </c>
      <c r="AJ149" s="223">
        <f t="shared" si="253"/>
        <v>0</v>
      </c>
      <c r="AK149" s="223">
        <f t="shared" si="253"/>
        <v>0</v>
      </c>
      <c r="AL149" s="223">
        <f t="shared" si="253"/>
        <v>0</v>
      </c>
      <c r="AM149" s="223">
        <f t="shared" si="253"/>
        <v>0</v>
      </c>
      <c r="AN149" s="223">
        <f t="shared" si="253"/>
        <v>0</v>
      </c>
      <c r="AO149" s="223">
        <f t="shared" si="253"/>
        <v>0</v>
      </c>
      <c r="AP149" s="223">
        <f t="shared" si="253"/>
        <v>0</v>
      </c>
      <c r="AQ149" s="223">
        <f t="shared" si="253"/>
        <v>0</v>
      </c>
      <c r="AR149" s="223">
        <f t="shared" si="223"/>
        <v>13706395</v>
      </c>
      <c r="AS149" s="231">
        <f t="shared" si="246"/>
        <v>6.1840800397040237E-3</v>
      </c>
      <c r="AT149" s="232">
        <f>F149-AR149</f>
        <v>8457605</v>
      </c>
      <c r="AU149" s="231">
        <f>AT149/F149*100</f>
        <v>38.159199602959752</v>
      </c>
      <c r="AV149" s="220" t="s">
        <v>542</v>
      </c>
      <c r="AW149" s="220" t="s">
        <v>543</v>
      </c>
      <c r="AX149" s="220" t="s">
        <v>4729</v>
      </c>
      <c r="AY149" s="223">
        <f t="shared" si="253"/>
        <v>0</v>
      </c>
      <c r="AZ149" s="223">
        <f t="shared" ref="AZ149:BA149" si="254">SUM(AZ150:AZ153)</f>
        <v>4303915</v>
      </c>
      <c r="BA149" s="223">
        <f t="shared" si="254"/>
        <v>2805000</v>
      </c>
      <c r="BB149" s="223">
        <f t="shared" ref="BB149" si="255">SUM(BB150:BB153)</f>
        <v>0</v>
      </c>
      <c r="BC149" s="223">
        <f t="shared" ref="BC149" si="256">SUM(BC150:BC153)</f>
        <v>0</v>
      </c>
      <c r="BD149" s="223">
        <f t="shared" ref="BD149:BE149" si="257">SUM(BD150:BD153)</f>
        <v>0</v>
      </c>
      <c r="BE149" s="223">
        <f t="shared" si="257"/>
        <v>4238980</v>
      </c>
      <c r="BF149" s="223">
        <f t="shared" ref="BF149" si="258">SUM(BF150:BF153)</f>
        <v>0</v>
      </c>
    </row>
    <row r="150" spans="2:58" x14ac:dyDescent="0.3">
      <c r="B150" s="288">
        <v>521211</v>
      </c>
      <c r="C150" s="220" t="s">
        <v>7</v>
      </c>
      <c r="D150" s="220"/>
      <c r="E150" s="220"/>
      <c r="F150" s="221">
        <v>6000000</v>
      </c>
      <c r="G150" s="221">
        <v>22650000</v>
      </c>
      <c r="H150" s="221"/>
      <c r="I150" s="221"/>
      <c r="J150" s="221"/>
      <c r="K150" s="221"/>
      <c r="L150" s="221"/>
      <c r="M150" s="221"/>
      <c r="N150" s="221"/>
      <c r="O150" s="221"/>
      <c r="P150" s="221">
        <v>1498000</v>
      </c>
      <c r="Q150" s="221"/>
      <c r="R150" s="221"/>
      <c r="S150" s="221"/>
      <c r="T150" s="221"/>
      <c r="U150" s="221"/>
      <c r="V150" s="300">
        <v>1493000</v>
      </c>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c r="AR150" s="221">
        <f t="shared" si="223"/>
        <v>2991000</v>
      </c>
      <c r="AS150" s="224">
        <f t="shared" ref="AS150" si="259">AR150/F150/100</f>
        <v>4.9849999999999998E-3</v>
      </c>
      <c r="AT150" s="225">
        <f>F150-AR150</f>
        <v>3009000</v>
      </c>
      <c r="AU150" s="224">
        <f>AT150/F150*100</f>
        <v>50.149999999999991</v>
      </c>
      <c r="AV150" s="220" t="s">
        <v>542</v>
      </c>
      <c r="AW150" s="220" t="s">
        <v>543</v>
      </c>
      <c r="AX150" s="220" t="s">
        <v>4729</v>
      </c>
      <c r="AY150" s="221"/>
      <c r="AZ150" s="221">
        <v>1498000</v>
      </c>
      <c r="BA150" s="300"/>
      <c r="BB150" s="300"/>
      <c r="BC150" s="300"/>
      <c r="BD150" s="300"/>
      <c r="BE150" s="300">
        <v>1493000</v>
      </c>
      <c r="BF150" s="300"/>
    </row>
    <row r="151" spans="2:58" x14ac:dyDescent="0.3">
      <c r="B151" s="288">
        <v>521219</v>
      </c>
      <c r="C151" s="220" t="s">
        <v>53</v>
      </c>
      <c r="D151" s="220"/>
      <c r="E151" s="220"/>
      <c r="F151" s="221">
        <v>1000000</v>
      </c>
      <c r="G151" s="221">
        <v>1000000</v>
      </c>
      <c r="H151" s="221"/>
      <c r="I151" s="221"/>
      <c r="J151" s="221"/>
      <c r="K151" s="221"/>
      <c r="L151" s="221"/>
      <c r="M151" s="221"/>
      <c r="N151" s="221"/>
      <c r="O151" s="221"/>
      <c r="P151" s="221">
        <v>346915</v>
      </c>
      <c r="Q151" s="221"/>
      <c r="R151" s="221"/>
      <c r="S151" s="221"/>
      <c r="T151" s="221"/>
      <c r="U151" s="221"/>
      <c r="V151" s="221">
        <v>355980</v>
      </c>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f t="shared" ref="AR151:AR153" si="260">SUM(H151:AQ151)</f>
        <v>702895</v>
      </c>
      <c r="AS151" s="224">
        <f t="shared" ref="AS151:AS154" si="261">AR151/F151/100</f>
        <v>7.0289500000000008E-3</v>
      </c>
      <c r="AT151" s="225">
        <f t="shared" ref="AT151:AT154" si="262">F151-AR151</f>
        <v>297105</v>
      </c>
      <c r="AU151" s="224">
        <f t="shared" ref="AU151:AU153" si="263">AT151/F151*100</f>
        <v>29.7105</v>
      </c>
      <c r="AV151" s="220" t="s">
        <v>542</v>
      </c>
      <c r="AW151" s="220" t="s">
        <v>543</v>
      </c>
      <c r="AX151" s="383" t="s">
        <v>4729</v>
      </c>
      <c r="AY151" s="221"/>
      <c r="AZ151" s="221">
        <v>346915</v>
      </c>
      <c r="BA151" s="300"/>
      <c r="BB151" s="221"/>
      <c r="BC151" s="221"/>
      <c r="BD151" s="221"/>
      <c r="BE151" s="221">
        <v>355980</v>
      </c>
      <c r="BF151" s="221"/>
    </row>
    <row r="152" spans="2:58" x14ac:dyDescent="0.3">
      <c r="B152" s="288">
        <v>521811</v>
      </c>
      <c r="C152" s="220" t="s">
        <v>64</v>
      </c>
      <c r="D152" s="220"/>
      <c r="E152" s="220"/>
      <c r="F152" s="221">
        <v>10000000</v>
      </c>
      <c r="G152" s="221">
        <v>15000000</v>
      </c>
      <c r="H152" s="221"/>
      <c r="I152" s="221"/>
      <c r="J152" s="221"/>
      <c r="K152" s="221"/>
      <c r="L152" s="221"/>
      <c r="M152" s="221"/>
      <c r="N152" s="221"/>
      <c r="O152" s="221"/>
      <c r="P152" s="221">
        <v>2459000</v>
      </c>
      <c r="Q152" s="221"/>
      <c r="R152" s="221"/>
      <c r="S152" s="221"/>
      <c r="T152" s="221"/>
      <c r="U152" s="221"/>
      <c r="V152" s="221">
        <v>2390000</v>
      </c>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c r="AR152" s="221">
        <f>SUM(H152:AQ152)</f>
        <v>4849000</v>
      </c>
      <c r="AS152" s="224">
        <f t="shared" si="261"/>
        <v>4.849E-3</v>
      </c>
      <c r="AT152" s="225">
        <f t="shared" si="262"/>
        <v>5151000</v>
      </c>
      <c r="AU152" s="224">
        <f t="shared" si="263"/>
        <v>51.51</v>
      </c>
      <c r="AV152" s="220" t="s">
        <v>542</v>
      </c>
      <c r="AW152" s="220" t="s">
        <v>543</v>
      </c>
      <c r="AX152" s="220" t="s">
        <v>4729</v>
      </c>
      <c r="AY152" s="221"/>
      <c r="AZ152" s="221">
        <v>2459000</v>
      </c>
      <c r="BA152" s="300"/>
      <c r="BB152" s="221"/>
      <c r="BC152" s="221"/>
      <c r="BD152" s="221"/>
      <c r="BE152" s="221">
        <v>2390000</v>
      </c>
      <c r="BF152" s="221"/>
    </row>
    <row r="153" spans="2:58" x14ac:dyDescent="0.3">
      <c r="B153" s="288">
        <v>524111</v>
      </c>
      <c r="C153" s="220" t="s">
        <v>19</v>
      </c>
      <c r="D153" s="220"/>
      <c r="E153" s="220"/>
      <c r="F153" s="221">
        <v>5164000</v>
      </c>
      <c r="G153" s="221">
        <v>62400000</v>
      </c>
      <c r="H153" s="221"/>
      <c r="I153" s="221"/>
      <c r="J153" s="221"/>
      <c r="K153" s="221">
        <v>1010000</v>
      </c>
      <c r="L153" s="221"/>
      <c r="M153" s="221"/>
      <c r="N153" s="221"/>
      <c r="O153" s="300">
        <v>2805000</v>
      </c>
      <c r="P153" s="221"/>
      <c r="Q153" s="221"/>
      <c r="R153" s="221"/>
      <c r="S153" s="221"/>
      <c r="T153" s="221">
        <f>900500+448000</f>
        <v>1348500</v>
      </c>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c r="AR153" s="221">
        <f t="shared" si="260"/>
        <v>5163500</v>
      </c>
      <c r="AS153" s="224">
        <f t="shared" si="261"/>
        <v>9.999031758326879E-3</v>
      </c>
      <c r="AT153" s="225">
        <f t="shared" si="262"/>
        <v>500</v>
      </c>
      <c r="AU153" s="224">
        <f t="shared" si="263"/>
        <v>9.6824167312161129E-3</v>
      </c>
      <c r="AV153" s="220" t="s">
        <v>542</v>
      </c>
      <c r="AW153" s="220" t="s">
        <v>543</v>
      </c>
      <c r="AX153" s="220" t="s">
        <v>4729</v>
      </c>
      <c r="AY153" s="221"/>
      <c r="AZ153" s="221"/>
      <c r="BA153" s="300">
        <v>2805000</v>
      </c>
      <c r="BB153" s="221"/>
      <c r="BC153" s="221"/>
      <c r="BD153" s="221"/>
      <c r="BE153" s="221"/>
      <c r="BF153" s="221"/>
    </row>
    <row r="154" spans="2:58" x14ac:dyDescent="0.3">
      <c r="B154" s="290" t="s">
        <v>511</v>
      </c>
      <c r="C154" s="222" t="s">
        <v>130</v>
      </c>
      <c r="D154" s="222"/>
      <c r="E154" s="222"/>
      <c r="F154" s="223">
        <f t="shared" ref="F154:AQ154" si="264">SUM(F155:F159)</f>
        <v>78000000</v>
      </c>
      <c r="G154" s="223">
        <f t="shared" ref="G154" si="265">SUM(G155:G159)</f>
        <v>345988000</v>
      </c>
      <c r="H154" s="223">
        <f t="shared" si="264"/>
        <v>0</v>
      </c>
      <c r="I154" s="223">
        <f t="shared" si="264"/>
        <v>0</v>
      </c>
      <c r="J154" s="223">
        <f t="shared" si="264"/>
        <v>0</v>
      </c>
      <c r="K154" s="223">
        <f t="shared" si="264"/>
        <v>0</v>
      </c>
      <c r="L154" s="223">
        <f t="shared" si="264"/>
        <v>0</v>
      </c>
      <c r="M154" s="223">
        <f t="shared" si="264"/>
        <v>0</v>
      </c>
      <c r="N154" s="223">
        <f t="shared" si="264"/>
        <v>0</v>
      </c>
      <c r="O154" s="223">
        <f t="shared" si="264"/>
        <v>0</v>
      </c>
      <c r="P154" s="223">
        <f t="shared" si="264"/>
        <v>7874000</v>
      </c>
      <c r="Q154" s="223">
        <f t="shared" si="264"/>
        <v>205000</v>
      </c>
      <c r="R154" s="223">
        <f t="shared" si="264"/>
        <v>0</v>
      </c>
      <c r="S154" s="223">
        <f t="shared" si="264"/>
        <v>0</v>
      </c>
      <c r="T154" s="223">
        <f t="shared" si="264"/>
        <v>4224000</v>
      </c>
      <c r="U154" s="223">
        <f t="shared" si="264"/>
        <v>0</v>
      </c>
      <c r="V154" s="223">
        <f t="shared" si="264"/>
        <v>7848000</v>
      </c>
      <c r="W154" s="223">
        <f t="shared" si="264"/>
        <v>0</v>
      </c>
      <c r="X154" s="223">
        <f t="shared" si="264"/>
        <v>0</v>
      </c>
      <c r="Y154" s="223">
        <f t="shared" si="264"/>
        <v>0</v>
      </c>
      <c r="Z154" s="223">
        <f t="shared" si="264"/>
        <v>0</v>
      </c>
      <c r="AA154" s="223">
        <f t="shared" si="264"/>
        <v>0</v>
      </c>
      <c r="AB154" s="223">
        <f t="shared" si="264"/>
        <v>0</v>
      </c>
      <c r="AC154" s="223">
        <f t="shared" si="264"/>
        <v>0</v>
      </c>
      <c r="AD154" s="223">
        <f t="shared" si="264"/>
        <v>0</v>
      </c>
      <c r="AE154" s="223">
        <f t="shared" si="264"/>
        <v>0</v>
      </c>
      <c r="AF154" s="223">
        <f t="shared" si="264"/>
        <v>0</v>
      </c>
      <c r="AG154" s="223">
        <f t="shared" si="264"/>
        <v>0</v>
      </c>
      <c r="AH154" s="223">
        <f t="shared" si="264"/>
        <v>0</v>
      </c>
      <c r="AI154" s="223">
        <f t="shared" si="264"/>
        <v>0</v>
      </c>
      <c r="AJ154" s="223">
        <f t="shared" si="264"/>
        <v>0</v>
      </c>
      <c r="AK154" s="223">
        <f t="shared" si="264"/>
        <v>0</v>
      </c>
      <c r="AL154" s="223">
        <f t="shared" si="264"/>
        <v>0</v>
      </c>
      <c r="AM154" s="223">
        <f t="shared" si="264"/>
        <v>0</v>
      </c>
      <c r="AN154" s="223">
        <f t="shared" si="264"/>
        <v>0</v>
      </c>
      <c r="AO154" s="223">
        <f t="shared" si="264"/>
        <v>0</v>
      </c>
      <c r="AP154" s="223">
        <f t="shared" si="264"/>
        <v>0</v>
      </c>
      <c r="AQ154" s="223">
        <f t="shared" si="264"/>
        <v>0</v>
      </c>
      <c r="AR154" s="223">
        <f>SUM(H154:AQ154)</f>
        <v>20151000</v>
      </c>
      <c r="AS154" s="231">
        <f t="shared" si="261"/>
        <v>2.5834615384615384E-3</v>
      </c>
      <c r="AT154" s="232">
        <f t="shared" si="262"/>
        <v>57849000</v>
      </c>
      <c r="AU154" s="231">
        <f>AT154/F154*100</f>
        <v>74.16538461538461</v>
      </c>
      <c r="AV154" s="220" t="s">
        <v>542</v>
      </c>
      <c r="AW154" s="220" t="s">
        <v>543</v>
      </c>
      <c r="AX154" s="220" t="s">
        <v>4729</v>
      </c>
      <c r="AY154" s="223">
        <f>SUM(AY155:AY159)</f>
        <v>0</v>
      </c>
      <c r="AZ154" s="223">
        <f>SUM(AZ155:AZ159)</f>
        <v>7874000</v>
      </c>
      <c r="BA154" s="223">
        <f>SUM(BA155:BA159)</f>
        <v>0</v>
      </c>
      <c r="BB154" s="223">
        <f t="shared" ref="BB154" si="266">SUM(BB155:BB159)</f>
        <v>0</v>
      </c>
      <c r="BC154" s="223">
        <f t="shared" ref="BC154" si="267">SUM(BC155:BC159)</f>
        <v>0</v>
      </c>
      <c r="BD154" s="223">
        <f t="shared" ref="BD154:BE154" si="268">SUM(BD155:BD159)</f>
        <v>0</v>
      </c>
      <c r="BE154" s="223">
        <f t="shared" si="268"/>
        <v>7848000</v>
      </c>
      <c r="BF154" s="223">
        <f t="shared" ref="BF154" si="269">SUM(BF155:BF159)</f>
        <v>0</v>
      </c>
    </row>
    <row r="155" spans="2:58" x14ac:dyDescent="0.3">
      <c r="B155" s="288">
        <v>521211</v>
      </c>
      <c r="C155" s="220" t="s">
        <v>7</v>
      </c>
      <c r="D155" s="220"/>
      <c r="E155" s="220"/>
      <c r="F155" s="221">
        <v>12000000</v>
      </c>
      <c r="G155" s="221">
        <v>49300000</v>
      </c>
      <c r="H155" s="221"/>
      <c r="I155" s="221"/>
      <c r="J155" s="221"/>
      <c r="K155" s="221"/>
      <c r="L155" s="221"/>
      <c r="M155" s="221"/>
      <c r="N155" s="221"/>
      <c r="O155" s="221"/>
      <c r="P155" s="221">
        <v>2964000</v>
      </c>
      <c r="Q155" s="221"/>
      <c r="R155" s="221"/>
      <c r="S155" s="221"/>
      <c r="T155" s="221"/>
      <c r="U155" s="221"/>
      <c r="V155" s="221">
        <v>2975000</v>
      </c>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c r="AR155" s="221">
        <f>SUM(H155:AQ155)</f>
        <v>5939000</v>
      </c>
      <c r="AS155" s="224">
        <f t="shared" si="210"/>
        <v>4.9491666666666668E-3</v>
      </c>
      <c r="AT155" s="225">
        <f t="shared" ref="AT155:AT189" si="270">F155-AR155</f>
        <v>6061000</v>
      </c>
      <c r="AU155" s="224">
        <f t="shared" si="211"/>
        <v>50.508333333333333</v>
      </c>
      <c r="AV155" s="220" t="s">
        <v>542</v>
      </c>
      <c r="AW155" s="220" t="s">
        <v>543</v>
      </c>
      <c r="AX155" s="220" t="s">
        <v>4729</v>
      </c>
      <c r="AY155" s="221"/>
      <c r="AZ155" s="221">
        <v>2964000</v>
      </c>
      <c r="BA155" s="300"/>
      <c r="BB155" s="221"/>
      <c r="BC155" s="221"/>
      <c r="BD155" s="221"/>
      <c r="BE155" s="221">
        <v>2975000</v>
      </c>
      <c r="BF155" s="221"/>
    </row>
    <row r="156" spans="2:58" x14ac:dyDescent="0.3">
      <c r="B156" s="288">
        <v>521219</v>
      </c>
      <c r="C156" s="220" t="s">
        <v>53</v>
      </c>
      <c r="D156" s="220"/>
      <c r="E156" s="220"/>
      <c r="F156" s="221">
        <v>1000000</v>
      </c>
      <c r="G156" s="221">
        <v>1000000</v>
      </c>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c r="AR156" s="221">
        <f t="shared" ref="AR156:AR189" si="271">SUM(H156:AQ156)</f>
        <v>0</v>
      </c>
      <c r="AS156" s="224">
        <f t="shared" si="210"/>
        <v>0</v>
      </c>
      <c r="AT156" s="225">
        <f t="shared" si="270"/>
        <v>1000000</v>
      </c>
      <c r="AU156" s="224">
        <f t="shared" si="211"/>
        <v>100</v>
      </c>
      <c r="AV156" s="220" t="s">
        <v>542</v>
      </c>
      <c r="AW156" s="220" t="s">
        <v>543</v>
      </c>
      <c r="AX156" s="383" t="s">
        <v>4729</v>
      </c>
      <c r="AY156" s="221"/>
      <c r="AZ156" s="221"/>
      <c r="BA156" s="300"/>
      <c r="BB156" s="221"/>
      <c r="BC156" s="221"/>
      <c r="BD156" s="221"/>
      <c r="BE156" s="221"/>
      <c r="BF156" s="221"/>
    </row>
    <row r="157" spans="2:58" x14ac:dyDescent="0.3">
      <c r="B157" s="288">
        <v>521811</v>
      </c>
      <c r="C157" s="220" t="s">
        <v>64</v>
      </c>
      <c r="D157" s="220"/>
      <c r="E157" s="220"/>
      <c r="F157" s="221">
        <v>20000000</v>
      </c>
      <c r="G157" s="221">
        <v>25000000</v>
      </c>
      <c r="H157" s="221"/>
      <c r="I157" s="221"/>
      <c r="J157" s="221"/>
      <c r="K157" s="221"/>
      <c r="L157" s="221"/>
      <c r="M157" s="221"/>
      <c r="N157" s="221"/>
      <c r="O157" s="221"/>
      <c r="P157" s="221">
        <v>4910000</v>
      </c>
      <c r="Q157" s="221"/>
      <c r="R157" s="221"/>
      <c r="S157" s="221"/>
      <c r="T157" s="221"/>
      <c r="U157" s="221"/>
      <c r="V157" s="221">
        <v>4873000</v>
      </c>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c r="AR157" s="221">
        <f t="shared" si="271"/>
        <v>9783000</v>
      </c>
      <c r="AS157" s="224">
        <f t="shared" si="210"/>
        <v>4.8915E-3</v>
      </c>
      <c r="AT157" s="225">
        <f t="shared" si="270"/>
        <v>10217000</v>
      </c>
      <c r="AU157" s="224">
        <f t="shared" si="211"/>
        <v>51.085000000000001</v>
      </c>
      <c r="AV157" s="220" t="s">
        <v>542</v>
      </c>
      <c r="AW157" s="220" t="s">
        <v>543</v>
      </c>
      <c r="AX157" s="220" t="s">
        <v>4729</v>
      </c>
      <c r="AY157" s="221"/>
      <c r="AZ157" s="221">
        <v>4910000</v>
      </c>
      <c r="BA157" s="300"/>
      <c r="BB157" s="221"/>
      <c r="BC157" s="221"/>
      <c r="BD157" s="221"/>
      <c r="BE157" s="221">
        <v>4873000</v>
      </c>
      <c r="BF157" s="221"/>
    </row>
    <row r="158" spans="2:58" x14ac:dyDescent="0.3">
      <c r="B158" s="288">
        <v>522151</v>
      </c>
      <c r="C158" s="220" t="s">
        <v>11</v>
      </c>
      <c r="D158" s="220"/>
      <c r="E158" s="220"/>
      <c r="F158" s="221">
        <v>0</v>
      </c>
      <c r="G158" s="221">
        <v>12000000</v>
      </c>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c r="AR158" s="221">
        <f t="shared" si="271"/>
        <v>0</v>
      </c>
      <c r="AS158" s="224" t="e">
        <f t="shared" si="210"/>
        <v>#DIV/0!</v>
      </c>
      <c r="AT158" s="225">
        <f t="shared" si="270"/>
        <v>0</v>
      </c>
      <c r="AU158" s="224" t="e">
        <f t="shared" si="211"/>
        <v>#DIV/0!</v>
      </c>
      <c r="AV158" s="220" t="s">
        <v>542</v>
      </c>
      <c r="AW158" s="220" t="s">
        <v>543</v>
      </c>
      <c r="AX158" s="220" t="s">
        <v>4729</v>
      </c>
      <c r="AY158" s="221"/>
      <c r="AZ158" s="221"/>
      <c r="BA158" s="300"/>
      <c r="BB158" s="221"/>
      <c r="BC158" s="221"/>
      <c r="BD158" s="221"/>
      <c r="BE158" s="221"/>
      <c r="BF158" s="221"/>
    </row>
    <row r="159" spans="2:58" x14ac:dyDescent="0.3">
      <c r="B159" s="288">
        <v>524111</v>
      </c>
      <c r="C159" s="220" t="s">
        <v>19</v>
      </c>
      <c r="D159" s="220"/>
      <c r="E159" s="220"/>
      <c r="F159" s="221">
        <v>45000000</v>
      </c>
      <c r="G159" s="221">
        <v>258688000</v>
      </c>
      <c r="H159" s="221"/>
      <c r="I159" s="221"/>
      <c r="J159" s="221"/>
      <c r="K159" s="221"/>
      <c r="L159" s="221"/>
      <c r="M159" s="221"/>
      <c r="N159" s="221"/>
      <c r="O159" s="221"/>
      <c r="P159" s="221"/>
      <c r="Q159" s="221">
        <v>205000</v>
      </c>
      <c r="R159" s="221"/>
      <c r="S159" s="221"/>
      <c r="T159" s="221">
        <f>1040000+3184000</f>
        <v>4224000</v>
      </c>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c r="AR159" s="221">
        <f t="shared" si="271"/>
        <v>4429000</v>
      </c>
      <c r="AS159" s="224">
        <f t="shared" si="210"/>
        <v>9.8422222222222227E-4</v>
      </c>
      <c r="AT159" s="225">
        <f t="shared" si="270"/>
        <v>40571000</v>
      </c>
      <c r="AU159" s="224">
        <f t="shared" si="211"/>
        <v>90.157777777777781</v>
      </c>
      <c r="AV159" s="220" t="s">
        <v>542</v>
      </c>
      <c r="AW159" s="220" t="s">
        <v>543</v>
      </c>
      <c r="AX159" s="220" t="s">
        <v>4729</v>
      </c>
      <c r="AY159" s="221"/>
      <c r="AZ159" s="221"/>
      <c r="BA159" s="300"/>
      <c r="BB159" s="221"/>
      <c r="BC159" s="221"/>
      <c r="BD159" s="221"/>
      <c r="BE159" s="221"/>
      <c r="BF159" s="221"/>
    </row>
    <row r="160" spans="2:58" x14ac:dyDescent="0.3">
      <c r="B160" s="290" t="s">
        <v>512</v>
      </c>
      <c r="C160" s="222" t="s">
        <v>131</v>
      </c>
      <c r="D160" s="222"/>
      <c r="E160" s="222"/>
      <c r="F160" s="223">
        <f t="shared" ref="F160:AQ160" si="272">SUM(F161:F164)</f>
        <v>80408000</v>
      </c>
      <c r="G160" s="223">
        <f t="shared" ref="G160" si="273">SUM(G161:G164)</f>
        <v>168100000</v>
      </c>
      <c r="H160" s="223">
        <f t="shared" si="272"/>
        <v>0</v>
      </c>
      <c r="I160" s="223">
        <f t="shared" si="272"/>
        <v>0</v>
      </c>
      <c r="J160" s="223">
        <f t="shared" si="272"/>
        <v>0</v>
      </c>
      <c r="K160" s="223">
        <f t="shared" si="272"/>
        <v>9587800</v>
      </c>
      <c r="L160" s="223">
        <f t="shared" si="272"/>
        <v>0</v>
      </c>
      <c r="M160" s="223">
        <f t="shared" si="272"/>
        <v>0</v>
      </c>
      <c r="N160" s="223">
        <f t="shared" si="272"/>
        <v>0</v>
      </c>
      <c r="O160" s="223">
        <f t="shared" si="272"/>
        <v>5040000</v>
      </c>
      <c r="P160" s="223">
        <f t="shared" si="272"/>
        <v>25252750</v>
      </c>
      <c r="Q160" s="223">
        <f t="shared" si="272"/>
        <v>6330000</v>
      </c>
      <c r="R160" s="223">
        <f t="shared" si="272"/>
        <v>0</v>
      </c>
      <c r="S160" s="223">
        <f t="shared" si="272"/>
        <v>0</v>
      </c>
      <c r="T160" s="223">
        <f t="shared" si="272"/>
        <v>3600000</v>
      </c>
      <c r="U160" s="223">
        <f t="shared" si="272"/>
        <v>0</v>
      </c>
      <c r="V160" s="223">
        <f t="shared" si="272"/>
        <v>7811500</v>
      </c>
      <c r="W160" s="223">
        <f t="shared" si="272"/>
        <v>10500000</v>
      </c>
      <c r="X160" s="223">
        <f t="shared" si="272"/>
        <v>0</v>
      </c>
      <c r="Y160" s="223">
        <f t="shared" si="272"/>
        <v>0</v>
      </c>
      <c r="Z160" s="223">
        <f t="shared" si="272"/>
        <v>0</v>
      </c>
      <c r="AA160" s="223">
        <f t="shared" si="272"/>
        <v>0</v>
      </c>
      <c r="AB160" s="223">
        <f t="shared" si="272"/>
        <v>0</v>
      </c>
      <c r="AC160" s="223">
        <f t="shared" si="272"/>
        <v>0</v>
      </c>
      <c r="AD160" s="223">
        <f t="shared" si="272"/>
        <v>0</v>
      </c>
      <c r="AE160" s="223">
        <f t="shared" si="272"/>
        <v>0</v>
      </c>
      <c r="AF160" s="223">
        <f t="shared" si="272"/>
        <v>0</v>
      </c>
      <c r="AG160" s="223">
        <f t="shared" si="272"/>
        <v>0</v>
      </c>
      <c r="AH160" s="223">
        <f t="shared" si="272"/>
        <v>0</v>
      </c>
      <c r="AI160" s="223">
        <f t="shared" si="272"/>
        <v>0</v>
      </c>
      <c r="AJ160" s="223">
        <f t="shared" si="272"/>
        <v>0</v>
      </c>
      <c r="AK160" s="223">
        <f t="shared" si="272"/>
        <v>0</v>
      </c>
      <c r="AL160" s="223">
        <f t="shared" si="272"/>
        <v>0</v>
      </c>
      <c r="AM160" s="223">
        <f t="shared" si="272"/>
        <v>0</v>
      </c>
      <c r="AN160" s="223">
        <f t="shared" si="272"/>
        <v>0</v>
      </c>
      <c r="AO160" s="223">
        <f t="shared" si="272"/>
        <v>0</v>
      </c>
      <c r="AP160" s="223">
        <f t="shared" si="272"/>
        <v>0</v>
      </c>
      <c r="AQ160" s="223">
        <f t="shared" si="272"/>
        <v>0</v>
      </c>
      <c r="AR160" s="223">
        <f t="shared" si="271"/>
        <v>68122050</v>
      </c>
      <c r="AS160" s="231">
        <f t="shared" si="210"/>
        <v>8.4720488011143166E-3</v>
      </c>
      <c r="AT160" s="232">
        <f t="shared" si="270"/>
        <v>12285950</v>
      </c>
      <c r="AU160" s="231">
        <f t="shared" si="211"/>
        <v>15.27951198885683</v>
      </c>
      <c r="AV160" s="220" t="s">
        <v>542</v>
      </c>
      <c r="AW160" s="220" t="s">
        <v>543</v>
      </c>
      <c r="AX160" s="220" t="s">
        <v>4729</v>
      </c>
      <c r="AY160" s="223">
        <f t="shared" ref="AY160:BB160" si="274">SUM(AY161:AY164)</f>
        <v>0</v>
      </c>
      <c r="AZ160" s="223">
        <f t="shared" si="274"/>
        <v>25252750</v>
      </c>
      <c r="BA160" s="223">
        <f t="shared" si="274"/>
        <v>5040000</v>
      </c>
      <c r="BB160" s="223">
        <f t="shared" si="274"/>
        <v>0</v>
      </c>
      <c r="BC160" s="223">
        <f t="shared" ref="BC160" si="275">SUM(BC161:BC164)</f>
        <v>0</v>
      </c>
      <c r="BD160" s="223">
        <f t="shared" ref="BD160:BE160" si="276">SUM(BD161:BD164)</f>
        <v>0</v>
      </c>
      <c r="BE160" s="223">
        <f t="shared" si="276"/>
        <v>7811500</v>
      </c>
      <c r="BF160" s="223">
        <f t="shared" ref="BF160" si="277">SUM(BF161:BF164)</f>
        <v>0</v>
      </c>
    </row>
    <row r="161" spans="2:58" x14ac:dyDescent="0.3">
      <c r="B161" s="288">
        <v>521211</v>
      </c>
      <c r="C161" s="220" t="s">
        <v>7</v>
      </c>
      <c r="D161" s="220"/>
      <c r="E161" s="220"/>
      <c r="F161" s="221">
        <v>21000000</v>
      </c>
      <c r="G161" s="221">
        <v>39500000</v>
      </c>
      <c r="H161" s="221"/>
      <c r="I161" s="221"/>
      <c r="J161" s="221"/>
      <c r="K161" s="221"/>
      <c r="L161" s="221"/>
      <c r="M161" s="221"/>
      <c r="N161" s="221"/>
      <c r="O161" s="221"/>
      <c r="P161" s="221">
        <v>2955000</v>
      </c>
      <c r="Q161" s="221"/>
      <c r="R161" s="221"/>
      <c r="S161" s="221"/>
      <c r="T161" s="221"/>
      <c r="U161" s="221"/>
      <c r="V161" s="221">
        <v>2933500</v>
      </c>
      <c r="W161" s="221">
        <v>10500000</v>
      </c>
      <c r="X161" s="221"/>
      <c r="Y161" s="221"/>
      <c r="Z161" s="221"/>
      <c r="AA161" s="221"/>
      <c r="AB161" s="221"/>
      <c r="AC161" s="221"/>
      <c r="AD161" s="221"/>
      <c r="AE161" s="221"/>
      <c r="AF161" s="221"/>
      <c r="AG161" s="221"/>
      <c r="AH161" s="221"/>
      <c r="AI161" s="221"/>
      <c r="AJ161" s="221"/>
      <c r="AK161" s="221"/>
      <c r="AL161" s="221"/>
      <c r="AM161" s="221"/>
      <c r="AN161" s="221"/>
      <c r="AO161" s="221"/>
      <c r="AP161" s="221"/>
      <c r="AQ161" s="221"/>
      <c r="AR161" s="221">
        <f t="shared" si="271"/>
        <v>16388500</v>
      </c>
      <c r="AS161" s="224">
        <f t="shared" si="210"/>
        <v>7.8040476190476193E-3</v>
      </c>
      <c r="AT161" s="225">
        <f t="shared" si="270"/>
        <v>4611500</v>
      </c>
      <c r="AU161" s="224">
        <f t="shared" si="211"/>
        <v>21.959523809523809</v>
      </c>
      <c r="AV161" s="220" t="s">
        <v>542</v>
      </c>
      <c r="AW161" s="220" t="s">
        <v>543</v>
      </c>
      <c r="AX161" s="220" t="s">
        <v>4729</v>
      </c>
      <c r="AY161" s="221"/>
      <c r="AZ161" s="221">
        <v>2955000</v>
      </c>
      <c r="BA161" s="300"/>
      <c r="BB161" s="221"/>
      <c r="BC161" s="221"/>
      <c r="BD161" s="221"/>
      <c r="BE161" s="221">
        <v>2933500</v>
      </c>
      <c r="BF161" s="221"/>
    </row>
    <row r="162" spans="2:58" x14ac:dyDescent="0.3">
      <c r="B162" s="288">
        <v>521811</v>
      </c>
      <c r="C162" s="220" t="s">
        <v>64</v>
      </c>
      <c r="D162" s="220"/>
      <c r="E162" s="220"/>
      <c r="F162" s="221">
        <v>17500000</v>
      </c>
      <c r="G162" s="221">
        <v>25000000</v>
      </c>
      <c r="H162" s="221"/>
      <c r="I162" s="221"/>
      <c r="J162" s="221"/>
      <c r="K162" s="221"/>
      <c r="L162" s="221"/>
      <c r="M162" s="221"/>
      <c r="N162" s="221"/>
      <c r="O162" s="221"/>
      <c r="P162" s="221">
        <v>4947750</v>
      </c>
      <c r="Q162" s="221"/>
      <c r="R162" s="221"/>
      <c r="S162" s="221"/>
      <c r="T162" s="221"/>
      <c r="U162" s="221"/>
      <c r="V162" s="221">
        <v>4878000</v>
      </c>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c r="AR162" s="221">
        <f t="shared" si="271"/>
        <v>9825750</v>
      </c>
      <c r="AS162" s="224">
        <f t="shared" si="210"/>
        <v>5.6147142857142862E-3</v>
      </c>
      <c r="AT162" s="225">
        <f t="shared" si="270"/>
        <v>7674250</v>
      </c>
      <c r="AU162" s="224">
        <f t="shared" si="211"/>
        <v>43.852857142857147</v>
      </c>
      <c r="AV162" s="220" t="s">
        <v>542</v>
      </c>
      <c r="AW162" s="220" t="s">
        <v>543</v>
      </c>
      <c r="AX162" s="220" t="s">
        <v>4729</v>
      </c>
      <c r="AY162" s="221"/>
      <c r="AZ162" s="221">
        <v>4947750</v>
      </c>
      <c r="BA162" s="300"/>
      <c r="BB162" s="221"/>
      <c r="BC162" s="221"/>
      <c r="BD162" s="221"/>
      <c r="BE162" s="221">
        <v>4878000</v>
      </c>
      <c r="BF162" s="221"/>
    </row>
    <row r="163" spans="2:58" x14ac:dyDescent="0.3">
      <c r="B163" s="288">
        <v>522151</v>
      </c>
      <c r="C163" s="220" t="s">
        <v>11</v>
      </c>
      <c r="D163" s="220"/>
      <c r="E163" s="220"/>
      <c r="F163" s="221">
        <v>0</v>
      </c>
      <c r="G163" s="221">
        <v>10000000</v>
      </c>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c r="AR163" s="221">
        <f t="shared" si="271"/>
        <v>0</v>
      </c>
      <c r="AS163" s="224" t="e">
        <f t="shared" si="210"/>
        <v>#DIV/0!</v>
      </c>
      <c r="AT163" s="225">
        <f t="shared" si="270"/>
        <v>0</v>
      </c>
      <c r="AU163" s="224" t="e">
        <f t="shared" si="211"/>
        <v>#DIV/0!</v>
      </c>
      <c r="AV163" s="220" t="s">
        <v>542</v>
      </c>
      <c r="AW163" s="220" t="s">
        <v>543</v>
      </c>
      <c r="AX163" s="220" t="s">
        <v>4729</v>
      </c>
      <c r="AY163" s="221"/>
      <c r="AZ163" s="221"/>
      <c r="BA163" s="300"/>
      <c r="BB163" s="221"/>
      <c r="BC163" s="221"/>
      <c r="BD163" s="221"/>
      <c r="BE163" s="221"/>
      <c r="BF163" s="221"/>
    </row>
    <row r="164" spans="2:58" x14ac:dyDescent="0.3">
      <c r="B164" s="288">
        <v>524111</v>
      </c>
      <c r="C164" s="220" t="s">
        <v>19</v>
      </c>
      <c r="D164" s="220"/>
      <c r="E164" s="220"/>
      <c r="F164" s="221">
        <v>41908000</v>
      </c>
      <c r="G164" s="221">
        <v>93600000</v>
      </c>
      <c r="H164" s="221"/>
      <c r="I164" s="221"/>
      <c r="J164" s="221"/>
      <c r="K164" s="221">
        <v>9587800</v>
      </c>
      <c r="L164" s="221"/>
      <c r="M164" s="221"/>
      <c r="N164" s="221"/>
      <c r="O164" s="300">
        <v>5040000</v>
      </c>
      <c r="P164" s="221">
        <v>17350000</v>
      </c>
      <c r="Q164" s="221">
        <v>6330000</v>
      </c>
      <c r="R164" s="221"/>
      <c r="S164" s="221"/>
      <c r="T164" s="221">
        <v>3600000</v>
      </c>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c r="AR164" s="221">
        <f t="shared" si="271"/>
        <v>41907800</v>
      </c>
      <c r="AS164" s="224">
        <f t="shared" si="210"/>
        <v>9.9999522764150032E-3</v>
      </c>
      <c r="AT164" s="225">
        <f t="shared" si="270"/>
        <v>200</v>
      </c>
      <c r="AU164" s="224">
        <f t="shared" si="211"/>
        <v>4.7723584995704876E-4</v>
      </c>
      <c r="AV164" s="220" t="s">
        <v>542</v>
      </c>
      <c r="AW164" s="220" t="s">
        <v>543</v>
      </c>
      <c r="AX164" s="220" t="s">
        <v>4729</v>
      </c>
      <c r="AY164" s="221"/>
      <c r="AZ164" s="221">
        <v>17350000</v>
      </c>
      <c r="BA164" s="300">
        <v>5040000</v>
      </c>
      <c r="BB164" s="221"/>
      <c r="BC164" s="221"/>
      <c r="BD164" s="221"/>
      <c r="BE164" s="221"/>
      <c r="BF164" s="221"/>
    </row>
    <row r="165" spans="2:58" x14ac:dyDescent="0.3">
      <c r="B165" s="226" t="s">
        <v>4425</v>
      </c>
      <c r="C165" s="227" t="s">
        <v>2786</v>
      </c>
      <c r="D165" s="227">
        <v>2</v>
      </c>
      <c r="E165" s="227" t="s">
        <v>4315</v>
      </c>
      <c r="F165" s="228">
        <f>F166+F177</f>
        <v>169798000</v>
      </c>
      <c r="G165" s="228">
        <f>G166+G177</f>
        <v>633732000</v>
      </c>
      <c r="H165" s="228">
        <f t="shared" ref="H165:AQ165" si="278">H166+H177</f>
        <v>0</v>
      </c>
      <c r="I165" s="228">
        <f t="shared" si="278"/>
        <v>0</v>
      </c>
      <c r="J165" s="228">
        <f t="shared" si="278"/>
        <v>0</v>
      </c>
      <c r="K165" s="228">
        <f t="shared" si="278"/>
        <v>0</v>
      </c>
      <c r="L165" s="228">
        <f t="shared" si="278"/>
        <v>0</v>
      </c>
      <c r="M165" s="228">
        <f t="shared" si="278"/>
        <v>0</v>
      </c>
      <c r="N165" s="228">
        <f t="shared" si="278"/>
        <v>0</v>
      </c>
      <c r="O165" s="228">
        <f t="shared" si="278"/>
        <v>4230000</v>
      </c>
      <c r="P165" s="228">
        <f t="shared" si="278"/>
        <v>5496528</v>
      </c>
      <c r="Q165" s="228">
        <f t="shared" si="278"/>
        <v>16054500</v>
      </c>
      <c r="R165" s="228">
        <f t="shared" si="278"/>
        <v>0</v>
      </c>
      <c r="S165" s="228">
        <f t="shared" si="278"/>
        <v>0</v>
      </c>
      <c r="T165" s="228">
        <f t="shared" si="278"/>
        <v>0</v>
      </c>
      <c r="U165" s="228">
        <f t="shared" si="278"/>
        <v>300383</v>
      </c>
      <c r="V165" s="228">
        <f t="shared" si="278"/>
        <v>36489355</v>
      </c>
      <c r="W165" s="228">
        <f t="shared" si="278"/>
        <v>40585531</v>
      </c>
      <c r="X165" s="228">
        <f t="shared" si="278"/>
        <v>0</v>
      </c>
      <c r="Y165" s="228">
        <f t="shared" si="278"/>
        <v>2640000</v>
      </c>
      <c r="Z165" s="228">
        <f t="shared" si="278"/>
        <v>0</v>
      </c>
      <c r="AA165" s="228">
        <f t="shared" si="278"/>
        <v>0</v>
      </c>
      <c r="AB165" s="228">
        <f t="shared" si="278"/>
        <v>0</v>
      </c>
      <c r="AC165" s="228">
        <f t="shared" si="278"/>
        <v>0</v>
      </c>
      <c r="AD165" s="228">
        <f t="shared" si="278"/>
        <v>0</v>
      </c>
      <c r="AE165" s="228">
        <f t="shared" si="278"/>
        <v>0</v>
      </c>
      <c r="AF165" s="228">
        <f t="shared" si="278"/>
        <v>0</v>
      </c>
      <c r="AG165" s="228">
        <f t="shared" si="278"/>
        <v>0</v>
      </c>
      <c r="AH165" s="228">
        <f t="shared" si="278"/>
        <v>0</v>
      </c>
      <c r="AI165" s="228">
        <f t="shared" si="278"/>
        <v>0</v>
      </c>
      <c r="AJ165" s="228">
        <f t="shared" si="278"/>
        <v>0</v>
      </c>
      <c r="AK165" s="228">
        <f t="shared" si="278"/>
        <v>0</v>
      </c>
      <c r="AL165" s="228">
        <f t="shared" si="278"/>
        <v>0</v>
      </c>
      <c r="AM165" s="228">
        <f t="shared" si="278"/>
        <v>0</v>
      </c>
      <c r="AN165" s="228">
        <f t="shared" si="278"/>
        <v>0</v>
      </c>
      <c r="AO165" s="228">
        <f t="shared" si="278"/>
        <v>0</v>
      </c>
      <c r="AP165" s="228">
        <f t="shared" si="278"/>
        <v>0</v>
      </c>
      <c r="AQ165" s="228">
        <f t="shared" si="278"/>
        <v>0</v>
      </c>
      <c r="AR165" s="228">
        <f t="shared" si="271"/>
        <v>105796297</v>
      </c>
      <c r="AS165" s="229">
        <f t="shared" si="210"/>
        <v>6.2307151438768414E-3</v>
      </c>
      <c r="AT165" s="230">
        <f t="shared" si="270"/>
        <v>64001703</v>
      </c>
      <c r="AU165" s="229">
        <f t="shared" si="211"/>
        <v>37.692848561231578</v>
      </c>
      <c r="AV165" s="220"/>
      <c r="AW165" s="220"/>
      <c r="AX165" s="220" t="s">
        <v>4729</v>
      </c>
      <c r="AY165" s="228">
        <f t="shared" ref="AY165:BA165" si="279">AY166+AY177</f>
        <v>0</v>
      </c>
      <c r="AZ165" s="228">
        <f t="shared" si="279"/>
        <v>5496528</v>
      </c>
      <c r="BA165" s="228">
        <f t="shared" si="279"/>
        <v>4230000</v>
      </c>
      <c r="BB165" s="228">
        <f t="shared" ref="BB165" si="280">BB166+BB177</f>
        <v>0</v>
      </c>
      <c r="BC165" s="228">
        <f t="shared" ref="BC165" si="281">BC166+BC177</f>
        <v>0</v>
      </c>
      <c r="BD165" s="228">
        <f t="shared" ref="BD165:BE165" si="282">BD166+BD177</f>
        <v>300383</v>
      </c>
      <c r="BE165" s="228">
        <f t="shared" si="282"/>
        <v>36489355</v>
      </c>
      <c r="BF165" s="228">
        <f t="shared" ref="BF165" si="283">BF166+BF177</f>
        <v>2640000</v>
      </c>
    </row>
    <row r="166" spans="2:58" x14ac:dyDescent="0.3">
      <c r="B166" s="226">
        <v>301</v>
      </c>
      <c r="C166" s="227" t="s">
        <v>3053</v>
      </c>
      <c r="D166" s="227"/>
      <c r="E166" s="227"/>
      <c r="F166" s="228">
        <f>F167+F171</f>
        <v>119729000</v>
      </c>
      <c r="G166" s="228">
        <f>G167+G171</f>
        <v>507200000</v>
      </c>
      <c r="H166" s="228">
        <f t="shared" ref="H166:AQ166" si="284">H167+H171</f>
        <v>0</v>
      </c>
      <c r="I166" s="228">
        <f t="shared" si="284"/>
        <v>0</v>
      </c>
      <c r="J166" s="228">
        <f t="shared" si="284"/>
        <v>0</v>
      </c>
      <c r="K166" s="228">
        <f t="shared" si="284"/>
        <v>0</v>
      </c>
      <c r="L166" s="228">
        <f t="shared" si="284"/>
        <v>0</v>
      </c>
      <c r="M166" s="228">
        <f t="shared" si="284"/>
        <v>0</v>
      </c>
      <c r="N166" s="228">
        <f t="shared" si="284"/>
        <v>0</v>
      </c>
      <c r="O166" s="228">
        <f t="shared" si="284"/>
        <v>880000</v>
      </c>
      <c r="P166" s="228">
        <f t="shared" si="284"/>
        <v>2998528</v>
      </c>
      <c r="Q166" s="228">
        <f t="shared" si="284"/>
        <v>524500</v>
      </c>
      <c r="R166" s="228">
        <f t="shared" si="284"/>
        <v>0</v>
      </c>
      <c r="S166" s="228">
        <f t="shared" si="284"/>
        <v>0</v>
      </c>
      <c r="T166" s="228">
        <f t="shared" si="284"/>
        <v>0</v>
      </c>
      <c r="U166" s="228">
        <f t="shared" si="284"/>
        <v>300383</v>
      </c>
      <c r="V166" s="228">
        <f t="shared" si="284"/>
        <v>31503355</v>
      </c>
      <c r="W166" s="228">
        <f t="shared" si="284"/>
        <v>38467531</v>
      </c>
      <c r="X166" s="228">
        <f t="shared" si="284"/>
        <v>0</v>
      </c>
      <c r="Y166" s="228">
        <f t="shared" si="284"/>
        <v>2640000</v>
      </c>
      <c r="Z166" s="228">
        <f t="shared" si="284"/>
        <v>0</v>
      </c>
      <c r="AA166" s="228">
        <f t="shared" si="284"/>
        <v>0</v>
      </c>
      <c r="AB166" s="228">
        <f t="shared" si="284"/>
        <v>0</v>
      </c>
      <c r="AC166" s="228">
        <f t="shared" si="284"/>
        <v>0</v>
      </c>
      <c r="AD166" s="228">
        <f t="shared" si="284"/>
        <v>0</v>
      </c>
      <c r="AE166" s="228">
        <f t="shared" si="284"/>
        <v>0</v>
      </c>
      <c r="AF166" s="228">
        <f t="shared" si="284"/>
        <v>0</v>
      </c>
      <c r="AG166" s="228">
        <f t="shared" si="284"/>
        <v>0</v>
      </c>
      <c r="AH166" s="228">
        <f t="shared" si="284"/>
        <v>0</v>
      </c>
      <c r="AI166" s="228">
        <f t="shared" si="284"/>
        <v>0</v>
      </c>
      <c r="AJ166" s="228">
        <f t="shared" si="284"/>
        <v>0</v>
      </c>
      <c r="AK166" s="228">
        <f t="shared" si="284"/>
        <v>0</v>
      </c>
      <c r="AL166" s="228">
        <f t="shared" si="284"/>
        <v>0</v>
      </c>
      <c r="AM166" s="228">
        <f t="shared" si="284"/>
        <v>0</v>
      </c>
      <c r="AN166" s="228">
        <f t="shared" si="284"/>
        <v>0</v>
      </c>
      <c r="AO166" s="228">
        <f t="shared" si="284"/>
        <v>0</v>
      </c>
      <c r="AP166" s="228">
        <f t="shared" si="284"/>
        <v>0</v>
      </c>
      <c r="AQ166" s="228">
        <f t="shared" si="284"/>
        <v>0</v>
      </c>
      <c r="AR166" s="228">
        <f t="shared" si="271"/>
        <v>77314297</v>
      </c>
      <c r="AS166" s="229">
        <f t="shared" si="210"/>
        <v>6.4574411379030982E-3</v>
      </c>
      <c r="AT166" s="230">
        <f t="shared" si="270"/>
        <v>42414703</v>
      </c>
      <c r="AU166" s="229">
        <f t="shared" si="211"/>
        <v>35.425588620969023</v>
      </c>
      <c r="AV166" s="220" t="s">
        <v>542</v>
      </c>
      <c r="AW166" s="220" t="s">
        <v>591</v>
      </c>
      <c r="AX166" s="220" t="s">
        <v>4729</v>
      </c>
      <c r="AY166" s="228">
        <f t="shared" ref="AY166:BA166" si="285">AY167+AY171</f>
        <v>0</v>
      </c>
      <c r="AZ166" s="228">
        <f t="shared" si="285"/>
        <v>2998528</v>
      </c>
      <c r="BA166" s="228">
        <f t="shared" si="285"/>
        <v>880000</v>
      </c>
      <c r="BB166" s="228">
        <f t="shared" ref="BB166" si="286">BB167+BB171</f>
        <v>0</v>
      </c>
      <c r="BC166" s="228">
        <f t="shared" ref="BC166" si="287">BC167+BC171</f>
        <v>0</v>
      </c>
      <c r="BD166" s="228">
        <f t="shared" ref="BD166:BE166" si="288">BD167+BD171</f>
        <v>300383</v>
      </c>
      <c r="BE166" s="228">
        <f t="shared" si="288"/>
        <v>31503355</v>
      </c>
      <c r="BF166" s="228">
        <f t="shared" ref="BF166" si="289">BF167+BF171</f>
        <v>2640000</v>
      </c>
    </row>
    <row r="167" spans="2:58" x14ac:dyDescent="0.3">
      <c r="B167" s="290" t="s">
        <v>8</v>
      </c>
      <c r="C167" s="222" t="s">
        <v>174</v>
      </c>
      <c r="D167" s="222"/>
      <c r="E167" s="222"/>
      <c r="F167" s="223">
        <f>SUM(F168:F170)</f>
        <v>43789000</v>
      </c>
      <c r="G167" s="223">
        <f>SUM(G168:G170)</f>
        <v>295200000</v>
      </c>
      <c r="H167" s="223">
        <f t="shared" ref="H167:AQ167" si="290">SUM(H168:H170)</f>
        <v>0</v>
      </c>
      <c r="I167" s="223">
        <f t="shared" si="290"/>
        <v>0</v>
      </c>
      <c r="J167" s="223">
        <f t="shared" si="290"/>
        <v>0</v>
      </c>
      <c r="K167" s="223">
        <f t="shared" si="290"/>
        <v>0</v>
      </c>
      <c r="L167" s="223">
        <f t="shared" si="290"/>
        <v>0</v>
      </c>
      <c r="M167" s="223">
        <f t="shared" si="290"/>
        <v>0</v>
      </c>
      <c r="N167" s="223">
        <f t="shared" si="290"/>
        <v>0</v>
      </c>
      <c r="O167" s="223">
        <f t="shared" si="290"/>
        <v>0</v>
      </c>
      <c r="P167" s="223">
        <f t="shared" si="290"/>
        <v>499528</v>
      </c>
      <c r="Q167" s="223">
        <f t="shared" si="290"/>
        <v>0</v>
      </c>
      <c r="R167" s="223">
        <f t="shared" si="290"/>
        <v>0</v>
      </c>
      <c r="S167" s="223">
        <f t="shared" si="290"/>
        <v>0</v>
      </c>
      <c r="T167" s="223">
        <f t="shared" si="290"/>
        <v>0</v>
      </c>
      <c r="U167" s="223">
        <f t="shared" si="290"/>
        <v>0</v>
      </c>
      <c r="V167" s="223">
        <f t="shared" si="290"/>
        <v>6278500</v>
      </c>
      <c r="W167" s="223">
        <f t="shared" si="290"/>
        <v>0</v>
      </c>
      <c r="X167" s="223">
        <f t="shared" si="290"/>
        <v>0</v>
      </c>
      <c r="Y167" s="223">
        <f t="shared" si="290"/>
        <v>0</v>
      </c>
      <c r="Z167" s="223">
        <f t="shared" si="290"/>
        <v>0</v>
      </c>
      <c r="AA167" s="223">
        <f t="shared" si="290"/>
        <v>0</v>
      </c>
      <c r="AB167" s="223">
        <f t="shared" si="290"/>
        <v>0</v>
      </c>
      <c r="AC167" s="223">
        <f t="shared" si="290"/>
        <v>0</v>
      </c>
      <c r="AD167" s="223">
        <f t="shared" si="290"/>
        <v>0</v>
      </c>
      <c r="AE167" s="223">
        <f t="shared" si="290"/>
        <v>0</v>
      </c>
      <c r="AF167" s="223">
        <f t="shared" si="290"/>
        <v>0</v>
      </c>
      <c r="AG167" s="223">
        <f t="shared" si="290"/>
        <v>0</v>
      </c>
      <c r="AH167" s="223">
        <f t="shared" si="290"/>
        <v>0</v>
      </c>
      <c r="AI167" s="223">
        <f t="shared" si="290"/>
        <v>0</v>
      </c>
      <c r="AJ167" s="223">
        <f t="shared" si="290"/>
        <v>0</v>
      </c>
      <c r="AK167" s="223">
        <f t="shared" si="290"/>
        <v>0</v>
      </c>
      <c r="AL167" s="223">
        <f t="shared" si="290"/>
        <v>0</v>
      </c>
      <c r="AM167" s="223">
        <f t="shared" si="290"/>
        <v>0</v>
      </c>
      <c r="AN167" s="223">
        <f t="shared" si="290"/>
        <v>0</v>
      </c>
      <c r="AO167" s="223">
        <f t="shared" si="290"/>
        <v>0</v>
      </c>
      <c r="AP167" s="223">
        <f t="shared" si="290"/>
        <v>0</v>
      </c>
      <c r="AQ167" s="223">
        <f t="shared" si="290"/>
        <v>0</v>
      </c>
      <c r="AR167" s="223">
        <f>SUM(H167:AQ167)</f>
        <v>6778028</v>
      </c>
      <c r="AS167" s="231">
        <f t="shared" si="210"/>
        <v>1.5478837150882641E-3</v>
      </c>
      <c r="AT167" s="232">
        <f t="shared" si="270"/>
        <v>37010972</v>
      </c>
      <c r="AU167" s="231">
        <f t="shared" si="211"/>
        <v>84.52116284911736</v>
      </c>
      <c r="AV167" s="220" t="s">
        <v>542</v>
      </c>
      <c r="AW167" s="220" t="s">
        <v>591</v>
      </c>
      <c r="AX167" s="220" t="s">
        <v>4729</v>
      </c>
      <c r="AY167" s="223">
        <f t="shared" ref="AY167" si="291">SUM(AY168:AY170)</f>
        <v>0</v>
      </c>
      <c r="AZ167" s="223">
        <f>SUM(AZ168:AZ170)</f>
        <v>499528</v>
      </c>
      <c r="BA167" s="223">
        <f>SUM(BA168:BA170)</f>
        <v>0</v>
      </c>
      <c r="BB167" s="223">
        <f t="shared" ref="BB167" si="292">SUM(BB168:BB170)</f>
        <v>0</v>
      </c>
      <c r="BC167" s="223">
        <f t="shared" ref="BC167" si="293">SUM(BC168:BC170)</f>
        <v>0</v>
      </c>
      <c r="BD167" s="223">
        <f t="shared" ref="BD167:BE167" si="294">SUM(BD168:BD170)</f>
        <v>0</v>
      </c>
      <c r="BE167" s="223">
        <f t="shared" si="294"/>
        <v>6278500</v>
      </c>
      <c r="BF167" s="223">
        <f t="shared" ref="BF167" si="295">SUM(BF168:BF170)</f>
        <v>0</v>
      </c>
    </row>
    <row r="168" spans="2:58" x14ac:dyDescent="0.3">
      <c r="B168" s="288">
        <v>521211</v>
      </c>
      <c r="C168" s="220" t="s">
        <v>7</v>
      </c>
      <c r="D168" s="220"/>
      <c r="E168" s="220"/>
      <c r="F168" s="221">
        <v>23250000</v>
      </c>
      <c r="G168" s="221">
        <v>46000000</v>
      </c>
      <c r="H168" s="221"/>
      <c r="I168" s="221"/>
      <c r="J168" s="221"/>
      <c r="K168" s="221"/>
      <c r="L168" s="221"/>
      <c r="M168" s="221"/>
      <c r="N168" s="221"/>
      <c r="O168" s="221"/>
      <c r="P168" s="221"/>
      <c r="Q168" s="221"/>
      <c r="R168" s="221"/>
      <c r="S168" s="221"/>
      <c r="T168" s="221"/>
      <c r="U168" s="221"/>
      <c r="V168" s="221">
        <v>6278500</v>
      </c>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c r="AR168" s="221">
        <f t="shared" si="271"/>
        <v>6278500</v>
      </c>
      <c r="AS168" s="224">
        <f t="shared" si="210"/>
        <v>2.7004301075268817E-3</v>
      </c>
      <c r="AT168" s="225">
        <f t="shared" si="270"/>
        <v>16971500</v>
      </c>
      <c r="AU168" s="224">
        <f t="shared" si="211"/>
        <v>72.995698924731172</v>
      </c>
      <c r="AV168" s="220" t="s">
        <v>542</v>
      </c>
      <c r="AW168" s="220" t="s">
        <v>591</v>
      </c>
      <c r="AX168" s="220" t="s">
        <v>4729</v>
      </c>
      <c r="AY168" s="221"/>
      <c r="AZ168" s="221"/>
      <c r="BA168" s="300"/>
      <c r="BB168" s="221"/>
      <c r="BC168" s="221"/>
      <c r="BD168" s="221"/>
      <c r="BE168" s="221">
        <v>6278500</v>
      </c>
      <c r="BF168" s="221"/>
    </row>
    <row r="169" spans="2:58" x14ac:dyDescent="0.3">
      <c r="B169" s="288">
        <v>521219</v>
      </c>
      <c r="C169" s="220" t="s">
        <v>53</v>
      </c>
      <c r="D169" s="220"/>
      <c r="E169" s="220"/>
      <c r="F169" s="221">
        <v>2000000</v>
      </c>
      <c r="G169" s="221">
        <v>2000000</v>
      </c>
      <c r="H169" s="221"/>
      <c r="I169" s="221"/>
      <c r="J169" s="221"/>
      <c r="K169" s="221"/>
      <c r="L169" s="221"/>
      <c r="M169" s="221"/>
      <c r="N169" s="221"/>
      <c r="O169" s="221"/>
      <c r="P169" s="221">
        <v>499528</v>
      </c>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c r="AR169" s="221">
        <f t="shared" si="271"/>
        <v>499528</v>
      </c>
      <c r="AS169" s="224">
        <f t="shared" si="210"/>
        <v>2.4976400000000002E-3</v>
      </c>
      <c r="AT169" s="225">
        <f t="shared" si="270"/>
        <v>1500472</v>
      </c>
      <c r="AU169" s="224">
        <f t="shared" si="211"/>
        <v>75.023600000000002</v>
      </c>
      <c r="AV169" s="220" t="s">
        <v>542</v>
      </c>
      <c r="AW169" s="220" t="s">
        <v>591</v>
      </c>
      <c r="AX169" s="383" t="s">
        <v>4729</v>
      </c>
      <c r="AY169" s="221"/>
      <c r="AZ169" s="221">
        <v>499528</v>
      </c>
      <c r="BA169" s="300"/>
      <c r="BB169" s="221"/>
      <c r="BC169" s="221"/>
      <c r="BD169" s="221"/>
      <c r="BE169" s="221"/>
      <c r="BF169" s="221"/>
    </row>
    <row r="170" spans="2:58" x14ac:dyDescent="0.3">
      <c r="B170" s="288">
        <v>524111</v>
      </c>
      <c r="C170" s="220" t="s">
        <v>19</v>
      </c>
      <c r="D170" s="220"/>
      <c r="E170" s="220"/>
      <c r="F170" s="221">
        <v>18539000</v>
      </c>
      <c r="G170" s="221">
        <v>247200000</v>
      </c>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c r="AR170" s="221">
        <f t="shared" si="271"/>
        <v>0</v>
      </c>
      <c r="AS170" s="224">
        <f t="shared" si="210"/>
        <v>0</v>
      </c>
      <c r="AT170" s="225">
        <f t="shared" si="270"/>
        <v>18539000</v>
      </c>
      <c r="AU170" s="224">
        <f t="shared" si="211"/>
        <v>100</v>
      </c>
      <c r="AV170" s="220" t="s">
        <v>542</v>
      </c>
      <c r="AW170" s="220" t="s">
        <v>591</v>
      </c>
      <c r="AX170" s="220" t="s">
        <v>4729</v>
      </c>
      <c r="AY170" s="221"/>
      <c r="AZ170" s="221"/>
      <c r="BA170" s="300"/>
      <c r="BB170" s="221"/>
      <c r="BC170" s="221"/>
      <c r="BD170" s="221"/>
      <c r="BE170" s="221"/>
      <c r="BF170" s="221"/>
    </row>
    <row r="171" spans="2:58" x14ac:dyDescent="0.3">
      <c r="B171" s="290" t="s">
        <v>511</v>
      </c>
      <c r="C171" s="222" t="s">
        <v>175</v>
      </c>
      <c r="D171" s="222"/>
      <c r="E171" s="222"/>
      <c r="F171" s="223">
        <f t="shared" ref="F171:AQ171" si="296">SUM(F172:F176)</f>
        <v>75940000</v>
      </c>
      <c r="G171" s="223">
        <f t="shared" ref="G171" si="297">SUM(G172:G176)</f>
        <v>212000000</v>
      </c>
      <c r="H171" s="223">
        <f t="shared" si="296"/>
        <v>0</v>
      </c>
      <c r="I171" s="223">
        <f t="shared" si="296"/>
        <v>0</v>
      </c>
      <c r="J171" s="223">
        <f t="shared" si="296"/>
        <v>0</v>
      </c>
      <c r="K171" s="223">
        <f t="shared" si="296"/>
        <v>0</v>
      </c>
      <c r="L171" s="223">
        <f t="shared" si="296"/>
        <v>0</v>
      </c>
      <c r="M171" s="223">
        <f t="shared" si="296"/>
        <v>0</v>
      </c>
      <c r="N171" s="223">
        <f t="shared" si="296"/>
        <v>0</v>
      </c>
      <c r="O171" s="223">
        <f t="shared" si="296"/>
        <v>880000</v>
      </c>
      <c r="P171" s="223">
        <f t="shared" si="296"/>
        <v>2499000</v>
      </c>
      <c r="Q171" s="223">
        <f t="shared" si="296"/>
        <v>524500</v>
      </c>
      <c r="R171" s="223">
        <f t="shared" si="296"/>
        <v>0</v>
      </c>
      <c r="S171" s="223">
        <f t="shared" si="296"/>
        <v>0</v>
      </c>
      <c r="T171" s="223">
        <f t="shared" si="296"/>
        <v>0</v>
      </c>
      <c r="U171" s="223">
        <f t="shared" si="296"/>
        <v>300383</v>
      </c>
      <c r="V171" s="223">
        <f t="shared" si="296"/>
        <v>25224855</v>
      </c>
      <c r="W171" s="223">
        <f t="shared" si="296"/>
        <v>38467531</v>
      </c>
      <c r="X171" s="223">
        <f t="shared" si="296"/>
        <v>0</v>
      </c>
      <c r="Y171" s="223">
        <f t="shared" si="296"/>
        <v>2640000</v>
      </c>
      <c r="Z171" s="223">
        <f t="shared" si="296"/>
        <v>0</v>
      </c>
      <c r="AA171" s="223">
        <f t="shared" si="296"/>
        <v>0</v>
      </c>
      <c r="AB171" s="223">
        <f t="shared" si="296"/>
        <v>0</v>
      </c>
      <c r="AC171" s="223">
        <f t="shared" si="296"/>
        <v>0</v>
      </c>
      <c r="AD171" s="223">
        <f t="shared" si="296"/>
        <v>0</v>
      </c>
      <c r="AE171" s="223">
        <f t="shared" si="296"/>
        <v>0</v>
      </c>
      <c r="AF171" s="223">
        <f t="shared" si="296"/>
        <v>0</v>
      </c>
      <c r="AG171" s="223">
        <f t="shared" si="296"/>
        <v>0</v>
      </c>
      <c r="AH171" s="223">
        <f t="shared" si="296"/>
        <v>0</v>
      </c>
      <c r="AI171" s="223">
        <f t="shared" si="296"/>
        <v>0</v>
      </c>
      <c r="AJ171" s="223">
        <f t="shared" si="296"/>
        <v>0</v>
      </c>
      <c r="AK171" s="223">
        <f t="shared" si="296"/>
        <v>0</v>
      </c>
      <c r="AL171" s="223">
        <f t="shared" si="296"/>
        <v>0</v>
      </c>
      <c r="AM171" s="223">
        <f t="shared" si="296"/>
        <v>0</v>
      </c>
      <c r="AN171" s="223">
        <f t="shared" si="296"/>
        <v>0</v>
      </c>
      <c r="AO171" s="223">
        <f t="shared" si="296"/>
        <v>0</v>
      </c>
      <c r="AP171" s="223">
        <f t="shared" si="296"/>
        <v>0</v>
      </c>
      <c r="AQ171" s="223">
        <f t="shared" si="296"/>
        <v>0</v>
      </c>
      <c r="AR171" s="223">
        <f t="shared" si="271"/>
        <v>70536269</v>
      </c>
      <c r="AS171" s="231">
        <f t="shared" si="210"/>
        <v>9.2884209902554648E-3</v>
      </c>
      <c r="AT171" s="232">
        <f>F171-AR171</f>
        <v>5403731</v>
      </c>
      <c r="AU171" s="231">
        <f t="shared" si="211"/>
        <v>7.1157900974453518</v>
      </c>
      <c r="AV171" s="220" t="s">
        <v>542</v>
      </c>
      <c r="AW171" s="220" t="s">
        <v>591</v>
      </c>
      <c r="AX171" s="220" t="s">
        <v>4729</v>
      </c>
      <c r="AY171" s="223">
        <f t="shared" ref="AY171:BB171" si="298">SUM(AY172:AY176)</f>
        <v>0</v>
      </c>
      <c r="AZ171" s="223">
        <f t="shared" si="298"/>
        <v>2499000</v>
      </c>
      <c r="BA171" s="223">
        <f t="shared" si="298"/>
        <v>880000</v>
      </c>
      <c r="BB171" s="223">
        <f t="shared" si="298"/>
        <v>0</v>
      </c>
      <c r="BC171" s="223">
        <f t="shared" ref="BC171" si="299">SUM(BC172:BC176)</f>
        <v>0</v>
      </c>
      <c r="BD171" s="223">
        <f t="shared" ref="BD171:BE171" si="300">SUM(BD172:BD176)</f>
        <v>300383</v>
      </c>
      <c r="BE171" s="223">
        <f t="shared" si="300"/>
        <v>25224855</v>
      </c>
      <c r="BF171" s="223">
        <f t="shared" ref="BF171" si="301">SUM(BF172:BF176)</f>
        <v>2640000</v>
      </c>
    </row>
    <row r="172" spans="2:58" x14ac:dyDescent="0.3">
      <c r="B172" s="288">
        <v>521211</v>
      </c>
      <c r="C172" s="220" t="s">
        <v>7</v>
      </c>
      <c r="D172" s="220"/>
      <c r="E172" s="220"/>
      <c r="F172" s="221">
        <v>13525000</v>
      </c>
      <c r="G172" s="221">
        <v>41000000</v>
      </c>
      <c r="H172" s="221"/>
      <c r="I172" s="221"/>
      <c r="J172" s="221"/>
      <c r="K172" s="221"/>
      <c r="L172" s="221"/>
      <c r="M172" s="221"/>
      <c r="N172" s="221"/>
      <c r="O172" s="300">
        <v>880000</v>
      </c>
      <c r="P172" s="221">
        <v>2499000</v>
      </c>
      <c r="Q172" s="221"/>
      <c r="R172" s="221"/>
      <c r="S172" s="221"/>
      <c r="T172" s="221"/>
      <c r="U172" s="221"/>
      <c r="V172" s="221">
        <v>3500000</v>
      </c>
      <c r="W172" s="221"/>
      <c r="X172" s="221"/>
      <c r="Y172" s="221">
        <v>2640000</v>
      </c>
      <c r="Z172" s="221"/>
      <c r="AA172" s="221"/>
      <c r="AB172" s="221"/>
      <c r="AC172" s="221"/>
      <c r="AD172" s="221"/>
      <c r="AE172" s="221"/>
      <c r="AF172" s="221"/>
      <c r="AG172" s="221"/>
      <c r="AH172" s="221"/>
      <c r="AI172" s="221"/>
      <c r="AJ172" s="221"/>
      <c r="AK172" s="221"/>
      <c r="AL172" s="221"/>
      <c r="AM172" s="221"/>
      <c r="AN172" s="221"/>
      <c r="AO172" s="221"/>
      <c r="AP172" s="221"/>
      <c r="AQ172" s="221"/>
      <c r="AR172" s="221">
        <f t="shared" si="271"/>
        <v>9519000</v>
      </c>
      <c r="AS172" s="224">
        <f t="shared" si="210"/>
        <v>7.0380776340110904E-3</v>
      </c>
      <c r="AT172" s="225">
        <f t="shared" si="270"/>
        <v>4006000</v>
      </c>
      <c r="AU172" s="224">
        <f t="shared" si="211"/>
        <v>29.619223659889094</v>
      </c>
      <c r="AV172" s="220" t="s">
        <v>542</v>
      </c>
      <c r="AW172" s="220" t="s">
        <v>591</v>
      </c>
      <c r="AX172" s="220" t="s">
        <v>4729</v>
      </c>
      <c r="AY172" s="221"/>
      <c r="AZ172" s="221">
        <v>2499000</v>
      </c>
      <c r="BA172" s="300">
        <v>880000</v>
      </c>
      <c r="BB172" s="221"/>
      <c r="BC172" s="221"/>
      <c r="BD172" s="221"/>
      <c r="BE172" s="221">
        <v>3500000</v>
      </c>
      <c r="BF172" s="221">
        <v>2640000</v>
      </c>
    </row>
    <row r="173" spans="2:58" x14ac:dyDescent="0.3">
      <c r="B173" s="288">
        <v>521219</v>
      </c>
      <c r="C173" s="220" t="s">
        <v>53</v>
      </c>
      <c r="D173" s="220"/>
      <c r="E173" s="220"/>
      <c r="F173" s="221">
        <v>2000000</v>
      </c>
      <c r="G173" s="221">
        <v>32000000</v>
      </c>
      <c r="H173" s="221"/>
      <c r="I173" s="221"/>
      <c r="J173" s="221"/>
      <c r="K173" s="221"/>
      <c r="L173" s="221"/>
      <c r="M173" s="221"/>
      <c r="N173" s="221"/>
      <c r="O173" s="221"/>
      <c r="P173" s="221"/>
      <c r="Q173" s="221"/>
      <c r="R173" s="221"/>
      <c r="S173" s="221"/>
      <c r="T173" s="221"/>
      <c r="U173" s="221">
        <v>300383</v>
      </c>
      <c r="V173" s="221">
        <v>302631</v>
      </c>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c r="AR173" s="221">
        <f t="shared" si="271"/>
        <v>603014</v>
      </c>
      <c r="AS173" s="224">
        <f t="shared" si="210"/>
        <v>3.0150700000000003E-3</v>
      </c>
      <c r="AT173" s="225">
        <f t="shared" si="270"/>
        <v>1396986</v>
      </c>
      <c r="AU173" s="224">
        <f t="shared" si="211"/>
        <v>69.849299999999999</v>
      </c>
      <c r="AV173" s="220" t="s">
        <v>542</v>
      </c>
      <c r="AW173" s="220" t="s">
        <v>591</v>
      </c>
      <c r="AX173" s="383" t="s">
        <v>4729</v>
      </c>
      <c r="AY173" s="221"/>
      <c r="AZ173" s="221"/>
      <c r="BA173" s="300"/>
      <c r="BB173" s="221"/>
      <c r="BC173" s="221"/>
      <c r="BD173" s="221">
        <v>300383</v>
      </c>
      <c r="BE173" s="221">
        <v>302631</v>
      </c>
      <c r="BF173" s="221"/>
    </row>
    <row r="174" spans="2:58" x14ac:dyDescent="0.3">
      <c r="B174" s="288">
        <v>522151</v>
      </c>
      <c r="C174" s="220" t="s">
        <v>11</v>
      </c>
      <c r="D174" s="220"/>
      <c r="E174" s="220"/>
      <c r="F174" s="221">
        <v>0</v>
      </c>
      <c r="G174" s="221">
        <v>10000000</v>
      </c>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c r="AR174" s="221">
        <f t="shared" si="271"/>
        <v>0</v>
      </c>
      <c r="AS174" s="224" t="e">
        <f t="shared" si="210"/>
        <v>#DIV/0!</v>
      </c>
      <c r="AT174" s="225">
        <f t="shared" si="270"/>
        <v>0</v>
      </c>
      <c r="AU174" s="224" t="e">
        <f t="shared" si="211"/>
        <v>#DIV/0!</v>
      </c>
      <c r="AV174" s="220" t="s">
        <v>542</v>
      </c>
      <c r="AW174" s="220" t="s">
        <v>591</v>
      </c>
      <c r="AX174" s="220" t="s">
        <v>4729</v>
      </c>
      <c r="AY174" s="221"/>
      <c r="AZ174" s="221"/>
      <c r="BA174" s="300"/>
      <c r="BB174" s="221"/>
      <c r="BC174" s="221"/>
      <c r="BD174" s="221"/>
      <c r="BE174" s="221"/>
      <c r="BF174" s="221"/>
    </row>
    <row r="175" spans="2:58" x14ac:dyDescent="0.3">
      <c r="B175" s="288">
        <v>524111</v>
      </c>
      <c r="C175" s="220" t="s">
        <v>19</v>
      </c>
      <c r="D175" s="220"/>
      <c r="E175" s="220"/>
      <c r="F175" s="221">
        <v>60415000</v>
      </c>
      <c r="G175" s="221">
        <v>120000000</v>
      </c>
      <c r="H175" s="221"/>
      <c r="I175" s="221"/>
      <c r="J175" s="221"/>
      <c r="K175" s="221"/>
      <c r="L175" s="221"/>
      <c r="M175" s="221"/>
      <c r="N175" s="221"/>
      <c r="O175" s="221"/>
      <c r="P175" s="221"/>
      <c r="Q175" s="221">
        <v>524500</v>
      </c>
      <c r="R175" s="221"/>
      <c r="S175" s="221"/>
      <c r="T175" s="221"/>
      <c r="U175" s="221"/>
      <c r="V175" s="221">
        <v>21422224</v>
      </c>
      <c r="W175" s="221">
        <f>4074431+9185000+25208100</f>
        <v>38467531</v>
      </c>
      <c r="X175" s="221"/>
      <c r="Y175" s="221"/>
      <c r="Z175" s="221"/>
      <c r="AA175" s="221"/>
      <c r="AB175" s="221"/>
      <c r="AC175" s="221"/>
      <c r="AD175" s="221"/>
      <c r="AE175" s="221"/>
      <c r="AF175" s="221"/>
      <c r="AG175" s="221"/>
      <c r="AH175" s="221"/>
      <c r="AI175" s="221"/>
      <c r="AJ175" s="221"/>
      <c r="AK175" s="221"/>
      <c r="AL175" s="221"/>
      <c r="AM175" s="221"/>
      <c r="AN175" s="221"/>
      <c r="AO175" s="221"/>
      <c r="AP175" s="221"/>
      <c r="AQ175" s="221"/>
      <c r="AR175" s="221">
        <f t="shared" si="271"/>
        <v>60414255</v>
      </c>
      <c r="AS175" s="224">
        <f t="shared" si="210"/>
        <v>9.999876686253413E-3</v>
      </c>
      <c r="AT175" s="225">
        <f t="shared" si="270"/>
        <v>745</v>
      </c>
      <c r="AU175" s="224">
        <f t="shared" si="211"/>
        <v>1.2331374658611273E-3</v>
      </c>
      <c r="AV175" s="220" t="s">
        <v>542</v>
      </c>
      <c r="AW175" s="220" t="s">
        <v>591</v>
      </c>
      <c r="AX175" s="220" t="s">
        <v>4729</v>
      </c>
      <c r="AY175" s="221"/>
      <c r="AZ175" s="221"/>
      <c r="BA175" s="300"/>
      <c r="BB175" s="221"/>
      <c r="BC175" s="221"/>
      <c r="BD175" s="221"/>
      <c r="BE175" s="221">
        <v>21422224</v>
      </c>
      <c r="BF175" s="221"/>
    </row>
    <row r="176" spans="2:58" x14ac:dyDescent="0.3">
      <c r="B176" s="288">
        <v>524113</v>
      </c>
      <c r="C176" s="220" t="s">
        <v>13</v>
      </c>
      <c r="D176" s="220"/>
      <c r="E176" s="220"/>
      <c r="F176" s="221">
        <v>0</v>
      </c>
      <c r="G176" s="221">
        <v>9000000</v>
      </c>
      <c r="H176" s="221"/>
      <c r="I176" s="221"/>
      <c r="J176" s="221"/>
      <c r="K176" s="221"/>
      <c r="L176" s="221"/>
      <c r="M176" s="221"/>
      <c r="N176" s="221"/>
      <c r="O176" s="221"/>
      <c r="P176" s="221"/>
      <c r="Q176" s="221"/>
      <c r="R176" s="221"/>
      <c r="S176" s="221"/>
      <c r="T176" s="221"/>
      <c r="U176" s="221"/>
      <c r="V176" s="221"/>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c r="AR176" s="221">
        <f t="shared" si="271"/>
        <v>0</v>
      </c>
      <c r="AS176" s="224" t="e">
        <f t="shared" si="210"/>
        <v>#DIV/0!</v>
      </c>
      <c r="AT176" s="225">
        <f t="shared" si="270"/>
        <v>0</v>
      </c>
      <c r="AU176" s="224" t="e">
        <f t="shared" si="211"/>
        <v>#DIV/0!</v>
      </c>
      <c r="AV176" s="220" t="s">
        <v>542</v>
      </c>
      <c r="AW176" s="220" t="s">
        <v>591</v>
      </c>
      <c r="AX176" s="220" t="s">
        <v>4729</v>
      </c>
      <c r="AY176" s="221"/>
      <c r="AZ176" s="221"/>
      <c r="BA176" s="300"/>
      <c r="BB176" s="221"/>
      <c r="BC176" s="221"/>
      <c r="BD176" s="221"/>
      <c r="BE176" s="221"/>
      <c r="BF176" s="221"/>
    </row>
    <row r="177" spans="2:58" x14ac:dyDescent="0.3">
      <c r="B177" s="226">
        <v>302</v>
      </c>
      <c r="C177" s="227" t="s">
        <v>3091</v>
      </c>
      <c r="D177" s="227"/>
      <c r="E177" s="227"/>
      <c r="F177" s="228">
        <f t="shared" ref="F177:AQ177" si="302">F178</f>
        <v>50069000</v>
      </c>
      <c r="G177" s="228">
        <f t="shared" si="302"/>
        <v>126532000</v>
      </c>
      <c r="H177" s="228">
        <f t="shared" si="302"/>
        <v>0</v>
      </c>
      <c r="I177" s="228">
        <f t="shared" si="302"/>
        <v>0</v>
      </c>
      <c r="J177" s="228">
        <f t="shared" si="302"/>
        <v>0</v>
      </c>
      <c r="K177" s="228">
        <f t="shared" si="302"/>
        <v>0</v>
      </c>
      <c r="L177" s="228">
        <f t="shared" si="302"/>
        <v>0</v>
      </c>
      <c r="M177" s="228">
        <f t="shared" si="302"/>
        <v>0</v>
      </c>
      <c r="N177" s="228">
        <f t="shared" si="302"/>
        <v>0</v>
      </c>
      <c r="O177" s="228">
        <f t="shared" si="302"/>
        <v>3350000</v>
      </c>
      <c r="P177" s="228">
        <f t="shared" si="302"/>
        <v>2498000</v>
      </c>
      <c r="Q177" s="228">
        <f t="shared" si="302"/>
        <v>15530000</v>
      </c>
      <c r="R177" s="228">
        <f t="shared" si="302"/>
        <v>0</v>
      </c>
      <c r="S177" s="228">
        <f t="shared" si="302"/>
        <v>0</v>
      </c>
      <c r="T177" s="228">
        <f t="shared" si="302"/>
        <v>0</v>
      </c>
      <c r="U177" s="228">
        <f t="shared" si="302"/>
        <v>0</v>
      </c>
      <c r="V177" s="228">
        <f t="shared" si="302"/>
        <v>4986000</v>
      </c>
      <c r="W177" s="228">
        <f t="shared" si="302"/>
        <v>2118000</v>
      </c>
      <c r="X177" s="228">
        <f t="shared" si="302"/>
        <v>0</v>
      </c>
      <c r="Y177" s="228">
        <f t="shared" si="302"/>
        <v>0</v>
      </c>
      <c r="Z177" s="228">
        <f t="shared" si="302"/>
        <v>0</v>
      </c>
      <c r="AA177" s="228">
        <f t="shared" si="302"/>
        <v>0</v>
      </c>
      <c r="AB177" s="228">
        <f t="shared" si="302"/>
        <v>0</v>
      </c>
      <c r="AC177" s="228">
        <f t="shared" si="302"/>
        <v>0</v>
      </c>
      <c r="AD177" s="228">
        <f t="shared" si="302"/>
        <v>0</v>
      </c>
      <c r="AE177" s="228">
        <f t="shared" si="302"/>
        <v>0</v>
      </c>
      <c r="AF177" s="228">
        <f t="shared" si="302"/>
        <v>0</v>
      </c>
      <c r="AG177" s="228">
        <f t="shared" si="302"/>
        <v>0</v>
      </c>
      <c r="AH177" s="228">
        <f t="shared" si="302"/>
        <v>0</v>
      </c>
      <c r="AI177" s="228">
        <f t="shared" si="302"/>
        <v>0</v>
      </c>
      <c r="AJ177" s="228">
        <f t="shared" si="302"/>
        <v>0</v>
      </c>
      <c r="AK177" s="228">
        <f t="shared" si="302"/>
        <v>0</v>
      </c>
      <c r="AL177" s="228">
        <f t="shared" si="302"/>
        <v>0</v>
      </c>
      <c r="AM177" s="228">
        <f t="shared" si="302"/>
        <v>0</v>
      </c>
      <c r="AN177" s="228">
        <f t="shared" si="302"/>
        <v>0</v>
      </c>
      <c r="AO177" s="228">
        <f t="shared" si="302"/>
        <v>0</v>
      </c>
      <c r="AP177" s="228">
        <f t="shared" si="302"/>
        <v>0</v>
      </c>
      <c r="AQ177" s="228">
        <f t="shared" si="302"/>
        <v>0</v>
      </c>
      <c r="AR177" s="228">
        <f t="shared" ref="AR177" si="303">SUM(H177:AQ177)</f>
        <v>28482000</v>
      </c>
      <c r="AS177" s="229">
        <f t="shared" ref="AS177:AS178" si="304">AR177/F177/100</f>
        <v>5.6885498012742416E-3</v>
      </c>
      <c r="AT177" s="230">
        <f t="shared" ref="AT177:AT178" si="305">F177-AR177</f>
        <v>21587000</v>
      </c>
      <c r="AU177" s="229">
        <f t="shared" ref="AU177:AU178" si="306">AT177/F177*100</f>
        <v>43.114501987257583</v>
      </c>
      <c r="AV177" s="220" t="s">
        <v>542</v>
      </c>
      <c r="AW177" s="220" t="s">
        <v>591</v>
      </c>
      <c r="AX177" s="220" t="s">
        <v>4729</v>
      </c>
      <c r="AY177" s="228">
        <f t="shared" ref="AY177:AZ177" si="307">AY178</f>
        <v>0</v>
      </c>
      <c r="AZ177" s="228">
        <f t="shared" si="307"/>
        <v>2498000</v>
      </c>
      <c r="BA177" s="228">
        <f>BA178</f>
        <v>3350000</v>
      </c>
      <c r="BB177" s="228">
        <f t="shared" ref="BB177:BF177" si="308">BB178</f>
        <v>0</v>
      </c>
      <c r="BC177" s="228">
        <f t="shared" si="308"/>
        <v>0</v>
      </c>
      <c r="BD177" s="228">
        <f t="shared" si="308"/>
        <v>0</v>
      </c>
      <c r="BE177" s="228">
        <f t="shared" si="308"/>
        <v>4986000</v>
      </c>
      <c r="BF177" s="228">
        <f t="shared" si="308"/>
        <v>0</v>
      </c>
    </row>
    <row r="178" spans="2:58" x14ac:dyDescent="0.3">
      <c r="B178" s="290" t="s">
        <v>8</v>
      </c>
      <c r="C178" s="222" t="s">
        <v>178</v>
      </c>
      <c r="D178" s="222"/>
      <c r="E178" s="222"/>
      <c r="F178" s="223">
        <f>SUM(F179:F181)</f>
        <v>50069000</v>
      </c>
      <c r="G178" s="223">
        <f>SUM(G179:G181)</f>
        <v>126532000</v>
      </c>
      <c r="H178" s="223">
        <f t="shared" ref="H178:AQ178" si="309">SUM(H179:H181)</f>
        <v>0</v>
      </c>
      <c r="I178" s="223">
        <f t="shared" si="309"/>
        <v>0</v>
      </c>
      <c r="J178" s="223">
        <f t="shared" si="309"/>
        <v>0</v>
      </c>
      <c r="K178" s="223">
        <f t="shared" si="309"/>
        <v>0</v>
      </c>
      <c r="L178" s="223">
        <f t="shared" si="309"/>
        <v>0</v>
      </c>
      <c r="M178" s="223">
        <f t="shared" si="309"/>
        <v>0</v>
      </c>
      <c r="N178" s="223">
        <f t="shared" si="309"/>
        <v>0</v>
      </c>
      <c r="O178" s="223">
        <f t="shared" si="309"/>
        <v>3350000</v>
      </c>
      <c r="P178" s="223">
        <f t="shared" si="309"/>
        <v>2498000</v>
      </c>
      <c r="Q178" s="223">
        <f t="shared" si="309"/>
        <v>15530000</v>
      </c>
      <c r="R178" s="223">
        <f t="shared" si="309"/>
        <v>0</v>
      </c>
      <c r="S178" s="223">
        <f t="shared" si="309"/>
        <v>0</v>
      </c>
      <c r="T178" s="223">
        <f t="shared" si="309"/>
        <v>0</v>
      </c>
      <c r="U178" s="223">
        <f t="shared" si="309"/>
        <v>0</v>
      </c>
      <c r="V178" s="223">
        <f t="shared" si="309"/>
        <v>4986000</v>
      </c>
      <c r="W178" s="223">
        <f t="shared" si="309"/>
        <v>2118000</v>
      </c>
      <c r="X178" s="223">
        <f t="shared" si="309"/>
        <v>0</v>
      </c>
      <c r="Y178" s="223">
        <f t="shared" si="309"/>
        <v>0</v>
      </c>
      <c r="Z178" s="223">
        <f t="shared" si="309"/>
        <v>0</v>
      </c>
      <c r="AA178" s="223">
        <f t="shared" si="309"/>
        <v>0</v>
      </c>
      <c r="AB178" s="223">
        <f t="shared" si="309"/>
        <v>0</v>
      </c>
      <c r="AC178" s="223">
        <f t="shared" si="309"/>
        <v>0</v>
      </c>
      <c r="AD178" s="223">
        <f t="shared" si="309"/>
        <v>0</v>
      </c>
      <c r="AE178" s="223">
        <f t="shared" si="309"/>
        <v>0</v>
      </c>
      <c r="AF178" s="223">
        <f t="shared" si="309"/>
        <v>0</v>
      </c>
      <c r="AG178" s="223">
        <f t="shared" si="309"/>
        <v>0</v>
      </c>
      <c r="AH178" s="223">
        <f t="shared" si="309"/>
        <v>0</v>
      </c>
      <c r="AI178" s="223">
        <f t="shared" si="309"/>
        <v>0</v>
      </c>
      <c r="AJ178" s="223">
        <f t="shared" si="309"/>
        <v>0</v>
      </c>
      <c r="AK178" s="223">
        <f t="shared" si="309"/>
        <v>0</v>
      </c>
      <c r="AL178" s="223">
        <f t="shared" si="309"/>
        <v>0</v>
      </c>
      <c r="AM178" s="223">
        <f t="shared" si="309"/>
        <v>0</v>
      </c>
      <c r="AN178" s="223">
        <f t="shared" si="309"/>
        <v>0</v>
      </c>
      <c r="AO178" s="223">
        <f t="shared" si="309"/>
        <v>0</v>
      </c>
      <c r="AP178" s="223">
        <f t="shared" si="309"/>
        <v>0</v>
      </c>
      <c r="AQ178" s="223">
        <f t="shared" si="309"/>
        <v>0</v>
      </c>
      <c r="AR178" s="223">
        <f>SUM(H178:AQ178)</f>
        <v>28482000</v>
      </c>
      <c r="AS178" s="231">
        <f t="shared" si="304"/>
        <v>5.6885498012742416E-3</v>
      </c>
      <c r="AT178" s="232">
        <f t="shared" si="305"/>
        <v>21587000</v>
      </c>
      <c r="AU178" s="231">
        <f t="shared" si="306"/>
        <v>43.114501987257583</v>
      </c>
      <c r="AV178" s="220" t="s">
        <v>542</v>
      </c>
      <c r="AW178" s="220" t="s">
        <v>591</v>
      </c>
      <c r="AX178" s="220" t="s">
        <v>4729</v>
      </c>
      <c r="AY178" s="223">
        <f t="shared" ref="AY178:AZ178" si="310">SUM(AY179:AY181)</f>
        <v>0</v>
      </c>
      <c r="AZ178" s="223">
        <f t="shared" si="310"/>
        <v>2498000</v>
      </c>
      <c r="BA178" s="223">
        <f>SUM(BA179:BA181)</f>
        <v>3350000</v>
      </c>
      <c r="BB178" s="223">
        <f t="shared" ref="BB178" si="311">SUM(BB179:BB181)</f>
        <v>0</v>
      </c>
      <c r="BC178" s="223">
        <f t="shared" ref="BC178" si="312">SUM(BC179:BC181)</f>
        <v>0</v>
      </c>
      <c r="BD178" s="223">
        <f t="shared" ref="BD178:BE178" si="313">SUM(BD179:BD181)</f>
        <v>0</v>
      </c>
      <c r="BE178" s="223">
        <f t="shared" si="313"/>
        <v>4986000</v>
      </c>
      <c r="BF178" s="223">
        <f t="shared" ref="BF178" si="314">SUM(BF179:BF181)</f>
        <v>0</v>
      </c>
    </row>
    <row r="179" spans="2:58" x14ac:dyDescent="0.3">
      <c r="B179" s="288">
        <v>521211</v>
      </c>
      <c r="C179" s="220" t="s">
        <v>7</v>
      </c>
      <c r="D179" s="220"/>
      <c r="E179" s="220"/>
      <c r="F179" s="221">
        <v>17900000</v>
      </c>
      <c r="G179" s="221">
        <v>35500000</v>
      </c>
      <c r="H179" s="221"/>
      <c r="I179" s="221"/>
      <c r="J179" s="221"/>
      <c r="K179" s="221"/>
      <c r="L179" s="221"/>
      <c r="M179" s="221"/>
      <c r="N179" s="221"/>
      <c r="O179" s="300">
        <v>860000</v>
      </c>
      <c r="P179" s="221">
        <v>2498000</v>
      </c>
      <c r="Q179" s="221"/>
      <c r="R179" s="221"/>
      <c r="S179" s="221"/>
      <c r="T179" s="221"/>
      <c r="U179" s="221"/>
      <c r="V179" s="221">
        <v>4986000</v>
      </c>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c r="AR179" s="221">
        <f t="shared" si="271"/>
        <v>8344000</v>
      </c>
      <c r="AS179" s="224">
        <f t="shared" si="210"/>
        <v>4.6614525139664804E-3</v>
      </c>
      <c r="AT179" s="225">
        <f t="shared" si="270"/>
        <v>9556000</v>
      </c>
      <c r="AU179" s="224">
        <f t="shared" si="211"/>
        <v>53.385474860335194</v>
      </c>
      <c r="AV179" s="220" t="s">
        <v>542</v>
      </c>
      <c r="AW179" s="220" t="s">
        <v>591</v>
      </c>
      <c r="AX179" s="220" t="s">
        <v>4729</v>
      </c>
      <c r="AY179" s="221"/>
      <c r="AZ179" s="221">
        <v>2498000</v>
      </c>
      <c r="BA179" s="300">
        <v>860000</v>
      </c>
      <c r="BB179" s="221"/>
      <c r="BC179" s="221"/>
      <c r="BD179" s="221"/>
      <c r="BE179" s="221">
        <v>4986000</v>
      </c>
      <c r="BF179" s="221"/>
    </row>
    <row r="180" spans="2:58" x14ac:dyDescent="0.3">
      <c r="B180" s="288">
        <v>521219</v>
      </c>
      <c r="C180" s="220" t="s">
        <v>53</v>
      </c>
      <c r="D180" s="220"/>
      <c r="E180" s="220"/>
      <c r="F180" s="221">
        <v>2000000</v>
      </c>
      <c r="G180" s="221">
        <v>2000000</v>
      </c>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f t="shared" si="271"/>
        <v>0</v>
      </c>
      <c r="AS180" s="224">
        <f t="shared" si="210"/>
        <v>0</v>
      </c>
      <c r="AT180" s="225">
        <f t="shared" si="270"/>
        <v>2000000</v>
      </c>
      <c r="AU180" s="224">
        <f t="shared" si="211"/>
        <v>100</v>
      </c>
      <c r="AV180" s="220" t="s">
        <v>542</v>
      </c>
      <c r="AW180" s="220" t="s">
        <v>591</v>
      </c>
      <c r="AX180" s="220" t="s">
        <v>4729</v>
      </c>
      <c r="AY180" s="221"/>
      <c r="AZ180" s="221"/>
      <c r="BA180" s="300"/>
      <c r="BB180" s="221"/>
      <c r="BC180" s="221"/>
      <c r="BD180" s="221"/>
      <c r="BE180" s="221"/>
      <c r="BF180" s="221"/>
    </row>
    <row r="181" spans="2:58" x14ac:dyDescent="0.3">
      <c r="B181" s="288">
        <v>524111</v>
      </c>
      <c r="C181" s="220" t="s">
        <v>19</v>
      </c>
      <c r="D181" s="220"/>
      <c r="E181" s="220"/>
      <c r="F181" s="221">
        <v>30169000</v>
      </c>
      <c r="G181" s="221">
        <v>89032000</v>
      </c>
      <c r="H181" s="221"/>
      <c r="I181" s="221"/>
      <c r="J181" s="221"/>
      <c r="K181" s="221"/>
      <c r="L181" s="221"/>
      <c r="M181" s="221"/>
      <c r="N181" s="221"/>
      <c r="O181" s="300">
        <v>2490000</v>
      </c>
      <c r="P181" s="221"/>
      <c r="Q181" s="221">
        <f>8760000+4980000+1790000</f>
        <v>15530000</v>
      </c>
      <c r="R181" s="221"/>
      <c r="S181" s="221"/>
      <c r="T181" s="221"/>
      <c r="U181" s="221"/>
      <c r="V181" s="221"/>
      <c r="W181" s="221">
        <v>2118000</v>
      </c>
      <c r="X181" s="221"/>
      <c r="Y181" s="221"/>
      <c r="Z181" s="221"/>
      <c r="AA181" s="221"/>
      <c r="AB181" s="221"/>
      <c r="AC181" s="221"/>
      <c r="AD181" s="221"/>
      <c r="AE181" s="221"/>
      <c r="AF181" s="221"/>
      <c r="AG181" s="221"/>
      <c r="AH181" s="221"/>
      <c r="AI181" s="221"/>
      <c r="AJ181" s="221"/>
      <c r="AK181" s="221"/>
      <c r="AL181" s="221"/>
      <c r="AM181" s="221"/>
      <c r="AN181" s="221"/>
      <c r="AO181" s="221"/>
      <c r="AP181" s="221"/>
      <c r="AQ181" s="221"/>
      <c r="AR181" s="221">
        <f t="shared" si="271"/>
        <v>20138000</v>
      </c>
      <c r="AS181" s="224">
        <f t="shared" si="210"/>
        <v>6.6750638072193315E-3</v>
      </c>
      <c r="AT181" s="225">
        <f t="shared" si="270"/>
        <v>10031000</v>
      </c>
      <c r="AU181" s="224">
        <f t="shared" si="211"/>
        <v>33.249361927806689</v>
      </c>
      <c r="AV181" s="220" t="s">
        <v>542</v>
      </c>
      <c r="AW181" s="220" t="s">
        <v>591</v>
      </c>
      <c r="AX181" s="220" t="s">
        <v>4729</v>
      </c>
      <c r="AY181" s="221"/>
      <c r="AZ181" s="221"/>
      <c r="BA181" s="300">
        <v>2490000</v>
      </c>
      <c r="BB181" s="221"/>
      <c r="BC181" s="221"/>
      <c r="BD181" s="221"/>
      <c r="BE181" s="221"/>
      <c r="BF181" s="221"/>
    </row>
    <row r="182" spans="2:58" x14ac:dyDescent="0.3">
      <c r="B182" s="226" t="s">
        <v>4516</v>
      </c>
      <c r="C182" s="227" t="s">
        <v>3106</v>
      </c>
      <c r="D182" s="227">
        <v>1</v>
      </c>
      <c r="E182" s="227" t="s">
        <v>4315</v>
      </c>
      <c r="F182" s="228">
        <f>F183</f>
        <v>197920000</v>
      </c>
      <c r="G182" s="228">
        <f>G183</f>
        <v>289920000</v>
      </c>
      <c r="H182" s="228">
        <f t="shared" ref="H182:AQ182" si="315">H183</f>
        <v>0</v>
      </c>
      <c r="I182" s="228">
        <f t="shared" si="315"/>
        <v>0</v>
      </c>
      <c r="J182" s="228">
        <f t="shared" si="315"/>
        <v>0</v>
      </c>
      <c r="K182" s="228">
        <f t="shared" si="315"/>
        <v>0</v>
      </c>
      <c r="L182" s="228">
        <f t="shared" si="315"/>
        <v>0</v>
      </c>
      <c r="M182" s="228">
        <f t="shared" si="315"/>
        <v>0</v>
      </c>
      <c r="N182" s="228">
        <f t="shared" si="315"/>
        <v>0</v>
      </c>
      <c r="O182" s="228">
        <f t="shared" si="315"/>
        <v>18269500</v>
      </c>
      <c r="P182" s="228">
        <f t="shared" si="315"/>
        <v>50674500</v>
      </c>
      <c r="Q182" s="228">
        <f t="shared" si="315"/>
        <v>0</v>
      </c>
      <c r="R182" s="228">
        <f t="shared" si="315"/>
        <v>19929200</v>
      </c>
      <c r="S182" s="228">
        <f t="shared" si="315"/>
        <v>0</v>
      </c>
      <c r="T182" s="228">
        <f t="shared" si="315"/>
        <v>0</v>
      </c>
      <c r="U182" s="228">
        <f t="shared" si="315"/>
        <v>19882500</v>
      </c>
      <c r="V182" s="228">
        <f t="shared" si="315"/>
        <v>25762820</v>
      </c>
      <c r="W182" s="228">
        <f t="shared" si="315"/>
        <v>0</v>
      </c>
      <c r="X182" s="228">
        <f t="shared" si="315"/>
        <v>0</v>
      </c>
      <c r="Y182" s="228">
        <f t="shared" si="315"/>
        <v>2030000</v>
      </c>
      <c r="Z182" s="228">
        <f t="shared" si="315"/>
        <v>0</v>
      </c>
      <c r="AA182" s="228">
        <f t="shared" si="315"/>
        <v>0</v>
      </c>
      <c r="AB182" s="228">
        <f t="shared" si="315"/>
        <v>0</v>
      </c>
      <c r="AC182" s="228">
        <f t="shared" si="315"/>
        <v>0</v>
      </c>
      <c r="AD182" s="228">
        <f t="shared" si="315"/>
        <v>0</v>
      </c>
      <c r="AE182" s="228">
        <f t="shared" si="315"/>
        <v>0</v>
      </c>
      <c r="AF182" s="228">
        <f t="shared" si="315"/>
        <v>0</v>
      </c>
      <c r="AG182" s="228">
        <f t="shared" si="315"/>
        <v>0</v>
      </c>
      <c r="AH182" s="228">
        <f t="shared" si="315"/>
        <v>0</v>
      </c>
      <c r="AI182" s="228">
        <f t="shared" si="315"/>
        <v>0</v>
      </c>
      <c r="AJ182" s="228">
        <f t="shared" si="315"/>
        <v>0</v>
      </c>
      <c r="AK182" s="228">
        <f t="shared" si="315"/>
        <v>0</v>
      </c>
      <c r="AL182" s="228">
        <f t="shared" si="315"/>
        <v>0</v>
      </c>
      <c r="AM182" s="228">
        <f t="shared" si="315"/>
        <v>0</v>
      </c>
      <c r="AN182" s="228">
        <f t="shared" si="315"/>
        <v>0</v>
      </c>
      <c r="AO182" s="228">
        <f t="shared" si="315"/>
        <v>0</v>
      </c>
      <c r="AP182" s="228">
        <f t="shared" si="315"/>
        <v>0</v>
      </c>
      <c r="AQ182" s="228">
        <f t="shared" si="315"/>
        <v>0</v>
      </c>
      <c r="AR182" s="228">
        <f t="shared" si="271"/>
        <v>136548520</v>
      </c>
      <c r="AS182" s="229">
        <f t="shared" si="210"/>
        <v>6.8991774454324984E-3</v>
      </c>
      <c r="AT182" s="230">
        <f t="shared" si="270"/>
        <v>61371480</v>
      </c>
      <c r="AU182" s="229">
        <f t="shared" si="211"/>
        <v>31.008225545675021</v>
      </c>
      <c r="AV182" s="220" t="s">
        <v>576</v>
      </c>
      <c r="AW182" s="220" t="s">
        <v>546</v>
      </c>
      <c r="AX182" s="220" t="s">
        <v>4729</v>
      </c>
      <c r="AY182" s="228">
        <f t="shared" ref="AY182:BF182" si="316">AY183</f>
        <v>0</v>
      </c>
      <c r="AZ182" s="228">
        <f t="shared" si="316"/>
        <v>50674500</v>
      </c>
      <c r="BA182" s="228">
        <f t="shared" si="316"/>
        <v>18269500</v>
      </c>
      <c r="BB182" s="228">
        <f t="shared" si="316"/>
        <v>19929200</v>
      </c>
      <c r="BC182" s="228">
        <f t="shared" si="316"/>
        <v>10000000</v>
      </c>
      <c r="BD182" s="228">
        <f t="shared" si="316"/>
        <v>9882500</v>
      </c>
      <c r="BE182" s="228">
        <f t="shared" si="316"/>
        <v>25762820</v>
      </c>
      <c r="BF182" s="228">
        <f t="shared" si="316"/>
        <v>2030000</v>
      </c>
    </row>
    <row r="183" spans="2:58" x14ac:dyDescent="0.3">
      <c r="B183" s="226">
        <v>301</v>
      </c>
      <c r="C183" s="227" t="s">
        <v>3319</v>
      </c>
      <c r="D183" s="227"/>
      <c r="E183" s="227"/>
      <c r="F183" s="228">
        <f t="shared" ref="F183:AQ183" si="317">F184+F187+F190+F193+F197+F200</f>
        <v>197920000</v>
      </c>
      <c r="G183" s="228">
        <f t="shared" ref="G183" si="318">G184+G187+G190+G193+G197+G200</f>
        <v>289920000</v>
      </c>
      <c r="H183" s="228">
        <f t="shared" si="317"/>
        <v>0</v>
      </c>
      <c r="I183" s="228">
        <f t="shared" si="317"/>
        <v>0</v>
      </c>
      <c r="J183" s="228">
        <f t="shared" si="317"/>
        <v>0</v>
      </c>
      <c r="K183" s="228">
        <f t="shared" si="317"/>
        <v>0</v>
      </c>
      <c r="L183" s="228">
        <f t="shared" si="317"/>
        <v>0</v>
      </c>
      <c r="M183" s="228">
        <f t="shared" si="317"/>
        <v>0</v>
      </c>
      <c r="N183" s="228">
        <f t="shared" si="317"/>
        <v>0</v>
      </c>
      <c r="O183" s="228">
        <f t="shared" si="317"/>
        <v>18269500</v>
      </c>
      <c r="P183" s="228">
        <f t="shared" si="317"/>
        <v>50674500</v>
      </c>
      <c r="Q183" s="228">
        <f t="shared" si="317"/>
        <v>0</v>
      </c>
      <c r="R183" s="228">
        <f t="shared" si="317"/>
        <v>19929200</v>
      </c>
      <c r="S183" s="228">
        <f t="shared" si="317"/>
        <v>0</v>
      </c>
      <c r="T183" s="228">
        <f t="shared" si="317"/>
        <v>0</v>
      </c>
      <c r="U183" s="228">
        <f t="shared" si="317"/>
        <v>19882500</v>
      </c>
      <c r="V183" s="228">
        <f t="shared" si="317"/>
        <v>25762820</v>
      </c>
      <c r="W183" s="228">
        <f t="shared" si="317"/>
        <v>0</v>
      </c>
      <c r="X183" s="228">
        <f t="shared" si="317"/>
        <v>0</v>
      </c>
      <c r="Y183" s="228">
        <f t="shared" si="317"/>
        <v>2030000</v>
      </c>
      <c r="Z183" s="228">
        <f t="shared" si="317"/>
        <v>0</v>
      </c>
      <c r="AA183" s="228">
        <f t="shared" si="317"/>
        <v>0</v>
      </c>
      <c r="AB183" s="228">
        <f t="shared" si="317"/>
        <v>0</v>
      </c>
      <c r="AC183" s="228">
        <f t="shared" si="317"/>
        <v>0</v>
      </c>
      <c r="AD183" s="228">
        <f t="shared" si="317"/>
        <v>0</v>
      </c>
      <c r="AE183" s="228">
        <f t="shared" si="317"/>
        <v>0</v>
      </c>
      <c r="AF183" s="228">
        <f t="shared" si="317"/>
        <v>0</v>
      </c>
      <c r="AG183" s="228">
        <f t="shared" si="317"/>
        <v>0</v>
      </c>
      <c r="AH183" s="228">
        <f t="shared" si="317"/>
        <v>0</v>
      </c>
      <c r="AI183" s="228">
        <f t="shared" si="317"/>
        <v>0</v>
      </c>
      <c r="AJ183" s="228">
        <f t="shared" si="317"/>
        <v>0</v>
      </c>
      <c r="AK183" s="228">
        <f t="shared" si="317"/>
        <v>0</v>
      </c>
      <c r="AL183" s="228">
        <f t="shared" si="317"/>
        <v>0</v>
      </c>
      <c r="AM183" s="228">
        <f t="shared" si="317"/>
        <v>0</v>
      </c>
      <c r="AN183" s="228">
        <f t="shared" si="317"/>
        <v>0</v>
      </c>
      <c r="AO183" s="228">
        <f t="shared" si="317"/>
        <v>0</v>
      </c>
      <c r="AP183" s="228">
        <f t="shared" si="317"/>
        <v>0</v>
      </c>
      <c r="AQ183" s="228">
        <f t="shared" si="317"/>
        <v>0</v>
      </c>
      <c r="AR183" s="228">
        <f t="shared" si="271"/>
        <v>136548520</v>
      </c>
      <c r="AS183" s="229">
        <f t="shared" si="210"/>
        <v>6.8991774454324984E-3</v>
      </c>
      <c r="AT183" s="230">
        <f t="shared" si="270"/>
        <v>61371480</v>
      </c>
      <c r="AU183" s="229">
        <f t="shared" si="211"/>
        <v>31.008225545675021</v>
      </c>
      <c r="AV183" s="220" t="s">
        <v>576</v>
      </c>
      <c r="AW183" s="220" t="s">
        <v>546</v>
      </c>
      <c r="AX183" s="220" t="s">
        <v>4729</v>
      </c>
      <c r="AY183" s="228">
        <f>AY184+AY187+AY190+AY193+AY197+AY200</f>
        <v>0</v>
      </c>
      <c r="AZ183" s="228">
        <f>AZ184+AZ187+AZ190+AZ193+AZ197+AZ200</f>
        <v>50674500</v>
      </c>
      <c r="BA183" s="228">
        <f>BA184+BA187+BA190+BA193+BA197+BA200</f>
        <v>18269500</v>
      </c>
      <c r="BB183" s="228">
        <f t="shared" ref="BB183" si="319">BB184+BB187+BB190+BB193+BB197+BB200</f>
        <v>19929200</v>
      </c>
      <c r="BC183" s="228">
        <f t="shared" ref="BC183" si="320">BC184+BC187+BC190+BC193+BC197+BC200</f>
        <v>10000000</v>
      </c>
      <c r="BD183" s="228">
        <f t="shared" ref="BD183:BE183" si="321">BD184+BD187+BD190+BD193+BD197+BD200</f>
        <v>9882500</v>
      </c>
      <c r="BE183" s="228">
        <f t="shared" si="321"/>
        <v>25762820</v>
      </c>
      <c r="BF183" s="228">
        <f t="shared" ref="BF183" si="322">BF184+BF187+BF190+BF193+BF197+BF200</f>
        <v>2030000</v>
      </c>
    </row>
    <row r="184" spans="2:58" x14ac:dyDescent="0.3">
      <c r="B184" s="290" t="s">
        <v>8</v>
      </c>
      <c r="C184" s="222" t="s">
        <v>143</v>
      </c>
      <c r="D184" s="222"/>
      <c r="E184" s="222"/>
      <c r="F184" s="223">
        <f t="shared" ref="F184:AQ184" si="323">SUM(F185:F186)</f>
        <v>27102000</v>
      </c>
      <c r="G184" s="223">
        <f t="shared" ref="G184" si="324">SUM(G185:G186)</f>
        <v>38900000</v>
      </c>
      <c r="H184" s="223">
        <f t="shared" si="323"/>
        <v>0</v>
      </c>
      <c r="I184" s="223">
        <f t="shared" si="323"/>
        <v>0</v>
      </c>
      <c r="J184" s="223">
        <f t="shared" si="323"/>
        <v>0</v>
      </c>
      <c r="K184" s="223">
        <f t="shared" si="323"/>
        <v>0</v>
      </c>
      <c r="L184" s="223">
        <f t="shared" si="323"/>
        <v>0</v>
      </c>
      <c r="M184" s="223">
        <f t="shared" si="323"/>
        <v>0</v>
      </c>
      <c r="N184" s="223">
        <f t="shared" si="323"/>
        <v>0</v>
      </c>
      <c r="O184" s="223">
        <f t="shared" si="323"/>
        <v>2450000</v>
      </c>
      <c r="P184" s="223">
        <f t="shared" si="323"/>
        <v>3275000</v>
      </c>
      <c r="Q184" s="223">
        <f t="shared" si="323"/>
        <v>0</v>
      </c>
      <c r="R184" s="223">
        <f t="shared" si="323"/>
        <v>2446000</v>
      </c>
      <c r="S184" s="223">
        <f t="shared" si="323"/>
        <v>0</v>
      </c>
      <c r="T184" s="223">
        <f t="shared" si="323"/>
        <v>0</v>
      </c>
      <c r="U184" s="223">
        <f t="shared" si="323"/>
        <v>1810000</v>
      </c>
      <c r="V184" s="223">
        <f t="shared" si="323"/>
        <v>12551552</v>
      </c>
      <c r="W184" s="223">
        <f t="shared" si="323"/>
        <v>0</v>
      </c>
      <c r="X184" s="223">
        <f t="shared" si="323"/>
        <v>0</v>
      </c>
      <c r="Y184" s="223">
        <f t="shared" si="323"/>
        <v>0</v>
      </c>
      <c r="Z184" s="223">
        <f t="shared" si="323"/>
        <v>0</v>
      </c>
      <c r="AA184" s="223">
        <f t="shared" si="323"/>
        <v>0</v>
      </c>
      <c r="AB184" s="223">
        <f t="shared" si="323"/>
        <v>0</v>
      </c>
      <c r="AC184" s="223">
        <f t="shared" si="323"/>
        <v>0</v>
      </c>
      <c r="AD184" s="223">
        <f t="shared" si="323"/>
        <v>0</v>
      </c>
      <c r="AE184" s="223">
        <f t="shared" si="323"/>
        <v>0</v>
      </c>
      <c r="AF184" s="223">
        <f t="shared" si="323"/>
        <v>0</v>
      </c>
      <c r="AG184" s="223">
        <f t="shared" si="323"/>
        <v>0</v>
      </c>
      <c r="AH184" s="223">
        <f t="shared" si="323"/>
        <v>0</v>
      </c>
      <c r="AI184" s="223">
        <f t="shared" si="323"/>
        <v>0</v>
      </c>
      <c r="AJ184" s="223">
        <f t="shared" si="323"/>
        <v>0</v>
      </c>
      <c r="AK184" s="223">
        <f t="shared" si="323"/>
        <v>0</v>
      </c>
      <c r="AL184" s="223">
        <f t="shared" si="323"/>
        <v>0</v>
      </c>
      <c r="AM184" s="223">
        <f t="shared" si="323"/>
        <v>0</v>
      </c>
      <c r="AN184" s="223">
        <f t="shared" si="323"/>
        <v>0</v>
      </c>
      <c r="AO184" s="223">
        <f t="shared" si="323"/>
        <v>0</v>
      </c>
      <c r="AP184" s="223">
        <f t="shared" si="323"/>
        <v>0</v>
      </c>
      <c r="AQ184" s="223">
        <f t="shared" si="323"/>
        <v>0</v>
      </c>
      <c r="AR184" s="223">
        <f t="shared" si="271"/>
        <v>22532552</v>
      </c>
      <c r="AS184" s="231">
        <f t="shared" si="210"/>
        <v>8.3139812559958667E-3</v>
      </c>
      <c r="AT184" s="232">
        <f t="shared" si="270"/>
        <v>4569448</v>
      </c>
      <c r="AU184" s="231">
        <f t="shared" si="211"/>
        <v>16.860187440041326</v>
      </c>
      <c r="AV184" s="220" t="s">
        <v>576</v>
      </c>
      <c r="AW184" s="220" t="s">
        <v>546</v>
      </c>
      <c r="AX184" s="220" t="s">
        <v>4729</v>
      </c>
      <c r="AY184" s="223">
        <f>SUM(AY185:AY186)</f>
        <v>0</v>
      </c>
      <c r="AZ184" s="223">
        <f>SUM(AZ185:AZ186)</f>
        <v>3275000</v>
      </c>
      <c r="BA184" s="223">
        <f>SUM(BA185:BA186)</f>
        <v>2450000</v>
      </c>
      <c r="BB184" s="223">
        <f t="shared" ref="BB184" si="325">SUM(BB185:BB186)</f>
        <v>2446000</v>
      </c>
      <c r="BC184" s="223">
        <f t="shared" ref="BC184" si="326">SUM(BC185:BC186)</f>
        <v>1810000</v>
      </c>
      <c r="BD184" s="223">
        <f t="shared" ref="BD184:BE184" si="327">SUM(BD185:BD186)</f>
        <v>0</v>
      </c>
      <c r="BE184" s="223">
        <f t="shared" si="327"/>
        <v>12551552</v>
      </c>
      <c r="BF184" s="223">
        <f t="shared" ref="BF184" si="328">SUM(BF185:BF186)</f>
        <v>0</v>
      </c>
    </row>
    <row r="185" spans="2:58" x14ac:dyDescent="0.3">
      <c r="B185" s="288">
        <v>521211</v>
      </c>
      <c r="C185" s="220" t="s">
        <v>7</v>
      </c>
      <c r="D185" s="220"/>
      <c r="E185" s="220"/>
      <c r="F185" s="221">
        <v>18400000</v>
      </c>
      <c r="G185" s="221">
        <v>23900000</v>
      </c>
      <c r="H185" s="221"/>
      <c r="I185" s="221"/>
      <c r="J185" s="221"/>
      <c r="K185" s="221"/>
      <c r="L185" s="221"/>
      <c r="M185" s="221"/>
      <c r="N185" s="221"/>
      <c r="O185" s="300">
        <v>2450000</v>
      </c>
      <c r="P185" s="221">
        <v>3275000</v>
      </c>
      <c r="Q185" s="221"/>
      <c r="R185" s="221">
        <v>2446000</v>
      </c>
      <c r="S185" s="221"/>
      <c r="T185" s="221"/>
      <c r="U185" s="221">
        <f>1810000</f>
        <v>1810000</v>
      </c>
      <c r="V185" s="221">
        <v>3850000</v>
      </c>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c r="AR185" s="221">
        <f t="shared" si="271"/>
        <v>13831000</v>
      </c>
      <c r="AS185" s="224">
        <f t="shared" si="210"/>
        <v>7.5168478260869568E-3</v>
      </c>
      <c r="AT185" s="225">
        <f t="shared" si="270"/>
        <v>4569000</v>
      </c>
      <c r="AU185" s="224">
        <f t="shared" si="211"/>
        <v>24.831521739130437</v>
      </c>
      <c r="AV185" s="220" t="s">
        <v>576</v>
      </c>
      <c r="AW185" s="220" t="s">
        <v>546</v>
      </c>
      <c r="AX185" s="220" t="s">
        <v>4729</v>
      </c>
      <c r="AY185" s="221"/>
      <c r="AZ185" s="221">
        <v>3275000</v>
      </c>
      <c r="BA185" s="300">
        <v>2450000</v>
      </c>
      <c r="BB185" s="221">
        <v>2446000</v>
      </c>
      <c r="BC185" s="221">
        <v>1810000</v>
      </c>
      <c r="BD185" s="221"/>
      <c r="BE185" s="221">
        <v>3850000</v>
      </c>
      <c r="BF185" s="221"/>
    </row>
    <row r="186" spans="2:58" x14ac:dyDescent="0.3">
      <c r="B186" s="288">
        <v>524111</v>
      </c>
      <c r="C186" s="220" t="s">
        <v>19</v>
      </c>
      <c r="D186" s="220"/>
      <c r="E186" s="220"/>
      <c r="F186" s="221">
        <v>8702000</v>
      </c>
      <c r="G186" s="221">
        <v>15000000</v>
      </c>
      <c r="H186" s="221"/>
      <c r="I186" s="221"/>
      <c r="J186" s="221"/>
      <c r="K186" s="221"/>
      <c r="L186" s="221"/>
      <c r="M186" s="221"/>
      <c r="N186" s="221"/>
      <c r="O186" s="221"/>
      <c r="P186" s="221"/>
      <c r="Q186" s="221"/>
      <c r="R186" s="221"/>
      <c r="S186" s="221"/>
      <c r="T186" s="221"/>
      <c r="U186" s="221"/>
      <c r="V186" s="221">
        <v>8701552</v>
      </c>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c r="AR186" s="221">
        <f t="shared" si="271"/>
        <v>8701552</v>
      </c>
      <c r="AS186" s="224">
        <f t="shared" si="210"/>
        <v>9.9994851758216496E-3</v>
      </c>
      <c r="AT186" s="225">
        <f t="shared" si="270"/>
        <v>448</v>
      </c>
      <c r="AU186" s="224">
        <f t="shared" si="211"/>
        <v>5.1482417834980464E-3</v>
      </c>
      <c r="AV186" s="220" t="s">
        <v>576</v>
      </c>
      <c r="AW186" s="220" t="s">
        <v>546</v>
      </c>
      <c r="AX186" s="220" t="s">
        <v>4729</v>
      </c>
      <c r="AY186" s="221"/>
      <c r="AZ186" s="221"/>
      <c r="BA186" s="300"/>
      <c r="BB186" s="221"/>
      <c r="BC186" s="221"/>
      <c r="BD186" s="221"/>
      <c r="BE186" s="221">
        <v>8701552</v>
      </c>
      <c r="BF186" s="221"/>
    </row>
    <row r="187" spans="2:58" x14ac:dyDescent="0.3">
      <c r="B187" s="290" t="s">
        <v>511</v>
      </c>
      <c r="C187" s="222" t="s">
        <v>144</v>
      </c>
      <c r="D187" s="222"/>
      <c r="E187" s="222"/>
      <c r="F187" s="223">
        <f t="shared" ref="F187:AQ187" si="329">SUM(F188:F189)</f>
        <v>12850000</v>
      </c>
      <c r="G187" s="223">
        <f t="shared" ref="G187" si="330">SUM(G188:G189)</f>
        <v>29400000</v>
      </c>
      <c r="H187" s="223">
        <f t="shared" si="329"/>
        <v>0</v>
      </c>
      <c r="I187" s="223">
        <f t="shared" si="329"/>
        <v>0</v>
      </c>
      <c r="J187" s="223">
        <f t="shared" si="329"/>
        <v>0</v>
      </c>
      <c r="K187" s="223">
        <f t="shared" si="329"/>
        <v>0</v>
      </c>
      <c r="L187" s="223">
        <f t="shared" si="329"/>
        <v>0</v>
      </c>
      <c r="M187" s="223">
        <f t="shared" si="329"/>
        <v>0</v>
      </c>
      <c r="N187" s="223">
        <f t="shared" si="329"/>
        <v>0</v>
      </c>
      <c r="O187" s="223">
        <f t="shared" si="329"/>
        <v>0</v>
      </c>
      <c r="P187" s="223">
        <f t="shared" si="329"/>
        <v>5350000</v>
      </c>
      <c r="Q187" s="223">
        <f t="shared" si="329"/>
        <v>0</v>
      </c>
      <c r="R187" s="223">
        <f t="shared" si="329"/>
        <v>0</v>
      </c>
      <c r="S187" s="223">
        <f t="shared" si="329"/>
        <v>0</v>
      </c>
      <c r="T187" s="223">
        <f t="shared" si="329"/>
        <v>0</v>
      </c>
      <c r="U187" s="223">
        <f t="shared" si="329"/>
        <v>2444000</v>
      </c>
      <c r="V187" s="223">
        <f t="shared" si="329"/>
        <v>0</v>
      </c>
      <c r="W187" s="223">
        <f t="shared" si="329"/>
        <v>0</v>
      </c>
      <c r="X187" s="223">
        <f t="shared" si="329"/>
        <v>0</v>
      </c>
      <c r="Y187" s="223">
        <f t="shared" si="329"/>
        <v>0</v>
      </c>
      <c r="Z187" s="223">
        <f t="shared" si="329"/>
        <v>0</v>
      </c>
      <c r="AA187" s="223">
        <f t="shared" si="329"/>
        <v>0</v>
      </c>
      <c r="AB187" s="223">
        <f t="shared" si="329"/>
        <v>0</v>
      </c>
      <c r="AC187" s="223">
        <f t="shared" si="329"/>
        <v>0</v>
      </c>
      <c r="AD187" s="223">
        <f t="shared" si="329"/>
        <v>0</v>
      </c>
      <c r="AE187" s="223">
        <f t="shared" si="329"/>
        <v>0</v>
      </c>
      <c r="AF187" s="223">
        <f t="shared" si="329"/>
        <v>0</v>
      </c>
      <c r="AG187" s="223">
        <f t="shared" si="329"/>
        <v>0</v>
      </c>
      <c r="AH187" s="223">
        <f t="shared" si="329"/>
        <v>0</v>
      </c>
      <c r="AI187" s="223">
        <f t="shared" si="329"/>
        <v>0</v>
      </c>
      <c r="AJ187" s="223">
        <f t="shared" si="329"/>
        <v>0</v>
      </c>
      <c r="AK187" s="223">
        <f t="shared" si="329"/>
        <v>0</v>
      </c>
      <c r="AL187" s="223">
        <f t="shared" si="329"/>
        <v>0</v>
      </c>
      <c r="AM187" s="223">
        <f t="shared" si="329"/>
        <v>0</v>
      </c>
      <c r="AN187" s="223">
        <f t="shared" si="329"/>
        <v>0</v>
      </c>
      <c r="AO187" s="223">
        <f t="shared" si="329"/>
        <v>0</v>
      </c>
      <c r="AP187" s="223">
        <f t="shared" si="329"/>
        <v>0</v>
      </c>
      <c r="AQ187" s="223">
        <f t="shared" si="329"/>
        <v>0</v>
      </c>
      <c r="AR187" s="223">
        <f t="shared" si="271"/>
        <v>7794000</v>
      </c>
      <c r="AS187" s="231">
        <f t="shared" si="210"/>
        <v>6.0653696498054474E-3</v>
      </c>
      <c r="AT187" s="232">
        <f t="shared" si="270"/>
        <v>5056000</v>
      </c>
      <c r="AU187" s="231">
        <f t="shared" si="211"/>
        <v>39.346303501945521</v>
      </c>
      <c r="AV187" s="220" t="s">
        <v>576</v>
      </c>
      <c r="AW187" s="220" t="s">
        <v>546</v>
      </c>
      <c r="AX187" s="220" t="s">
        <v>4729</v>
      </c>
      <c r="AY187" s="223">
        <f>SUM(AY188:AY189)</f>
        <v>0</v>
      </c>
      <c r="AZ187" s="223">
        <f>SUM(AZ188:AZ189)</f>
        <v>5350000</v>
      </c>
      <c r="BA187" s="223">
        <f>SUM(BA188:BA189)</f>
        <v>0</v>
      </c>
      <c r="BB187" s="223">
        <f t="shared" ref="BB187" si="331">SUM(BB188:BB189)</f>
        <v>0</v>
      </c>
      <c r="BC187" s="223">
        <f t="shared" ref="BC187" si="332">SUM(BC188:BC189)</f>
        <v>0</v>
      </c>
      <c r="BD187" s="223">
        <f t="shared" ref="BD187:BE187" si="333">SUM(BD188:BD189)</f>
        <v>2444000</v>
      </c>
      <c r="BE187" s="223">
        <f t="shared" si="333"/>
        <v>0</v>
      </c>
      <c r="BF187" s="223">
        <f t="shared" ref="BF187" si="334">SUM(BF188:BF189)</f>
        <v>0</v>
      </c>
    </row>
    <row r="188" spans="2:58" x14ac:dyDescent="0.3">
      <c r="B188" s="288">
        <v>521211</v>
      </c>
      <c r="C188" s="220" t="s">
        <v>7</v>
      </c>
      <c r="D188" s="220"/>
      <c r="E188" s="220"/>
      <c r="F188" s="221">
        <v>7500000</v>
      </c>
      <c r="G188" s="221">
        <v>11400000</v>
      </c>
      <c r="H188" s="221"/>
      <c r="I188" s="221"/>
      <c r="J188" s="221"/>
      <c r="K188" s="221"/>
      <c r="L188" s="221"/>
      <c r="M188" s="221"/>
      <c r="N188" s="221"/>
      <c r="O188" s="221"/>
      <c r="P188" s="221">
        <v>2500000</v>
      </c>
      <c r="Q188" s="221"/>
      <c r="R188" s="221"/>
      <c r="S188" s="221"/>
      <c r="T188" s="221"/>
      <c r="U188" s="221">
        <v>2444000</v>
      </c>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c r="AR188" s="221">
        <f t="shared" si="271"/>
        <v>4944000</v>
      </c>
      <c r="AS188" s="224">
        <f t="shared" si="210"/>
        <v>6.5919999999999998E-3</v>
      </c>
      <c r="AT188" s="225">
        <f t="shared" si="270"/>
        <v>2556000</v>
      </c>
      <c r="AU188" s="224">
        <f t="shared" si="211"/>
        <v>34.08</v>
      </c>
      <c r="AV188" s="220" t="s">
        <v>576</v>
      </c>
      <c r="AW188" s="220" t="s">
        <v>546</v>
      </c>
      <c r="AX188" s="220" t="s">
        <v>4729</v>
      </c>
      <c r="AY188" s="221"/>
      <c r="AZ188" s="221">
        <v>2500000</v>
      </c>
      <c r="BA188" s="300"/>
      <c r="BB188" s="221"/>
      <c r="BC188" s="221"/>
      <c r="BD188" s="221">
        <v>2444000</v>
      </c>
      <c r="BE188" s="221"/>
      <c r="BF188" s="221"/>
    </row>
    <row r="189" spans="2:58" x14ac:dyDescent="0.3">
      <c r="B189" s="288">
        <v>524111</v>
      </c>
      <c r="C189" s="220" t="s">
        <v>19</v>
      </c>
      <c r="D189" s="220"/>
      <c r="E189" s="220"/>
      <c r="F189" s="221">
        <v>5350000</v>
      </c>
      <c r="G189" s="221">
        <v>18000000</v>
      </c>
      <c r="H189" s="221"/>
      <c r="I189" s="221"/>
      <c r="J189" s="221"/>
      <c r="K189" s="221"/>
      <c r="L189" s="221"/>
      <c r="M189" s="221"/>
      <c r="N189" s="221"/>
      <c r="O189" s="221"/>
      <c r="P189" s="221">
        <v>2850000</v>
      </c>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c r="AR189" s="221">
        <f t="shared" si="271"/>
        <v>2850000</v>
      </c>
      <c r="AS189" s="224">
        <f t="shared" si="210"/>
        <v>5.3271028037383174E-3</v>
      </c>
      <c r="AT189" s="225">
        <f t="shared" si="270"/>
        <v>2500000</v>
      </c>
      <c r="AU189" s="224">
        <f t="shared" si="211"/>
        <v>46.728971962616825</v>
      </c>
      <c r="AV189" s="220" t="s">
        <v>576</v>
      </c>
      <c r="AW189" s="220" t="s">
        <v>546</v>
      </c>
      <c r="AX189" s="220" t="s">
        <v>4729</v>
      </c>
      <c r="AY189" s="221"/>
      <c r="AZ189" s="221">
        <v>2850000</v>
      </c>
      <c r="BA189" s="300"/>
      <c r="BB189" s="221"/>
      <c r="BC189" s="221"/>
      <c r="BD189" s="221"/>
      <c r="BE189" s="221"/>
      <c r="BF189" s="221"/>
    </row>
    <row r="190" spans="2:58" x14ac:dyDescent="0.3">
      <c r="B190" s="290" t="s">
        <v>512</v>
      </c>
      <c r="C190" s="222" t="s">
        <v>145</v>
      </c>
      <c r="D190" s="222"/>
      <c r="E190" s="222"/>
      <c r="F190" s="223">
        <f t="shared" ref="F190:AQ190" si="335">SUM(F191:F192)</f>
        <v>7500000</v>
      </c>
      <c r="G190" s="223">
        <f t="shared" ref="G190" si="336">SUM(G191:G192)</f>
        <v>25000000</v>
      </c>
      <c r="H190" s="223">
        <f t="shared" si="335"/>
        <v>0</v>
      </c>
      <c r="I190" s="223">
        <f t="shared" si="335"/>
        <v>0</v>
      </c>
      <c r="J190" s="223">
        <f t="shared" si="335"/>
        <v>0</v>
      </c>
      <c r="K190" s="223">
        <f t="shared" si="335"/>
        <v>0</v>
      </c>
      <c r="L190" s="223">
        <f t="shared" si="335"/>
        <v>0</v>
      </c>
      <c r="M190" s="223">
        <f t="shared" si="335"/>
        <v>0</v>
      </c>
      <c r="N190" s="223">
        <f t="shared" si="335"/>
        <v>0</v>
      </c>
      <c r="O190" s="223">
        <f t="shared" si="335"/>
        <v>2469500</v>
      </c>
      <c r="P190" s="223">
        <f t="shared" si="335"/>
        <v>0</v>
      </c>
      <c r="Q190" s="223">
        <f t="shared" si="335"/>
        <v>0</v>
      </c>
      <c r="R190" s="223">
        <f t="shared" si="335"/>
        <v>0</v>
      </c>
      <c r="S190" s="223">
        <f t="shared" si="335"/>
        <v>0</v>
      </c>
      <c r="T190" s="223">
        <f t="shared" si="335"/>
        <v>0</v>
      </c>
      <c r="U190" s="223">
        <f t="shared" si="335"/>
        <v>2499000</v>
      </c>
      <c r="V190" s="223">
        <f t="shared" si="335"/>
        <v>0</v>
      </c>
      <c r="W190" s="223">
        <f t="shared" si="335"/>
        <v>0</v>
      </c>
      <c r="X190" s="223">
        <f t="shared" si="335"/>
        <v>0</v>
      </c>
      <c r="Y190" s="223">
        <f t="shared" si="335"/>
        <v>0</v>
      </c>
      <c r="Z190" s="223">
        <f t="shared" si="335"/>
        <v>0</v>
      </c>
      <c r="AA190" s="223">
        <f t="shared" si="335"/>
        <v>0</v>
      </c>
      <c r="AB190" s="223">
        <f t="shared" si="335"/>
        <v>0</v>
      </c>
      <c r="AC190" s="223">
        <f t="shared" si="335"/>
        <v>0</v>
      </c>
      <c r="AD190" s="223">
        <f t="shared" si="335"/>
        <v>0</v>
      </c>
      <c r="AE190" s="223">
        <f t="shared" si="335"/>
        <v>0</v>
      </c>
      <c r="AF190" s="223">
        <f t="shared" si="335"/>
        <v>0</v>
      </c>
      <c r="AG190" s="223">
        <f t="shared" si="335"/>
        <v>0</v>
      </c>
      <c r="AH190" s="223">
        <f t="shared" si="335"/>
        <v>0</v>
      </c>
      <c r="AI190" s="223">
        <f t="shared" si="335"/>
        <v>0</v>
      </c>
      <c r="AJ190" s="223">
        <f t="shared" si="335"/>
        <v>0</v>
      </c>
      <c r="AK190" s="223">
        <f t="shared" si="335"/>
        <v>0</v>
      </c>
      <c r="AL190" s="223">
        <f t="shared" si="335"/>
        <v>0</v>
      </c>
      <c r="AM190" s="223">
        <f t="shared" si="335"/>
        <v>0</v>
      </c>
      <c r="AN190" s="223">
        <f t="shared" si="335"/>
        <v>0</v>
      </c>
      <c r="AO190" s="223">
        <f t="shared" si="335"/>
        <v>0</v>
      </c>
      <c r="AP190" s="223">
        <f t="shared" si="335"/>
        <v>0</v>
      </c>
      <c r="AQ190" s="223">
        <f t="shared" si="335"/>
        <v>0</v>
      </c>
      <c r="AR190" s="223">
        <f t="shared" ref="AR190:AR230" si="337">SUM(H190:AQ190)</f>
        <v>4968500</v>
      </c>
      <c r="AS190" s="231">
        <f t="shared" ref="AS190:AS231" si="338">AR190/F190/100</f>
        <v>6.6246666666666667E-3</v>
      </c>
      <c r="AT190" s="232">
        <f t="shared" ref="AT190:AT231" si="339">F190-AR190</f>
        <v>2531500</v>
      </c>
      <c r="AU190" s="231">
        <f t="shared" ref="AU190:AU231" si="340">AT190/F190*100</f>
        <v>33.753333333333337</v>
      </c>
      <c r="AV190" s="220" t="s">
        <v>576</v>
      </c>
      <c r="AW190" s="220" t="s">
        <v>546</v>
      </c>
      <c r="AX190" s="220" t="s">
        <v>4729</v>
      </c>
      <c r="AY190" s="223">
        <f>SUM(AY191:AY192)</f>
        <v>0</v>
      </c>
      <c r="AZ190" s="223">
        <f>SUM(AZ191:AZ192)</f>
        <v>0</v>
      </c>
      <c r="BA190" s="223">
        <f>SUM(BA191:BA192)</f>
        <v>2469500</v>
      </c>
      <c r="BB190" s="223">
        <f t="shared" ref="BB190" si="341">SUM(BB191:BB192)</f>
        <v>0</v>
      </c>
      <c r="BC190" s="223">
        <f t="shared" ref="BC190" si="342">SUM(BC191:BC192)</f>
        <v>0</v>
      </c>
      <c r="BD190" s="223">
        <f t="shared" ref="BD190:BE190" si="343">SUM(BD191:BD192)</f>
        <v>2499000</v>
      </c>
      <c r="BE190" s="223">
        <f t="shared" si="343"/>
        <v>0</v>
      </c>
      <c r="BF190" s="223">
        <f t="shared" ref="BF190" si="344">SUM(BF191:BF192)</f>
        <v>0</v>
      </c>
    </row>
    <row r="191" spans="2:58" x14ac:dyDescent="0.3">
      <c r="B191" s="288">
        <v>521211</v>
      </c>
      <c r="C191" s="220" t="s">
        <v>7</v>
      </c>
      <c r="D191" s="220"/>
      <c r="E191" s="220"/>
      <c r="F191" s="221">
        <v>7500000</v>
      </c>
      <c r="G191" s="221">
        <v>10000000</v>
      </c>
      <c r="H191" s="221"/>
      <c r="I191" s="221"/>
      <c r="J191" s="221"/>
      <c r="K191" s="221"/>
      <c r="L191" s="221"/>
      <c r="M191" s="221"/>
      <c r="N191" s="221"/>
      <c r="O191" s="300">
        <v>2469500</v>
      </c>
      <c r="P191" s="221"/>
      <c r="Q191" s="221"/>
      <c r="R191" s="221"/>
      <c r="S191" s="221"/>
      <c r="T191" s="221"/>
      <c r="U191" s="221">
        <v>2499000</v>
      </c>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c r="AR191" s="221">
        <f t="shared" si="337"/>
        <v>4968500</v>
      </c>
      <c r="AS191" s="224">
        <f t="shared" si="338"/>
        <v>6.6246666666666667E-3</v>
      </c>
      <c r="AT191" s="225">
        <f t="shared" si="339"/>
        <v>2531500</v>
      </c>
      <c r="AU191" s="224">
        <f t="shared" si="340"/>
        <v>33.753333333333337</v>
      </c>
      <c r="AV191" s="220" t="s">
        <v>576</v>
      </c>
      <c r="AW191" s="220" t="s">
        <v>546</v>
      </c>
      <c r="AX191" s="220" t="s">
        <v>4729</v>
      </c>
      <c r="AY191" s="221"/>
      <c r="AZ191" s="221"/>
      <c r="BA191" s="300">
        <v>2469500</v>
      </c>
      <c r="BB191" s="221"/>
      <c r="BC191" s="221"/>
      <c r="BD191" s="221">
        <v>2499000</v>
      </c>
      <c r="BE191" s="221"/>
      <c r="BF191" s="221"/>
    </row>
    <row r="192" spans="2:58" x14ac:dyDescent="0.3">
      <c r="B192" s="288">
        <v>524111</v>
      </c>
      <c r="C192" s="220" t="s">
        <v>19</v>
      </c>
      <c r="D192" s="220"/>
      <c r="E192" s="220"/>
      <c r="F192" s="221">
        <v>0</v>
      </c>
      <c r="G192" s="221">
        <v>15000000</v>
      </c>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c r="AR192" s="221">
        <f t="shared" si="337"/>
        <v>0</v>
      </c>
      <c r="AS192" s="224" t="e">
        <f t="shared" si="338"/>
        <v>#DIV/0!</v>
      </c>
      <c r="AT192" s="225">
        <f t="shared" si="339"/>
        <v>0</v>
      </c>
      <c r="AU192" s="224" t="e">
        <f t="shared" si="340"/>
        <v>#DIV/0!</v>
      </c>
      <c r="AV192" s="220" t="s">
        <v>576</v>
      </c>
      <c r="AW192" s="220" t="s">
        <v>546</v>
      </c>
      <c r="AX192" s="220" t="s">
        <v>4729</v>
      </c>
      <c r="AY192" s="221"/>
      <c r="AZ192" s="221"/>
      <c r="BA192" s="300"/>
      <c r="BB192" s="221"/>
      <c r="BC192" s="221"/>
      <c r="BD192" s="221"/>
      <c r="BE192" s="221"/>
      <c r="BF192" s="221"/>
    </row>
    <row r="193" spans="2:62" x14ac:dyDescent="0.3">
      <c r="B193" s="290" t="s">
        <v>514</v>
      </c>
      <c r="C193" s="222" t="s">
        <v>3350</v>
      </c>
      <c r="D193" s="222"/>
      <c r="E193" s="222"/>
      <c r="F193" s="223">
        <f t="shared" ref="F193:AQ193" si="345">SUM(F194:F196)</f>
        <v>34635000</v>
      </c>
      <c r="G193" s="223">
        <f t="shared" ref="G193" si="346">SUM(G194:G196)</f>
        <v>80940000</v>
      </c>
      <c r="H193" s="223">
        <f t="shared" si="345"/>
        <v>0</v>
      </c>
      <c r="I193" s="223">
        <f t="shared" si="345"/>
        <v>0</v>
      </c>
      <c r="J193" s="223">
        <f t="shared" si="345"/>
        <v>0</v>
      </c>
      <c r="K193" s="223">
        <f t="shared" si="345"/>
        <v>0</v>
      </c>
      <c r="L193" s="223">
        <f t="shared" si="345"/>
        <v>0</v>
      </c>
      <c r="M193" s="223">
        <f t="shared" si="345"/>
        <v>0</v>
      </c>
      <c r="N193" s="223">
        <f t="shared" si="345"/>
        <v>0</v>
      </c>
      <c r="O193" s="223">
        <f t="shared" si="345"/>
        <v>0</v>
      </c>
      <c r="P193" s="223">
        <f t="shared" si="345"/>
        <v>2500000</v>
      </c>
      <c r="Q193" s="223">
        <f t="shared" si="345"/>
        <v>0</v>
      </c>
      <c r="R193" s="223">
        <f t="shared" si="345"/>
        <v>14993200</v>
      </c>
      <c r="S193" s="223">
        <f t="shared" si="345"/>
        <v>0</v>
      </c>
      <c r="T193" s="223">
        <f t="shared" si="345"/>
        <v>0</v>
      </c>
      <c r="U193" s="223">
        <f t="shared" si="345"/>
        <v>5085000</v>
      </c>
      <c r="V193" s="223">
        <f t="shared" si="345"/>
        <v>9041268</v>
      </c>
      <c r="W193" s="223">
        <f t="shared" si="345"/>
        <v>0</v>
      </c>
      <c r="X193" s="223">
        <f t="shared" si="345"/>
        <v>0</v>
      </c>
      <c r="Y193" s="223">
        <f t="shared" si="345"/>
        <v>0</v>
      </c>
      <c r="Z193" s="223">
        <f t="shared" si="345"/>
        <v>0</v>
      </c>
      <c r="AA193" s="223">
        <f t="shared" si="345"/>
        <v>0</v>
      </c>
      <c r="AB193" s="223">
        <f t="shared" si="345"/>
        <v>0</v>
      </c>
      <c r="AC193" s="223">
        <f t="shared" si="345"/>
        <v>0</v>
      </c>
      <c r="AD193" s="223">
        <f t="shared" si="345"/>
        <v>0</v>
      </c>
      <c r="AE193" s="223">
        <f t="shared" si="345"/>
        <v>0</v>
      </c>
      <c r="AF193" s="223">
        <f t="shared" si="345"/>
        <v>0</v>
      </c>
      <c r="AG193" s="223">
        <f t="shared" si="345"/>
        <v>0</v>
      </c>
      <c r="AH193" s="223">
        <f t="shared" si="345"/>
        <v>0</v>
      </c>
      <c r="AI193" s="223">
        <f t="shared" si="345"/>
        <v>0</v>
      </c>
      <c r="AJ193" s="223">
        <f t="shared" si="345"/>
        <v>0</v>
      </c>
      <c r="AK193" s="223">
        <f t="shared" si="345"/>
        <v>0</v>
      </c>
      <c r="AL193" s="223">
        <f t="shared" si="345"/>
        <v>0</v>
      </c>
      <c r="AM193" s="223">
        <f t="shared" si="345"/>
        <v>0</v>
      </c>
      <c r="AN193" s="223">
        <f t="shared" si="345"/>
        <v>0</v>
      </c>
      <c r="AO193" s="223">
        <f t="shared" si="345"/>
        <v>0</v>
      </c>
      <c r="AP193" s="223">
        <f t="shared" si="345"/>
        <v>0</v>
      </c>
      <c r="AQ193" s="223">
        <f t="shared" si="345"/>
        <v>0</v>
      </c>
      <c r="AR193" s="223">
        <f t="shared" si="337"/>
        <v>31619468</v>
      </c>
      <c r="AS193" s="231">
        <f t="shared" si="338"/>
        <v>9.1293396852894469E-3</v>
      </c>
      <c r="AT193" s="232">
        <f t="shared" si="339"/>
        <v>3015532</v>
      </c>
      <c r="AU193" s="231">
        <f t="shared" si="340"/>
        <v>8.706603147105529</v>
      </c>
      <c r="AV193" s="220" t="s">
        <v>576</v>
      </c>
      <c r="AW193" s="220" t="s">
        <v>546</v>
      </c>
      <c r="AX193" s="220" t="s">
        <v>4729</v>
      </c>
      <c r="AY193" s="223">
        <f>SUM(AY194:AY196)</f>
        <v>0</v>
      </c>
      <c r="AZ193" s="223">
        <f>SUM(AZ194:AZ196)</f>
        <v>2500000</v>
      </c>
      <c r="BA193" s="223">
        <f>SUM(BA194:BA196)</f>
        <v>0</v>
      </c>
      <c r="BB193" s="223">
        <f t="shared" ref="BB193" si="347">SUM(BB194:BB196)</f>
        <v>14993200</v>
      </c>
      <c r="BC193" s="223">
        <f t="shared" ref="BC193" si="348">SUM(BC194:BC196)</f>
        <v>2590000</v>
      </c>
      <c r="BD193" s="223">
        <f t="shared" ref="BD193:BE193" si="349">SUM(BD194:BD196)</f>
        <v>2495000</v>
      </c>
      <c r="BE193" s="223">
        <f t="shared" si="349"/>
        <v>9041268</v>
      </c>
      <c r="BF193" s="223">
        <f t="shared" ref="BF193" si="350">SUM(BF194:BF196)</f>
        <v>0</v>
      </c>
    </row>
    <row r="194" spans="2:62" x14ac:dyDescent="0.3">
      <c r="B194" s="288">
        <v>521211</v>
      </c>
      <c r="C194" s="220" t="s">
        <v>7</v>
      </c>
      <c r="D194" s="220"/>
      <c r="E194" s="220"/>
      <c r="F194" s="221">
        <v>14000000</v>
      </c>
      <c r="G194" s="221">
        <v>35340000</v>
      </c>
      <c r="H194" s="221"/>
      <c r="I194" s="221"/>
      <c r="J194" s="221"/>
      <c r="K194" s="221"/>
      <c r="L194" s="221"/>
      <c r="M194" s="221"/>
      <c r="N194" s="221"/>
      <c r="O194" s="221"/>
      <c r="P194" s="221">
        <v>2500000</v>
      </c>
      <c r="Q194" s="221"/>
      <c r="R194" s="221">
        <v>3400000</v>
      </c>
      <c r="S194" s="221"/>
      <c r="T194" s="221"/>
      <c r="U194" s="221">
        <f>2590000+2495000</f>
        <v>5085000</v>
      </c>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c r="AR194" s="221">
        <f t="shared" si="337"/>
        <v>10985000</v>
      </c>
      <c r="AS194" s="224">
        <f t="shared" si="338"/>
        <v>7.8464285714285719E-3</v>
      </c>
      <c r="AT194" s="225">
        <f t="shared" si="339"/>
        <v>3015000</v>
      </c>
      <c r="AU194" s="224">
        <f t="shared" si="340"/>
        <v>21.535714285714285</v>
      </c>
      <c r="AV194" s="220" t="s">
        <v>576</v>
      </c>
      <c r="AW194" s="220" t="s">
        <v>546</v>
      </c>
      <c r="AX194" s="220" t="s">
        <v>4729</v>
      </c>
      <c r="AY194" s="221"/>
      <c r="AZ194" s="221">
        <v>2500000</v>
      </c>
      <c r="BA194" s="300"/>
      <c r="BB194" s="221">
        <v>3400000</v>
      </c>
      <c r="BC194" s="221">
        <v>2590000</v>
      </c>
      <c r="BD194" s="221">
        <v>2495000</v>
      </c>
      <c r="BE194" s="221"/>
      <c r="BF194" s="221"/>
    </row>
    <row r="195" spans="2:62" x14ac:dyDescent="0.3">
      <c r="B195" s="288">
        <v>522151</v>
      </c>
      <c r="C195" s="220" t="s">
        <v>11</v>
      </c>
      <c r="D195" s="220"/>
      <c r="E195" s="220"/>
      <c r="F195" s="221">
        <v>0</v>
      </c>
      <c r="G195" s="221">
        <v>3600000</v>
      </c>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c r="AR195" s="221">
        <f t="shared" si="337"/>
        <v>0</v>
      </c>
      <c r="AS195" s="224" t="e">
        <f t="shared" si="338"/>
        <v>#DIV/0!</v>
      </c>
      <c r="AT195" s="225">
        <f t="shared" si="339"/>
        <v>0</v>
      </c>
      <c r="AU195" s="224" t="e">
        <f t="shared" si="340"/>
        <v>#DIV/0!</v>
      </c>
      <c r="AV195" s="220" t="s">
        <v>576</v>
      </c>
      <c r="AW195" s="220" t="s">
        <v>546</v>
      </c>
      <c r="AX195" s="220" t="s">
        <v>4729</v>
      </c>
      <c r="AY195" s="221"/>
      <c r="AZ195" s="221"/>
      <c r="BA195" s="300"/>
      <c r="BB195" s="221"/>
      <c r="BC195" s="221"/>
      <c r="BD195" s="221"/>
      <c r="BE195" s="221"/>
      <c r="BF195" s="221"/>
    </row>
    <row r="196" spans="2:62" x14ac:dyDescent="0.3">
      <c r="B196" s="288">
        <v>524111</v>
      </c>
      <c r="C196" s="220" t="s">
        <v>19</v>
      </c>
      <c r="D196" s="220"/>
      <c r="E196" s="220"/>
      <c r="F196" s="221">
        <v>20635000</v>
      </c>
      <c r="G196" s="221">
        <v>42000000</v>
      </c>
      <c r="H196" s="221"/>
      <c r="I196" s="221"/>
      <c r="J196" s="221"/>
      <c r="K196" s="221"/>
      <c r="L196" s="221"/>
      <c r="M196" s="221"/>
      <c r="N196" s="221"/>
      <c r="O196" s="221"/>
      <c r="P196" s="221"/>
      <c r="Q196" s="221"/>
      <c r="R196" s="221">
        <v>11593200</v>
      </c>
      <c r="S196" s="221"/>
      <c r="T196" s="221"/>
      <c r="U196" s="221"/>
      <c r="V196" s="221">
        <v>9041268</v>
      </c>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c r="AR196" s="221">
        <f t="shared" si="337"/>
        <v>20634468</v>
      </c>
      <c r="AS196" s="224">
        <f t="shared" si="338"/>
        <v>9.9997421856069784E-3</v>
      </c>
      <c r="AT196" s="225">
        <f t="shared" si="339"/>
        <v>532</v>
      </c>
      <c r="AU196" s="224">
        <f t="shared" si="340"/>
        <v>2.578143930215653E-3</v>
      </c>
      <c r="AV196" s="220" t="s">
        <v>576</v>
      </c>
      <c r="AW196" s="220" t="s">
        <v>546</v>
      </c>
      <c r="AX196" s="220" t="s">
        <v>4729</v>
      </c>
      <c r="AY196" s="221"/>
      <c r="AZ196" s="221"/>
      <c r="BA196" s="300"/>
      <c r="BB196" s="221">
        <v>11593200</v>
      </c>
      <c r="BC196" s="221"/>
      <c r="BD196" s="221"/>
      <c r="BE196" s="221">
        <v>9041268</v>
      </c>
      <c r="BF196" s="221"/>
    </row>
    <row r="197" spans="2:62" x14ac:dyDescent="0.3">
      <c r="B197" s="290" t="s">
        <v>519</v>
      </c>
      <c r="C197" s="222" t="s">
        <v>146</v>
      </c>
      <c r="D197" s="222"/>
      <c r="E197" s="222"/>
      <c r="F197" s="223">
        <f t="shared" ref="F197:AQ197" si="351">SUM(F198:F199)</f>
        <v>7500000</v>
      </c>
      <c r="G197" s="223">
        <f t="shared" ref="G197" si="352">SUM(G198:G199)</f>
        <v>27000000</v>
      </c>
      <c r="H197" s="223">
        <f t="shared" si="351"/>
        <v>0</v>
      </c>
      <c r="I197" s="223">
        <f t="shared" si="351"/>
        <v>0</v>
      </c>
      <c r="J197" s="223">
        <f t="shared" si="351"/>
        <v>0</v>
      </c>
      <c r="K197" s="223">
        <f t="shared" si="351"/>
        <v>0</v>
      </c>
      <c r="L197" s="223">
        <f t="shared" si="351"/>
        <v>0</v>
      </c>
      <c r="M197" s="223">
        <f t="shared" si="351"/>
        <v>0</v>
      </c>
      <c r="N197" s="223">
        <f t="shared" si="351"/>
        <v>0</v>
      </c>
      <c r="O197" s="223">
        <f t="shared" si="351"/>
        <v>0</v>
      </c>
      <c r="P197" s="223">
        <f t="shared" si="351"/>
        <v>2499500</v>
      </c>
      <c r="Q197" s="223">
        <f t="shared" si="351"/>
        <v>0</v>
      </c>
      <c r="R197" s="223">
        <f t="shared" si="351"/>
        <v>0</v>
      </c>
      <c r="S197" s="223">
        <f t="shared" si="351"/>
        <v>0</v>
      </c>
      <c r="T197" s="223">
        <f t="shared" si="351"/>
        <v>0</v>
      </c>
      <c r="U197" s="223">
        <f t="shared" si="351"/>
        <v>2444500</v>
      </c>
      <c r="V197" s="223">
        <f t="shared" si="351"/>
        <v>0</v>
      </c>
      <c r="W197" s="223">
        <f t="shared" si="351"/>
        <v>0</v>
      </c>
      <c r="X197" s="223">
        <f t="shared" si="351"/>
        <v>0</v>
      </c>
      <c r="Y197" s="223">
        <f t="shared" si="351"/>
        <v>0</v>
      </c>
      <c r="Z197" s="223">
        <f t="shared" si="351"/>
        <v>0</v>
      </c>
      <c r="AA197" s="223">
        <f t="shared" si="351"/>
        <v>0</v>
      </c>
      <c r="AB197" s="223">
        <f t="shared" si="351"/>
        <v>0</v>
      </c>
      <c r="AC197" s="223">
        <f t="shared" si="351"/>
        <v>0</v>
      </c>
      <c r="AD197" s="223">
        <f t="shared" si="351"/>
        <v>0</v>
      </c>
      <c r="AE197" s="223">
        <f t="shared" si="351"/>
        <v>0</v>
      </c>
      <c r="AF197" s="223">
        <f t="shared" si="351"/>
        <v>0</v>
      </c>
      <c r="AG197" s="223">
        <f t="shared" si="351"/>
        <v>0</v>
      </c>
      <c r="AH197" s="223">
        <f t="shared" si="351"/>
        <v>0</v>
      </c>
      <c r="AI197" s="223">
        <f t="shared" si="351"/>
        <v>0</v>
      </c>
      <c r="AJ197" s="223">
        <f t="shared" si="351"/>
        <v>0</v>
      </c>
      <c r="AK197" s="223">
        <f t="shared" si="351"/>
        <v>0</v>
      </c>
      <c r="AL197" s="223">
        <f t="shared" si="351"/>
        <v>0</v>
      </c>
      <c r="AM197" s="223">
        <f t="shared" si="351"/>
        <v>0</v>
      </c>
      <c r="AN197" s="223">
        <f t="shared" si="351"/>
        <v>0</v>
      </c>
      <c r="AO197" s="223">
        <f t="shared" si="351"/>
        <v>0</v>
      </c>
      <c r="AP197" s="223">
        <f t="shared" si="351"/>
        <v>0</v>
      </c>
      <c r="AQ197" s="223">
        <f t="shared" si="351"/>
        <v>0</v>
      </c>
      <c r="AR197" s="223">
        <f t="shared" si="337"/>
        <v>4944000</v>
      </c>
      <c r="AS197" s="231">
        <f t="shared" si="338"/>
        <v>6.5919999999999998E-3</v>
      </c>
      <c r="AT197" s="232">
        <f t="shared" si="339"/>
        <v>2556000</v>
      </c>
      <c r="AU197" s="231">
        <f t="shared" si="340"/>
        <v>34.08</v>
      </c>
      <c r="AV197" s="220" t="s">
        <v>576</v>
      </c>
      <c r="AW197" s="220" t="s">
        <v>546</v>
      </c>
      <c r="AX197" s="220" t="s">
        <v>4729</v>
      </c>
      <c r="AY197" s="223">
        <f>SUM(AY198:AY199)</f>
        <v>0</v>
      </c>
      <c r="AZ197" s="223">
        <f>SUM(AZ198:AZ199)</f>
        <v>2499500</v>
      </c>
      <c r="BA197" s="223">
        <f>SUM(BA198:BA199)</f>
        <v>0</v>
      </c>
      <c r="BB197" s="223">
        <f t="shared" ref="BB197" si="353">SUM(BB198:BB199)</f>
        <v>0</v>
      </c>
      <c r="BC197" s="223">
        <f t="shared" ref="BC197" si="354">SUM(BC198:BC199)</f>
        <v>0</v>
      </c>
      <c r="BD197" s="223">
        <f t="shared" ref="BD197:BE197" si="355">SUM(BD198:BD199)</f>
        <v>2444500</v>
      </c>
      <c r="BE197" s="223">
        <f t="shared" si="355"/>
        <v>0</v>
      </c>
      <c r="BF197" s="223">
        <f t="shared" ref="BF197" si="356">SUM(BF198:BF199)</f>
        <v>0</v>
      </c>
    </row>
    <row r="198" spans="2:62" x14ac:dyDescent="0.3">
      <c r="B198" s="288">
        <v>521211</v>
      </c>
      <c r="C198" s="220" t="s">
        <v>7</v>
      </c>
      <c r="D198" s="220"/>
      <c r="E198" s="220"/>
      <c r="F198" s="221">
        <v>7500000</v>
      </c>
      <c r="G198" s="221">
        <v>15000000</v>
      </c>
      <c r="H198" s="221"/>
      <c r="I198" s="221"/>
      <c r="J198" s="221"/>
      <c r="K198" s="221"/>
      <c r="L198" s="221"/>
      <c r="M198" s="221"/>
      <c r="N198" s="221"/>
      <c r="O198" s="221"/>
      <c r="P198" s="221">
        <v>2499500</v>
      </c>
      <c r="Q198" s="221"/>
      <c r="R198" s="221"/>
      <c r="S198" s="221"/>
      <c r="T198" s="221"/>
      <c r="U198" s="221">
        <v>2444500</v>
      </c>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c r="AR198" s="221">
        <f t="shared" si="337"/>
        <v>4944000</v>
      </c>
      <c r="AS198" s="224">
        <f t="shared" si="338"/>
        <v>6.5919999999999998E-3</v>
      </c>
      <c r="AT198" s="225">
        <f t="shared" si="339"/>
        <v>2556000</v>
      </c>
      <c r="AU198" s="224">
        <f t="shared" si="340"/>
        <v>34.08</v>
      </c>
      <c r="AV198" s="220" t="s">
        <v>576</v>
      </c>
      <c r="AW198" s="220" t="s">
        <v>546</v>
      </c>
      <c r="AX198" s="220" t="s">
        <v>4729</v>
      </c>
      <c r="AY198" s="221"/>
      <c r="AZ198" s="221">
        <v>2499500</v>
      </c>
      <c r="BA198" s="300"/>
      <c r="BB198" s="221"/>
      <c r="BC198" s="221"/>
      <c r="BD198" s="221">
        <v>2444500</v>
      </c>
      <c r="BE198" s="221"/>
      <c r="BF198" s="221"/>
    </row>
    <row r="199" spans="2:62" x14ac:dyDescent="0.3">
      <c r="B199" s="288">
        <v>524111</v>
      </c>
      <c r="C199" s="220" t="s">
        <v>19</v>
      </c>
      <c r="D199" s="220"/>
      <c r="E199" s="220"/>
      <c r="F199" s="221">
        <v>0</v>
      </c>
      <c r="G199" s="221">
        <v>12000000</v>
      </c>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c r="AR199" s="221">
        <f t="shared" si="337"/>
        <v>0</v>
      </c>
      <c r="AS199" s="224" t="e">
        <f t="shared" si="338"/>
        <v>#DIV/0!</v>
      </c>
      <c r="AT199" s="225">
        <f t="shared" si="339"/>
        <v>0</v>
      </c>
      <c r="AU199" s="224" t="e">
        <f t="shared" si="340"/>
        <v>#DIV/0!</v>
      </c>
      <c r="AV199" s="220" t="s">
        <v>576</v>
      </c>
      <c r="AW199" s="220" t="s">
        <v>546</v>
      </c>
      <c r="AX199" s="220" t="s">
        <v>4729</v>
      </c>
      <c r="AY199" s="221"/>
      <c r="AZ199" s="221"/>
      <c r="BA199" s="300"/>
      <c r="BB199" s="221"/>
      <c r="BC199" s="221"/>
      <c r="BD199" s="221"/>
      <c r="BE199" s="221"/>
      <c r="BF199" s="221"/>
    </row>
    <row r="200" spans="2:62" x14ac:dyDescent="0.3">
      <c r="B200" s="290" t="s">
        <v>578</v>
      </c>
      <c r="C200" s="222" t="s">
        <v>147</v>
      </c>
      <c r="D200" s="222"/>
      <c r="E200" s="222"/>
      <c r="F200" s="223">
        <f t="shared" ref="F200:AQ200" si="357">SUM(F201:F203)</f>
        <v>108333000</v>
      </c>
      <c r="G200" s="223">
        <f t="shared" ref="G200" si="358">SUM(G201:G203)</f>
        <v>88680000</v>
      </c>
      <c r="H200" s="223">
        <f t="shared" si="357"/>
        <v>0</v>
      </c>
      <c r="I200" s="223">
        <f t="shared" si="357"/>
        <v>0</v>
      </c>
      <c r="J200" s="223">
        <f t="shared" si="357"/>
        <v>0</v>
      </c>
      <c r="K200" s="223">
        <f t="shared" si="357"/>
        <v>0</v>
      </c>
      <c r="L200" s="223">
        <f t="shared" si="357"/>
        <v>0</v>
      </c>
      <c r="M200" s="223">
        <f t="shared" si="357"/>
        <v>0</v>
      </c>
      <c r="N200" s="223">
        <f t="shared" si="357"/>
        <v>0</v>
      </c>
      <c r="O200" s="223">
        <f t="shared" si="357"/>
        <v>13350000</v>
      </c>
      <c r="P200" s="223">
        <f t="shared" si="357"/>
        <v>37050000</v>
      </c>
      <c r="Q200" s="223">
        <f t="shared" si="357"/>
        <v>0</v>
      </c>
      <c r="R200" s="223">
        <f t="shared" si="357"/>
        <v>2490000</v>
      </c>
      <c r="S200" s="223">
        <f t="shared" si="357"/>
        <v>0</v>
      </c>
      <c r="T200" s="223">
        <f t="shared" si="357"/>
        <v>0</v>
      </c>
      <c r="U200" s="223">
        <f t="shared" si="357"/>
        <v>5600000</v>
      </c>
      <c r="V200" s="223">
        <f t="shared" si="357"/>
        <v>4170000</v>
      </c>
      <c r="W200" s="223">
        <f t="shared" si="357"/>
        <v>0</v>
      </c>
      <c r="X200" s="223">
        <f t="shared" si="357"/>
        <v>0</v>
      </c>
      <c r="Y200" s="223">
        <f t="shared" si="357"/>
        <v>2030000</v>
      </c>
      <c r="Z200" s="223">
        <f t="shared" si="357"/>
        <v>0</v>
      </c>
      <c r="AA200" s="223">
        <f t="shared" si="357"/>
        <v>0</v>
      </c>
      <c r="AB200" s="223">
        <f t="shared" si="357"/>
        <v>0</v>
      </c>
      <c r="AC200" s="223">
        <f t="shared" si="357"/>
        <v>0</v>
      </c>
      <c r="AD200" s="223">
        <f t="shared" si="357"/>
        <v>0</v>
      </c>
      <c r="AE200" s="223">
        <f t="shared" si="357"/>
        <v>0</v>
      </c>
      <c r="AF200" s="223">
        <f t="shared" si="357"/>
        <v>0</v>
      </c>
      <c r="AG200" s="223">
        <f t="shared" si="357"/>
        <v>0</v>
      </c>
      <c r="AH200" s="223">
        <f t="shared" si="357"/>
        <v>0</v>
      </c>
      <c r="AI200" s="223">
        <f t="shared" si="357"/>
        <v>0</v>
      </c>
      <c r="AJ200" s="223">
        <f t="shared" si="357"/>
        <v>0</v>
      </c>
      <c r="AK200" s="223">
        <f t="shared" si="357"/>
        <v>0</v>
      </c>
      <c r="AL200" s="223">
        <f t="shared" si="357"/>
        <v>0</v>
      </c>
      <c r="AM200" s="223">
        <f t="shared" si="357"/>
        <v>0</v>
      </c>
      <c r="AN200" s="223">
        <f t="shared" si="357"/>
        <v>0</v>
      </c>
      <c r="AO200" s="223">
        <f t="shared" si="357"/>
        <v>0</v>
      </c>
      <c r="AP200" s="223">
        <f t="shared" si="357"/>
        <v>0</v>
      </c>
      <c r="AQ200" s="223">
        <f t="shared" si="357"/>
        <v>0</v>
      </c>
      <c r="AR200" s="223">
        <f t="shared" si="337"/>
        <v>64690000</v>
      </c>
      <c r="AS200" s="231">
        <f t="shared" si="338"/>
        <v>5.9714029889322735E-3</v>
      </c>
      <c r="AT200" s="232">
        <f t="shared" si="339"/>
        <v>43643000</v>
      </c>
      <c r="AU200" s="231">
        <f t="shared" si="340"/>
        <v>40.285970110677269</v>
      </c>
      <c r="AV200" s="220" t="s">
        <v>576</v>
      </c>
      <c r="AW200" s="220" t="s">
        <v>546</v>
      </c>
      <c r="AX200" s="220" t="s">
        <v>4729</v>
      </c>
      <c r="AY200" s="223">
        <f>SUM(AY201:AY203)</f>
        <v>0</v>
      </c>
      <c r="AZ200" s="223">
        <f>SUM(AZ201:AZ203)</f>
        <v>37050000</v>
      </c>
      <c r="BA200" s="223">
        <f>SUM(BA201:BA203)</f>
        <v>13350000</v>
      </c>
      <c r="BB200" s="223">
        <f t="shared" ref="BB200" si="359">SUM(BB201:BB203)</f>
        <v>2490000</v>
      </c>
      <c r="BC200" s="223">
        <f t="shared" ref="BC200" si="360">SUM(BC201:BC203)</f>
        <v>5600000</v>
      </c>
      <c r="BD200" s="223">
        <f t="shared" ref="BD200:BE200" si="361">SUM(BD201:BD203)</f>
        <v>0</v>
      </c>
      <c r="BE200" s="223">
        <f t="shared" si="361"/>
        <v>4170000</v>
      </c>
      <c r="BF200" s="223">
        <f t="shared" ref="BF200" si="362">SUM(BF201:BF203)</f>
        <v>2030000</v>
      </c>
    </row>
    <row r="201" spans="2:62" x14ac:dyDescent="0.3">
      <c r="B201" s="288">
        <v>521211</v>
      </c>
      <c r="C201" s="220" t="s">
        <v>7</v>
      </c>
      <c r="D201" s="220"/>
      <c r="E201" s="220"/>
      <c r="F201" s="221">
        <v>4800000</v>
      </c>
      <c r="G201" s="221">
        <v>4800000</v>
      </c>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c r="AR201" s="221">
        <f t="shared" si="337"/>
        <v>0</v>
      </c>
      <c r="AS201" s="224">
        <f t="shared" si="338"/>
        <v>0</v>
      </c>
      <c r="AT201" s="225">
        <f t="shared" si="339"/>
        <v>4800000</v>
      </c>
      <c r="AU201" s="224">
        <f t="shared" si="340"/>
        <v>100</v>
      </c>
      <c r="AV201" s="220" t="s">
        <v>576</v>
      </c>
      <c r="AW201" s="220" t="s">
        <v>546</v>
      </c>
      <c r="AX201" s="220" t="s">
        <v>4729</v>
      </c>
      <c r="AY201" s="221"/>
      <c r="AZ201" s="221"/>
      <c r="BA201" s="300"/>
      <c r="BB201" s="221"/>
      <c r="BC201" s="221"/>
      <c r="BD201" s="221"/>
      <c r="BE201" s="221"/>
      <c r="BF201" s="221"/>
    </row>
    <row r="202" spans="2:62" x14ac:dyDescent="0.3">
      <c r="B202" s="288">
        <v>521811</v>
      </c>
      <c r="C202" s="220" t="s">
        <v>64</v>
      </c>
      <c r="D202" s="220"/>
      <c r="E202" s="220"/>
      <c r="F202" s="221">
        <v>27500000</v>
      </c>
      <c r="G202" s="221">
        <v>27500000</v>
      </c>
      <c r="H202" s="221"/>
      <c r="I202" s="221"/>
      <c r="J202" s="221"/>
      <c r="K202" s="221"/>
      <c r="L202" s="221"/>
      <c r="M202" s="221"/>
      <c r="N202" s="221"/>
      <c r="O202" s="300">
        <v>2490000</v>
      </c>
      <c r="P202" s="221">
        <v>2490000</v>
      </c>
      <c r="Q202" s="221"/>
      <c r="R202" s="221">
        <v>2490000</v>
      </c>
      <c r="S202" s="221"/>
      <c r="T202" s="221"/>
      <c r="U202" s="221"/>
      <c r="V202" s="221">
        <v>2490000</v>
      </c>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c r="AR202" s="221">
        <f t="shared" si="337"/>
        <v>9960000</v>
      </c>
      <c r="AS202" s="224">
        <f t="shared" si="338"/>
        <v>3.6218181818181818E-3</v>
      </c>
      <c r="AT202" s="225">
        <f t="shared" si="339"/>
        <v>17540000</v>
      </c>
      <c r="AU202" s="224">
        <f t="shared" si="340"/>
        <v>63.781818181818181</v>
      </c>
      <c r="AV202" s="220" t="s">
        <v>576</v>
      </c>
      <c r="AW202" s="220" t="s">
        <v>546</v>
      </c>
      <c r="AX202" s="220" t="s">
        <v>4729</v>
      </c>
      <c r="AY202" s="221"/>
      <c r="AZ202" s="221">
        <v>2490000</v>
      </c>
      <c r="BA202" s="300">
        <v>2490000</v>
      </c>
      <c r="BB202" s="221">
        <v>2490000</v>
      </c>
      <c r="BC202" s="221"/>
      <c r="BD202" s="221"/>
      <c r="BE202" s="221">
        <v>2490000</v>
      </c>
      <c r="BF202" s="221"/>
    </row>
    <row r="203" spans="2:62" x14ac:dyDescent="0.3">
      <c r="B203" s="288">
        <v>524111</v>
      </c>
      <c r="C203" s="220" t="s">
        <v>19</v>
      </c>
      <c r="D203" s="220"/>
      <c r="E203" s="220"/>
      <c r="F203" s="221">
        <v>76033000</v>
      </c>
      <c r="G203" s="221">
        <v>56380000</v>
      </c>
      <c r="H203" s="221"/>
      <c r="I203" s="221"/>
      <c r="J203" s="221"/>
      <c r="K203" s="221"/>
      <c r="L203" s="221"/>
      <c r="M203" s="221"/>
      <c r="N203" s="221"/>
      <c r="O203" s="300">
        <v>10860000</v>
      </c>
      <c r="P203" s="221">
        <v>34560000</v>
      </c>
      <c r="Q203" s="221"/>
      <c r="R203" s="221"/>
      <c r="S203" s="221"/>
      <c r="T203" s="221"/>
      <c r="U203" s="221">
        <v>5600000</v>
      </c>
      <c r="V203" s="221">
        <v>1680000</v>
      </c>
      <c r="W203" s="221"/>
      <c r="X203" s="221"/>
      <c r="Y203" s="221">
        <v>2030000</v>
      </c>
      <c r="Z203" s="221"/>
      <c r="AA203" s="221"/>
      <c r="AB203" s="221"/>
      <c r="AC203" s="221"/>
      <c r="AD203" s="221"/>
      <c r="AE203" s="221"/>
      <c r="AF203" s="221"/>
      <c r="AG203" s="221"/>
      <c r="AH203" s="221"/>
      <c r="AI203" s="221"/>
      <c r="AJ203" s="221"/>
      <c r="AK203" s="221"/>
      <c r="AL203" s="221"/>
      <c r="AM203" s="221"/>
      <c r="AN203" s="221"/>
      <c r="AO203" s="221"/>
      <c r="AP203" s="221"/>
      <c r="AQ203" s="221"/>
      <c r="AR203" s="221">
        <f t="shared" si="337"/>
        <v>54730000</v>
      </c>
      <c r="AS203" s="224">
        <f t="shared" si="338"/>
        <v>7.1981902594925882E-3</v>
      </c>
      <c r="AT203" s="225">
        <f t="shared" si="339"/>
        <v>21303000</v>
      </c>
      <c r="AU203" s="224">
        <f t="shared" si="340"/>
        <v>28.018097405074112</v>
      </c>
      <c r="AV203" s="220" t="s">
        <v>576</v>
      </c>
      <c r="AW203" s="220" t="s">
        <v>546</v>
      </c>
      <c r="AX203" s="220" t="s">
        <v>4729</v>
      </c>
      <c r="AY203" s="221"/>
      <c r="AZ203" s="221">
        <v>34560000</v>
      </c>
      <c r="BA203" s="300">
        <v>10860000</v>
      </c>
      <c r="BB203" s="221"/>
      <c r="BC203" s="221">
        <v>5600000</v>
      </c>
      <c r="BD203" s="221"/>
      <c r="BE203" s="221">
        <v>1680000</v>
      </c>
      <c r="BF203" s="221">
        <v>2030000</v>
      </c>
    </row>
    <row r="204" spans="2:62" x14ac:dyDescent="0.3">
      <c r="B204" s="226">
        <v>4345</v>
      </c>
      <c r="C204" s="227" t="s">
        <v>188</v>
      </c>
      <c r="D204" s="227"/>
      <c r="E204" s="227"/>
      <c r="F204" s="228">
        <f t="shared" ref="F204:V205" si="363">F205</f>
        <v>6082500000</v>
      </c>
      <c r="G204" s="228">
        <f t="shared" si="363"/>
        <v>8582500000</v>
      </c>
      <c r="H204" s="228">
        <f t="shared" si="363"/>
        <v>0</v>
      </c>
      <c r="I204" s="228">
        <f t="shared" si="363"/>
        <v>0</v>
      </c>
      <c r="J204" s="228">
        <f t="shared" si="363"/>
        <v>0</v>
      </c>
      <c r="K204" s="228">
        <f t="shared" si="363"/>
        <v>0</v>
      </c>
      <c r="L204" s="228">
        <f t="shared" si="363"/>
        <v>0</v>
      </c>
      <c r="M204" s="228">
        <f t="shared" si="363"/>
        <v>0</v>
      </c>
      <c r="N204" s="228">
        <f t="shared" si="363"/>
        <v>0</v>
      </c>
      <c r="O204" s="228">
        <f t="shared" si="363"/>
        <v>0</v>
      </c>
      <c r="P204" s="228">
        <f t="shared" si="363"/>
        <v>0</v>
      </c>
      <c r="Q204" s="228">
        <f t="shared" si="363"/>
        <v>1555695356</v>
      </c>
      <c r="R204" s="228">
        <f t="shared" si="363"/>
        <v>0</v>
      </c>
      <c r="S204" s="228">
        <f t="shared" si="363"/>
        <v>0</v>
      </c>
      <c r="T204" s="228">
        <f t="shared" si="363"/>
        <v>0</v>
      </c>
      <c r="U204" s="228">
        <f t="shared" si="363"/>
        <v>0</v>
      </c>
      <c r="V204" s="228">
        <f t="shared" si="363"/>
        <v>37892633</v>
      </c>
      <c r="W204" s="228">
        <f t="shared" ref="H204:AQ205" si="364">W205</f>
        <v>1880236423</v>
      </c>
      <c r="X204" s="228">
        <f t="shared" si="364"/>
        <v>0</v>
      </c>
      <c r="Y204" s="228">
        <f t="shared" si="364"/>
        <v>2889500</v>
      </c>
      <c r="Z204" s="228">
        <f t="shared" si="364"/>
        <v>0</v>
      </c>
      <c r="AA204" s="228">
        <f t="shared" si="364"/>
        <v>0</v>
      </c>
      <c r="AB204" s="228">
        <f t="shared" si="364"/>
        <v>0</v>
      </c>
      <c r="AC204" s="228">
        <f t="shared" si="364"/>
        <v>0</v>
      </c>
      <c r="AD204" s="228">
        <f t="shared" si="364"/>
        <v>0</v>
      </c>
      <c r="AE204" s="228">
        <f t="shared" si="364"/>
        <v>0</v>
      </c>
      <c r="AF204" s="228">
        <f t="shared" si="364"/>
        <v>0</v>
      </c>
      <c r="AG204" s="228">
        <f t="shared" si="364"/>
        <v>0</v>
      </c>
      <c r="AH204" s="228">
        <f t="shared" si="364"/>
        <v>0</v>
      </c>
      <c r="AI204" s="228">
        <f t="shared" si="364"/>
        <v>0</v>
      </c>
      <c r="AJ204" s="228">
        <f t="shared" si="364"/>
        <v>0</v>
      </c>
      <c r="AK204" s="228">
        <f t="shared" si="364"/>
        <v>0</v>
      </c>
      <c r="AL204" s="228">
        <f t="shared" si="364"/>
        <v>0</v>
      </c>
      <c r="AM204" s="228">
        <f t="shared" si="364"/>
        <v>0</v>
      </c>
      <c r="AN204" s="228">
        <f t="shared" si="364"/>
        <v>0</v>
      </c>
      <c r="AO204" s="228">
        <f t="shared" si="364"/>
        <v>0</v>
      </c>
      <c r="AP204" s="228">
        <f t="shared" si="364"/>
        <v>0</v>
      </c>
      <c r="AQ204" s="228">
        <f t="shared" si="364"/>
        <v>0</v>
      </c>
      <c r="AR204" s="228">
        <f t="shared" si="337"/>
        <v>3476713912</v>
      </c>
      <c r="AS204" s="229">
        <f t="shared" si="338"/>
        <v>5.7159291607069458E-3</v>
      </c>
      <c r="AT204" s="230">
        <f t="shared" si="339"/>
        <v>2605786088</v>
      </c>
      <c r="AU204" s="229">
        <f t="shared" si="340"/>
        <v>42.840708392930537</v>
      </c>
      <c r="AV204" s="220" t="s">
        <v>542</v>
      </c>
      <c r="AW204" s="220" t="s">
        <v>543</v>
      </c>
      <c r="AX204" s="220" t="s">
        <v>4729</v>
      </c>
      <c r="AY204" s="228">
        <f t="shared" ref="AY204:BF205" si="365">AY205</f>
        <v>0</v>
      </c>
      <c r="AZ204" s="228">
        <f t="shared" si="365"/>
        <v>0</v>
      </c>
      <c r="BA204" s="228">
        <f t="shared" si="365"/>
        <v>0</v>
      </c>
      <c r="BB204" s="228">
        <f t="shared" si="365"/>
        <v>0</v>
      </c>
      <c r="BC204" s="228">
        <f t="shared" si="365"/>
        <v>0</v>
      </c>
      <c r="BD204" s="228">
        <f>BD205</f>
        <v>0</v>
      </c>
      <c r="BE204" s="228">
        <f t="shared" si="365"/>
        <v>37892633</v>
      </c>
      <c r="BF204" s="228">
        <f t="shared" si="365"/>
        <v>2889500</v>
      </c>
      <c r="BJ204" t="s">
        <v>4644</v>
      </c>
    </row>
    <row r="205" spans="2:62" x14ac:dyDescent="0.3">
      <c r="B205" s="226" t="s">
        <v>3474</v>
      </c>
      <c r="C205" s="227" t="s">
        <v>2312</v>
      </c>
      <c r="D205" s="227">
        <v>4725</v>
      </c>
      <c r="E205" s="227" t="s">
        <v>155</v>
      </c>
      <c r="F205" s="228">
        <f t="shared" si="363"/>
        <v>6082500000</v>
      </c>
      <c r="G205" s="228">
        <f t="shared" si="363"/>
        <v>8582500000</v>
      </c>
      <c r="H205" s="228">
        <f t="shared" si="364"/>
        <v>0</v>
      </c>
      <c r="I205" s="228">
        <f t="shared" si="364"/>
        <v>0</v>
      </c>
      <c r="J205" s="228">
        <f t="shared" si="364"/>
        <v>0</v>
      </c>
      <c r="K205" s="228">
        <f t="shared" si="364"/>
        <v>0</v>
      </c>
      <c r="L205" s="228">
        <f t="shared" si="364"/>
        <v>0</v>
      </c>
      <c r="M205" s="228">
        <f t="shared" si="364"/>
        <v>0</v>
      </c>
      <c r="N205" s="228">
        <f t="shared" si="364"/>
        <v>0</v>
      </c>
      <c r="O205" s="228">
        <f t="shared" si="364"/>
        <v>0</v>
      </c>
      <c r="P205" s="228">
        <f t="shared" si="364"/>
        <v>0</v>
      </c>
      <c r="Q205" s="228">
        <f t="shared" si="364"/>
        <v>1555695356</v>
      </c>
      <c r="R205" s="228">
        <f t="shared" si="364"/>
        <v>0</v>
      </c>
      <c r="S205" s="228">
        <f t="shared" si="364"/>
        <v>0</v>
      </c>
      <c r="T205" s="228">
        <f t="shared" si="364"/>
        <v>0</v>
      </c>
      <c r="U205" s="228">
        <f t="shared" si="364"/>
        <v>0</v>
      </c>
      <c r="V205" s="228">
        <f t="shared" si="364"/>
        <v>37892633</v>
      </c>
      <c r="W205" s="228">
        <f t="shared" si="364"/>
        <v>1880236423</v>
      </c>
      <c r="X205" s="228">
        <f t="shared" si="364"/>
        <v>0</v>
      </c>
      <c r="Y205" s="228">
        <f t="shared" si="364"/>
        <v>2889500</v>
      </c>
      <c r="Z205" s="228">
        <f t="shared" si="364"/>
        <v>0</v>
      </c>
      <c r="AA205" s="228">
        <f t="shared" si="364"/>
        <v>0</v>
      </c>
      <c r="AB205" s="228">
        <f t="shared" si="364"/>
        <v>0</v>
      </c>
      <c r="AC205" s="228">
        <f t="shared" si="364"/>
        <v>0</v>
      </c>
      <c r="AD205" s="228">
        <f t="shared" si="364"/>
        <v>0</v>
      </c>
      <c r="AE205" s="228">
        <f t="shared" si="364"/>
        <v>0</v>
      </c>
      <c r="AF205" s="228">
        <f t="shared" si="364"/>
        <v>0</v>
      </c>
      <c r="AG205" s="228">
        <f t="shared" si="364"/>
        <v>0</v>
      </c>
      <c r="AH205" s="228">
        <f t="shared" si="364"/>
        <v>0</v>
      </c>
      <c r="AI205" s="228">
        <f t="shared" si="364"/>
        <v>0</v>
      </c>
      <c r="AJ205" s="228">
        <f t="shared" si="364"/>
        <v>0</v>
      </c>
      <c r="AK205" s="228">
        <f t="shared" si="364"/>
        <v>0</v>
      </c>
      <c r="AL205" s="228">
        <f t="shared" si="364"/>
        <v>0</v>
      </c>
      <c r="AM205" s="228">
        <f t="shared" si="364"/>
        <v>0</v>
      </c>
      <c r="AN205" s="228">
        <f t="shared" si="364"/>
        <v>0</v>
      </c>
      <c r="AO205" s="228">
        <f t="shared" si="364"/>
        <v>0</v>
      </c>
      <c r="AP205" s="228">
        <f t="shared" si="364"/>
        <v>0</v>
      </c>
      <c r="AQ205" s="228">
        <f t="shared" si="364"/>
        <v>0</v>
      </c>
      <c r="AR205" s="228">
        <f t="shared" si="337"/>
        <v>3476713912</v>
      </c>
      <c r="AS205" s="229">
        <f t="shared" si="338"/>
        <v>5.7159291607069458E-3</v>
      </c>
      <c r="AT205" s="230">
        <f t="shared" si="339"/>
        <v>2605786088</v>
      </c>
      <c r="AU205" s="229">
        <f t="shared" si="340"/>
        <v>42.840708392930537</v>
      </c>
      <c r="AV205" s="220" t="s">
        <v>542</v>
      </c>
      <c r="AW205" s="220" t="s">
        <v>543</v>
      </c>
      <c r="AX205" s="220" t="s">
        <v>4729</v>
      </c>
      <c r="AY205" s="228">
        <f t="shared" si="365"/>
        <v>0</v>
      </c>
      <c r="AZ205" s="228">
        <f t="shared" si="365"/>
        <v>0</v>
      </c>
      <c r="BA205" s="228">
        <f t="shared" si="365"/>
        <v>0</v>
      </c>
      <c r="BB205" s="228">
        <f t="shared" si="365"/>
        <v>0</v>
      </c>
      <c r="BC205" s="228">
        <f t="shared" si="365"/>
        <v>0</v>
      </c>
      <c r="BD205" s="228">
        <f t="shared" si="365"/>
        <v>0</v>
      </c>
      <c r="BE205" s="228">
        <f t="shared" si="365"/>
        <v>37892633</v>
      </c>
      <c r="BF205" s="228">
        <f t="shared" si="365"/>
        <v>2889500</v>
      </c>
    </row>
    <row r="206" spans="2:62" x14ac:dyDescent="0.3">
      <c r="B206" s="226" t="s">
        <v>4611</v>
      </c>
      <c r="C206" s="227" t="s">
        <v>3477</v>
      </c>
      <c r="D206" s="227">
        <v>4725</v>
      </c>
      <c r="E206" s="227" t="s">
        <v>155</v>
      </c>
      <c r="F206" s="228">
        <f>F207+F227</f>
        <v>6082500000</v>
      </c>
      <c r="G206" s="228">
        <f>G207+G227</f>
        <v>8582500000</v>
      </c>
      <c r="H206" s="228">
        <f t="shared" ref="H206:AQ206" si="366">H207+H227</f>
        <v>0</v>
      </c>
      <c r="I206" s="228">
        <f t="shared" si="366"/>
        <v>0</v>
      </c>
      <c r="J206" s="228">
        <f t="shared" si="366"/>
        <v>0</v>
      </c>
      <c r="K206" s="228">
        <f t="shared" si="366"/>
        <v>0</v>
      </c>
      <c r="L206" s="228">
        <f t="shared" si="366"/>
        <v>0</v>
      </c>
      <c r="M206" s="228">
        <f t="shared" si="366"/>
        <v>0</v>
      </c>
      <c r="N206" s="228">
        <f t="shared" si="366"/>
        <v>0</v>
      </c>
      <c r="O206" s="228">
        <f t="shared" si="366"/>
        <v>0</v>
      </c>
      <c r="P206" s="228">
        <f t="shared" si="366"/>
        <v>0</v>
      </c>
      <c r="Q206" s="228">
        <f t="shared" si="366"/>
        <v>1555695356</v>
      </c>
      <c r="R206" s="228">
        <f t="shared" si="366"/>
        <v>0</v>
      </c>
      <c r="S206" s="228">
        <f t="shared" si="366"/>
        <v>0</v>
      </c>
      <c r="T206" s="228">
        <f t="shared" si="366"/>
        <v>0</v>
      </c>
      <c r="U206" s="228">
        <f t="shared" si="366"/>
        <v>0</v>
      </c>
      <c r="V206" s="228">
        <f t="shared" si="366"/>
        <v>37892633</v>
      </c>
      <c r="W206" s="228">
        <f t="shared" si="366"/>
        <v>1880236423</v>
      </c>
      <c r="X206" s="228">
        <f t="shared" si="366"/>
        <v>0</v>
      </c>
      <c r="Y206" s="228">
        <f t="shared" si="366"/>
        <v>2889500</v>
      </c>
      <c r="Z206" s="228">
        <f t="shared" si="366"/>
        <v>0</v>
      </c>
      <c r="AA206" s="228">
        <f t="shared" si="366"/>
        <v>0</v>
      </c>
      <c r="AB206" s="228">
        <f t="shared" si="366"/>
        <v>0</v>
      </c>
      <c r="AC206" s="228">
        <f t="shared" si="366"/>
        <v>0</v>
      </c>
      <c r="AD206" s="228">
        <f t="shared" si="366"/>
        <v>0</v>
      </c>
      <c r="AE206" s="228">
        <f t="shared" si="366"/>
        <v>0</v>
      </c>
      <c r="AF206" s="228">
        <f t="shared" si="366"/>
        <v>0</v>
      </c>
      <c r="AG206" s="228">
        <f t="shared" si="366"/>
        <v>0</v>
      </c>
      <c r="AH206" s="228">
        <f t="shared" si="366"/>
        <v>0</v>
      </c>
      <c r="AI206" s="228">
        <f t="shared" si="366"/>
        <v>0</v>
      </c>
      <c r="AJ206" s="228">
        <f t="shared" si="366"/>
        <v>0</v>
      </c>
      <c r="AK206" s="228">
        <f t="shared" si="366"/>
        <v>0</v>
      </c>
      <c r="AL206" s="228">
        <f t="shared" si="366"/>
        <v>0</v>
      </c>
      <c r="AM206" s="228">
        <f t="shared" si="366"/>
        <v>0</v>
      </c>
      <c r="AN206" s="228">
        <f t="shared" si="366"/>
        <v>0</v>
      </c>
      <c r="AO206" s="228">
        <f t="shared" si="366"/>
        <v>0</v>
      </c>
      <c r="AP206" s="228">
        <f t="shared" si="366"/>
        <v>0</v>
      </c>
      <c r="AQ206" s="228">
        <f t="shared" si="366"/>
        <v>0</v>
      </c>
      <c r="AR206" s="228">
        <f t="shared" si="337"/>
        <v>3476713912</v>
      </c>
      <c r="AS206" s="229">
        <f t="shared" si="338"/>
        <v>5.7159291607069458E-3</v>
      </c>
      <c r="AT206" s="230">
        <f t="shared" si="339"/>
        <v>2605786088</v>
      </c>
      <c r="AU206" s="229">
        <f t="shared" si="340"/>
        <v>42.840708392930537</v>
      </c>
      <c r="AV206" s="220" t="s">
        <v>542</v>
      </c>
      <c r="AW206" s="220" t="s">
        <v>543</v>
      </c>
      <c r="AX206" s="220" t="s">
        <v>4729</v>
      </c>
      <c r="AY206" s="228">
        <f t="shared" ref="AY206:BA206" si="367">AY207+AY227</f>
        <v>0</v>
      </c>
      <c r="AZ206" s="228">
        <f t="shared" si="367"/>
        <v>0</v>
      </c>
      <c r="BA206" s="228">
        <f t="shared" si="367"/>
        <v>0</v>
      </c>
      <c r="BB206" s="228">
        <f t="shared" ref="BB206" si="368">BB207+BB227</f>
        <v>0</v>
      </c>
      <c r="BC206" s="228">
        <f t="shared" ref="BC206" si="369">BC207+BC227</f>
        <v>0</v>
      </c>
      <c r="BD206" s="228">
        <f t="shared" ref="BD206:BE206" si="370">BD207+BD227</f>
        <v>0</v>
      </c>
      <c r="BE206" s="228">
        <f t="shared" si="370"/>
        <v>37892633</v>
      </c>
      <c r="BF206" s="228">
        <f t="shared" ref="BF206" si="371">BF207+BF227</f>
        <v>2889500</v>
      </c>
    </row>
    <row r="207" spans="2:62" x14ac:dyDescent="0.3">
      <c r="B207" s="226">
        <v>301</v>
      </c>
      <c r="C207" s="227" t="s">
        <v>189</v>
      </c>
      <c r="D207" s="227"/>
      <c r="E207" s="227"/>
      <c r="F207" s="228">
        <f>F208+F215+F221+F225</f>
        <v>5973300000</v>
      </c>
      <c r="G207" s="228">
        <f>G208+G215+G221+G225</f>
        <v>8473300000</v>
      </c>
      <c r="H207" s="228">
        <f t="shared" ref="H207:AQ207" si="372">H208+H215+H221+H225</f>
        <v>0</v>
      </c>
      <c r="I207" s="228">
        <f t="shared" si="372"/>
        <v>0</v>
      </c>
      <c r="J207" s="228">
        <f t="shared" si="372"/>
        <v>0</v>
      </c>
      <c r="K207" s="228">
        <f t="shared" si="372"/>
        <v>0</v>
      </c>
      <c r="L207" s="228">
        <f t="shared" si="372"/>
        <v>0</v>
      </c>
      <c r="M207" s="228">
        <f t="shared" si="372"/>
        <v>0</v>
      </c>
      <c r="N207" s="228">
        <f t="shared" si="372"/>
        <v>0</v>
      </c>
      <c r="O207" s="228">
        <f t="shared" si="372"/>
        <v>0</v>
      </c>
      <c r="P207" s="228">
        <f t="shared" si="372"/>
        <v>0</v>
      </c>
      <c r="Q207" s="228">
        <f t="shared" si="372"/>
        <v>1555695356</v>
      </c>
      <c r="R207" s="228">
        <f t="shared" si="372"/>
        <v>0</v>
      </c>
      <c r="S207" s="228">
        <f t="shared" si="372"/>
        <v>0</v>
      </c>
      <c r="T207" s="228">
        <f t="shared" si="372"/>
        <v>0</v>
      </c>
      <c r="U207" s="228">
        <f t="shared" si="372"/>
        <v>0</v>
      </c>
      <c r="V207" s="228">
        <f t="shared" si="372"/>
        <v>30086633</v>
      </c>
      <c r="W207" s="228">
        <f t="shared" si="372"/>
        <v>1880236423</v>
      </c>
      <c r="X207" s="228">
        <f t="shared" si="372"/>
        <v>0</v>
      </c>
      <c r="Y207" s="228">
        <f t="shared" si="372"/>
        <v>2889500</v>
      </c>
      <c r="Z207" s="228">
        <f t="shared" si="372"/>
        <v>0</v>
      </c>
      <c r="AA207" s="228">
        <f t="shared" si="372"/>
        <v>0</v>
      </c>
      <c r="AB207" s="228">
        <f t="shared" si="372"/>
        <v>0</v>
      </c>
      <c r="AC207" s="228">
        <f t="shared" si="372"/>
        <v>0</v>
      </c>
      <c r="AD207" s="228">
        <f t="shared" si="372"/>
        <v>0</v>
      </c>
      <c r="AE207" s="228">
        <f t="shared" si="372"/>
        <v>0</v>
      </c>
      <c r="AF207" s="228">
        <f t="shared" si="372"/>
        <v>0</v>
      </c>
      <c r="AG207" s="228">
        <f t="shared" si="372"/>
        <v>0</v>
      </c>
      <c r="AH207" s="228">
        <f t="shared" si="372"/>
        <v>0</v>
      </c>
      <c r="AI207" s="228">
        <f t="shared" si="372"/>
        <v>0</v>
      </c>
      <c r="AJ207" s="228">
        <f t="shared" si="372"/>
        <v>0</v>
      </c>
      <c r="AK207" s="228">
        <f t="shared" si="372"/>
        <v>0</v>
      </c>
      <c r="AL207" s="228">
        <f t="shared" si="372"/>
        <v>0</v>
      </c>
      <c r="AM207" s="228">
        <f t="shared" si="372"/>
        <v>0</v>
      </c>
      <c r="AN207" s="228">
        <f t="shared" si="372"/>
        <v>0</v>
      </c>
      <c r="AO207" s="228">
        <f t="shared" si="372"/>
        <v>0</v>
      </c>
      <c r="AP207" s="228">
        <f t="shared" si="372"/>
        <v>0</v>
      </c>
      <c r="AQ207" s="228">
        <f t="shared" si="372"/>
        <v>0</v>
      </c>
      <c r="AR207" s="228">
        <f t="shared" si="337"/>
        <v>3468907912</v>
      </c>
      <c r="AS207" s="229">
        <f t="shared" si="338"/>
        <v>5.807355920512949E-3</v>
      </c>
      <c r="AT207" s="230">
        <f t="shared" si="339"/>
        <v>2504392088</v>
      </c>
      <c r="AU207" s="229">
        <f t="shared" si="340"/>
        <v>41.926440794870508</v>
      </c>
      <c r="AV207" s="220" t="s">
        <v>542</v>
      </c>
      <c r="AW207" s="220" t="s">
        <v>543</v>
      </c>
      <c r="AX207" s="220" t="s">
        <v>4729</v>
      </c>
      <c r="AY207" s="228">
        <f t="shared" ref="AY207:BA207" si="373">AY208+AY215+AY221+AY225</f>
        <v>0</v>
      </c>
      <c r="AZ207" s="228">
        <f t="shared" si="373"/>
        <v>0</v>
      </c>
      <c r="BA207" s="228">
        <f t="shared" si="373"/>
        <v>0</v>
      </c>
      <c r="BB207" s="228">
        <f t="shared" ref="BB207" si="374">BB208+BB215+BB221+BB225</f>
        <v>0</v>
      </c>
      <c r="BC207" s="228">
        <f t="shared" ref="BC207" si="375">BC208+BC215+BC221+BC225</f>
        <v>0</v>
      </c>
      <c r="BD207" s="228">
        <f t="shared" ref="BD207:BE207" si="376">BD208+BD215+BD221+BD225</f>
        <v>0</v>
      </c>
      <c r="BE207" s="228">
        <f t="shared" si="376"/>
        <v>30086633</v>
      </c>
      <c r="BF207" s="228">
        <f t="shared" ref="BF207" si="377">BF208+BF215+BF221+BF225</f>
        <v>2889500</v>
      </c>
    </row>
    <row r="208" spans="2:62" x14ac:dyDescent="0.3">
      <c r="B208" s="290" t="s">
        <v>8</v>
      </c>
      <c r="C208" s="222" t="s">
        <v>190</v>
      </c>
      <c r="D208" s="222"/>
      <c r="E208" s="222"/>
      <c r="F208" s="223">
        <f>SUM(F209:F214)</f>
        <v>1713564000</v>
      </c>
      <c r="G208" s="223">
        <f>SUM(G209:G214)</f>
        <v>1713564000</v>
      </c>
      <c r="H208" s="223">
        <f t="shared" ref="H208:AQ208" si="378">SUM(H209:H214)</f>
        <v>0</v>
      </c>
      <c r="I208" s="223">
        <f t="shared" si="378"/>
        <v>0</v>
      </c>
      <c r="J208" s="223">
        <f t="shared" si="378"/>
        <v>0</v>
      </c>
      <c r="K208" s="223">
        <f t="shared" si="378"/>
        <v>0</v>
      </c>
      <c r="L208" s="223">
        <f t="shared" si="378"/>
        <v>0</v>
      </c>
      <c r="M208" s="223">
        <f t="shared" si="378"/>
        <v>0</v>
      </c>
      <c r="N208" s="223">
        <f t="shared" si="378"/>
        <v>0</v>
      </c>
      <c r="O208" s="223">
        <f t="shared" si="378"/>
        <v>0</v>
      </c>
      <c r="P208" s="223">
        <f t="shared" si="378"/>
        <v>0</v>
      </c>
      <c r="Q208" s="223">
        <f t="shared" si="378"/>
        <v>5900000</v>
      </c>
      <c r="R208" s="223">
        <f t="shared" si="378"/>
        <v>0</v>
      </c>
      <c r="S208" s="223">
        <f t="shared" si="378"/>
        <v>0</v>
      </c>
      <c r="T208" s="223">
        <f t="shared" si="378"/>
        <v>0</v>
      </c>
      <c r="U208" s="223">
        <f t="shared" si="378"/>
        <v>0</v>
      </c>
      <c r="V208" s="223">
        <f t="shared" si="378"/>
        <v>4855000</v>
      </c>
      <c r="W208" s="223">
        <f t="shared" si="378"/>
        <v>14635000</v>
      </c>
      <c r="X208" s="223">
        <f t="shared" si="378"/>
        <v>0</v>
      </c>
      <c r="Y208" s="223">
        <f t="shared" si="378"/>
        <v>0</v>
      </c>
      <c r="Z208" s="223">
        <f t="shared" si="378"/>
        <v>0</v>
      </c>
      <c r="AA208" s="223">
        <f t="shared" si="378"/>
        <v>0</v>
      </c>
      <c r="AB208" s="223">
        <f t="shared" si="378"/>
        <v>0</v>
      </c>
      <c r="AC208" s="223">
        <f t="shared" si="378"/>
        <v>0</v>
      </c>
      <c r="AD208" s="223">
        <f t="shared" si="378"/>
        <v>0</v>
      </c>
      <c r="AE208" s="223">
        <f t="shared" si="378"/>
        <v>0</v>
      </c>
      <c r="AF208" s="223">
        <f t="shared" si="378"/>
        <v>0</v>
      </c>
      <c r="AG208" s="223">
        <f t="shared" si="378"/>
        <v>0</v>
      </c>
      <c r="AH208" s="223">
        <f t="shared" si="378"/>
        <v>0</v>
      </c>
      <c r="AI208" s="223">
        <f t="shared" si="378"/>
        <v>0</v>
      </c>
      <c r="AJ208" s="223">
        <f t="shared" si="378"/>
        <v>0</v>
      </c>
      <c r="AK208" s="223">
        <f t="shared" si="378"/>
        <v>0</v>
      </c>
      <c r="AL208" s="223">
        <f t="shared" si="378"/>
        <v>0</v>
      </c>
      <c r="AM208" s="223">
        <f t="shared" si="378"/>
        <v>0</v>
      </c>
      <c r="AN208" s="223">
        <f t="shared" si="378"/>
        <v>0</v>
      </c>
      <c r="AO208" s="223">
        <f t="shared" si="378"/>
        <v>0</v>
      </c>
      <c r="AP208" s="223">
        <f t="shared" si="378"/>
        <v>0</v>
      </c>
      <c r="AQ208" s="223">
        <f t="shared" si="378"/>
        <v>0</v>
      </c>
      <c r="AR208" s="223">
        <f t="shared" si="337"/>
        <v>25390000</v>
      </c>
      <c r="AS208" s="231">
        <f t="shared" si="338"/>
        <v>1.4817071320359204E-4</v>
      </c>
      <c r="AT208" s="232">
        <f t="shared" si="339"/>
        <v>1688174000</v>
      </c>
      <c r="AU208" s="231">
        <f t="shared" si="340"/>
        <v>98.518292867964078</v>
      </c>
      <c r="AV208" s="220" t="s">
        <v>542</v>
      </c>
      <c r="AW208" s="220" t="s">
        <v>543</v>
      </c>
      <c r="AX208" s="220" t="s">
        <v>4729</v>
      </c>
      <c r="AY208" s="223">
        <f t="shared" ref="AY208:BA208" si="379">SUM(AY209:AY214)</f>
        <v>0</v>
      </c>
      <c r="AZ208" s="223">
        <f t="shared" si="379"/>
        <v>0</v>
      </c>
      <c r="BA208" s="223">
        <f t="shared" si="379"/>
        <v>0</v>
      </c>
      <c r="BB208" s="223">
        <f t="shared" ref="BB208" si="380">SUM(BB209:BB214)</f>
        <v>0</v>
      </c>
      <c r="BC208" s="223">
        <f t="shared" ref="BC208" si="381">SUM(BC209:BC214)</f>
        <v>0</v>
      </c>
      <c r="BD208" s="223">
        <f t="shared" ref="BD208:BE208" si="382">SUM(BD209:BD214)</f>
        <v>0</v>
      </c>
      <c r="BE208" s="223">
        <f t="shared" si="382"/>
        <v>4855000</v>
      </c>
      <c r="BF208" s="223">
        <f t="shared" ref="BF208" si="383">SUM(BF209:BF214)</f>
        <v>0</v>
      </c>
    </row>
    <row r="209" spans="2:58" x14ac:dyDescent="0.3">
      <c r="B209" s="288">
        <v>521211</v>
      </c>
      <c r="C209" s="220" t="s">
        <v>7</v>
      </c>
      <c r="D209" s="220"/>
      <c r="E209" s="220"/>
      <c r="F209" s="221">
        <v>99100000</v>
      </c>
      <c r="G209" s="221">
        <v>99100000</v>
      </c>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f t="shared" si="337"/>
        <v>0</v>
      </c>
      <c r="AS209" s="224">
        <f t="shared" si="338"/>
        <v>0</v>
      </c>
      <c r="AT209" s="225">
        <f t="shared" si="339"/>
        <v>99100000</v>
      </c>
      <c r="AU209" s="224">
        <f t="shared" si="340"/>
        <v>100</v>
      </c>
      <c r="AV209" s="220" t="s">
        <v>542</v>
      </c>
      <c r="AW209" s="220" t="s">
        <v>543</v>
      </c>
      <c r="AX209" s="220" t="s">
        <v>4729</v>
      </c>
      <c r="AY209" s="221"/>
      <c r="AZ209" s="221"/>
      <c r="BA209" s="221"/>
      <c r="BB209" s="221"/>
      <c r="BC209" s="221"/>
      <c r="BD209" s="221"/>
      <c r="BE209" s="221"/>
      <c r="BF209" s="221"/>
    </row>
    <row r="210" spans="2:58" x14ac:dyDescent="0.3">
      <c r="B210" s="288">
        <v>521219</v>
      </c>
      <c r="C210" s="220" t="s">
        <v>53</v>
      </c>
      <c r="D210" s="220"/>
      <c r="E210" s="220"/>
      <c r="F210" s="221">
        <v>1333864000</v>
      </c>
      <c r="G210" s="221">
        <v>1333864000</v>
      </c>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c r="AR210" s="221">
        <f t="shared" si="337"/>
        <v>0</v>
      </c>
      <c r="AS210" s="224">
        <f t="shared" si="338"/>
        <v>0</v>
      </c>
      <c r="AT210" s="225">
        <f t="shared" si="339"/>
        <v>1333864000</v>
      </c>
      <c r="AU210" s="224">
        <f t="shared" si="340"/>
        <v>100</v>
      </c>
      <c r="AV210" s="220" t="s">
        <v>542</v>
      </c>
      <c r="AW210" s="220" t="s">
        <v>543</v>
      </c>
      <c r="AX210" s="383" t="s">
        <v>4729</v>
      </c>
      <c r="AY210" s="221"/>
      <c r="AZ210" s="221"/>
      <c r="BA210" s="221"/>
      <c r="BB210" s="221"/>
      <c r="BC210" s="221"/>
      <c r="BD210" s="221"/>
      <c r="BE210" s="221"/>
      <c r="BF210" s="221"/>
    </row>
    <row r="211" spans="2:58" x14ac:dyDescent="0.3">
      <c r="B211" s="288">
        <v>521811</v>
      </c>
      <c r="C211" s="220" t="s">
        <v>64</v>
      </c>
      <c r="D211" s="220"/>
      <c r="E211" s="220"/>
      <c r="F211" s="221">
        <v>25000000</v>
      </c>
      <c r="G211" s="221">
        <v>25000000</v>
      </c>
      <c r="H211" s="221"/>
      <c r="I211" s="221"/>
      <c r="J211" s="221"/>
      <c r="K211" s="221"/>
      <c r="L211" s="221"/>
      <c r="M211" s="221"/>
      <c r="N211" s="221"/>
      <c r="O211" s="221"/>
      <c r="P211" s="221"/>
      <c r="Q211" s="221"/>
      <c r="R211" s="221"/>
      <c r="S211" s="221"/>
      <c r="T211" s="221"/>
      <c r="U211" s="221"/>
      <c r="V211" s="221">
        <v>4855000</v>
      </c>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c r="AR211" s="221">
        <f t="shared" si="337"/>
        <v>4855000</v>
      </c>
      <c r="AS211" s="224">
        <f t="shared" si="338"/>
        <v>1.9420000000000001E-3</v>
      </c>
      <c r="AT211" s="225">
        <f t="shared" si="339"/>
        <v>20145000</v>
      </c>
      <c r="AU211" s="224">
        <f t="shared" si="340"/>
        <v>80.58</v>
      </c>
      <c r="AV211" s="220" t="s">
        <v>542</v>
      </c>
      <c r="AW211" s="220" t="s">
        <v>543</v>
      </c>
      <c r="AX211" s="220" t="s">
        <v>4729</v>
      </c>
      <c r="AY211" s="221"/>
      <c r="AZ211" s="221"/>
      <c r="BA211" s="221"/>
      <c r="BB211" s="221"/>
      <c r="BC211" s="221"/>
      <c r="BD211" s="221"/>
      <c r="BE211" s="221">
        <v>4855000</v>
      </c>
      <c r="BF211" s="221"/>
    </row>
    <row r="212" spans="2:58" x14ac:dyDescent="0.3">
      <c r="B212" s="288">
        <v>522151</v>
      </c>
      <c r="C212" s="220" t="s">
        <v>11</v>
      </c>
      <c r="D212" s="220"/>
      <c r="E212" s="220"/>
      <c r="F212" s="221">
        <v>15000000</v>
      </c>
      <c r="G212" s="221">
        <v>15000000</v>
      </c>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c r="AR212" s="221">
        <f t="shared" si="337"/>
        <v>0</v>
      </c>
      <c r="AS212" s="224">
        <f t="shared" si="338"/>
        <v>0</v>
      </c>
      <c r="AT212" s="225">
        <f t="shared" si="339"/>
        <v>15000000</v>
      </c>
      <c r="AU212" s="224">
        <f t="shared" si="340"/>
        <v>100</v>
      </c>
      <c r="AV212" s="220" t="s">
        <v>542</v>
      </c>
      <c r="AW212" s="220" t="s">
        <v>543</v>
      </c>
      <c r="AX212" s="220" t="s">
        <v>4729</v>
      </c>
      <c r="AY212" s="221"/>
      <c r="AZ212" s="221"/>
      <c r="BA212" s="221"/>
      <c r="BB212" s="221"/>
      <c r="BC212" s="221"/>
      <c r="BD212" s="221"/>
      <c r="BE212" s="221"/>
      <c r="BF212" s="221"/>
    </row>
    <row r="213" spans="2:58" x14ac:dyDescent="0.3">
      <c r="B213" s="288">
        <v>522191</v>
      </c>
      <c r="C213" s="220" t="s">
        <v>22</v>
      </c>
      <c r="D213" s="220"/>
      <c r="E213" s="220"/>
      <c r="F213" s="221">
        <v>102600000</v>
      </c>
      <c r="G213" s="221">
        <v>102600000</v>
      </c>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c r="AR213" s="221">
        <f t="shared" si="337"/>
        <v>0</v>
      </c>
      <c r="AS213" s="224">
        <f t="shared" si="338"/>
        <v>0</v>
      </c>
      <c r="AT213" s="225">
        <f t="shared" si="339"/>
        <v>102600000</v>
      </c>
      <c r="AU213" s="224">
        <f t="shared" si="340"/>
        <v>100</v>
      </c>
      <c r="AV213" s="220" t="s">
        <v>542</v>
      </c>
      <c r="AW213" s="220" t="s">
        <v>543</v>
      </c>
      <c r="AX213" s="220" t="s">
        <v>4729</v>
      </c>
      <c r="AY213" s="221"/>
      <c r="AZ213" s="221"/>
      <c r="BA213" s="221"/>
      <c r="BB213" s="221"/>
      <c r="BC213" s="221"/>
      <c r="BD213" s="221"/>
      <c r="BE213" s="221"/>
      <c r="BF213" s="221"/>
    </row>
    <row r="214" spans="2:58" x14ac:dyDescent="0.3">
      <c r="B214" s="288">
        <v>524111</v>
      </c>
      <c r="C214" s="220" t="s">
        <v>19</v>
      </c>
      <c r="D214" s="220"/>
      <c r="E214" s="220"/>
      <c r="F214" s="221">
        <v>138000000</v>
      </c>
      <c r="G214" s="221">
        <v>138000000</v>
      </c>
      <c r="H214" s="221"/>
      <c r="I214" s="221"/>
      <c r="J214" s="221"/>
      <c r="K214" s="221"/>
      <c r="L214" s="221"/>
      <c r="M214" s="221"/>
      <c r="N214" s="221"/>
      <c r="O214" s="221"/>
      <c r="P214" s="221"/>
      <c r="Q214" s="221">
        <v>5900000</v>
      </c>
      <c r="R214" s="221"/>
      <c r="S214" s="221"/>
      <c r="T214" s="221"/>
      <c r="U214" s="221"/>
      <c r="V214" s="221"/>
      <c r="W214" s="221">
        <v>14635000</v>
      </c>
      <c r="X214" s="221"/>
      <c r="Y214" s="221"/>
      <c r="Z214" s="221"/>
      <c r="AA214" s="221"/>
      <c r="AB214" s="221"/>
      <c r="AC214" s="221"/>
      <c r="AD214" s="221"/>
      <c r="AE214" s="221"/>
      <c r="AF214" s="221"/>
      <c r="AG214" s="221"/>
      <c r="AH214" s="221"/>
      <c r="AI214" s="221"/>
      <c r="AJ214" s="221"/>
      <c r="AK214" s="221"/>
      <c r="AL214" s="221"/>
      <c r="AM214" s="221"/>
      <c r="AN214" s="221"/>
      <c r="AO214" s="221"/>
      <c r="AP214" s="221"/>
      <c r="AQ214" s="221"/>
      <c r="AR214" s="221">
        <f t="shared" si="337"/>
        <v>20535000</v>
      </c>
      <c r="AS214" s="224">
        <f t="shared" si="338"/>
        <v>1.4880434782608696E-3</v>
      </c>
      <c r="AT214" s="225">
        <f t="shared" si="339"/>
        <v>117465000</v>
      </c>
      <c r="AU214" s="224">
        <f t="shared" si="340"/>
        <v>85.119565217391298</v>
      </c>
      <c r="AV214" s="220" t="s">
        <v>542</v>
      </c>
      <c r="AW214" s="220" t="s">
        <v>543</v>
      </c>
      <c r="AX214" s="220" t="s">
        <v>4729</v>
      </c>
      <c r="AY214" s="221"/>
      <c r="AZ214" s="221"/>
      <c r="BA214" s="221"/>
      <c r="BB214" s="221"/>
      <c r="BC214" s="221"/>
      <c r="BD214" s="221"/>
      <c r="BE214" s="221"/>
      <c r="BF214" s="221"/>
    </row>
    <row r="215" spans="2:58" x14ac:dyDescent="0.3">
      <c r="B215" s="290" t="s">
        <v>511</v>
      </c>
      <c r="C215" s="222" t="s">
        <v>191</v>
      </c>
      <c r="D215" s="222"/>
      <c r="E215" s="222"/>
      <c r="F215" s="223">
        <f t="shared" ref="F215:AQ215" si="384">SUM(F216:F220)</f>
        <v>4085695000</v>
      </c>
      <c r="G215" s="223">
        <f t="shared" ref="G215" si="385">SUM(G216:G220)</f>
        <v>6555695000</v>
      </c>
      <c r="H215" s="223">
        <f t="shared" si="384"/>
        <v>0</v>
      </c>
      <c r="I215" s="223">
        <f t="shared" si="384"/>
        <v>0</v>
      </c>
      <c r="J215" s="223">
        <f t="shared" si="384"/>
        <v>0</v>
      </c>
      <c r="K215" s="223">
        <f t="shared" si="384"/>
        <v>0</v>
      </c>
      <c r="L215" s="223">
        <f t="shared" si="384"/>
        <v>0</v>
      </c>
      <c r="M215" s="223">
        <f t="shared" si="384"/>
        <v>0</v>
      </c>
      <c r="N215" s="223">
        <f t="shared" si="384"/>
        <v>0</v>
      </c>
      <c r="O215" s="223">
        <f t="shared" si="384"/>
        <v>0</v>
      </c>
      <c r="P215" s="223">
        <f t="shared" si="384"/>
        <v>0</v>
      </c>
      <c r="Q215" s="223">
        <f t="shared" si="384"/>
        <v>1549795356</v>
      </c>
      <c r="R215" s="223">
        <f t="shared" si="384"/>
        <v>0</v>
      </c>
      <c r="S215" s="223">
        <f t="shared" si="384"/>
        <v>0</v>
      </c>
      <c r="T215" s="223">
        <f t="shared" si="384"/>
        <v>0</v>
      </c>
      <c r="U215" s="223">
        <f t="shared" si="384"/>
        <v>0</v>
      </c>
      <c r="V215" s="223">
        <f t="shared" si="384"/>
        <v>25231633</v>
      </c>
      <c r="W215" s="223">
        <f t="shared" si="384"/>
        <v>1865601423</v>
      </c>
      <c r="X215" s="223">
        <f t="shared" si="384"/>
        <v>0</v>
      </c>
      <c r="Y215" s="223">
        <f t="shared" si="384"/>
        <v>2889500</v>
      </c>
      <c r="Z215" s="223">
        <f t="shared" si="384"/>
        <v>0</v>
      </c>
      <c r="AA215" s="223">
        <f t="shared" si="384"/>
        <v>0</v>
      </c>
      <c r="AB215" s="223">
        <f t="shared" si="384"/>
        <v>0</v>
      </c>
      <c r="AC215" s="223">
        <f t="shared" si="384"/>
        <v>0</v>
      </c>
      <c r="AD215" s="223">
        <f t="shared" si="384"/>
        <v>0</v>
      </c>
      <c r="AE215" s="223">
        <f t="shared" si="384"/>
        <v>0</v>
      </c>
      <c r="AF215" s="223">
        <f t="shared" si="384"/>
        <v>0</v>
      </c>
      <c r="AG215" s="223">
        <f t="shared" si="384"/>
        <v>0</v>
      </c>
      <c r="AH215" s="223">
        <f t="shared" si="384"/>
        <v>0</v>
      </c>
      <c r="AI215" s="223">
        <f t="shared" si="384"/>
        <v>0</v>
      </c>
      <c r="AJ215" s="223">
        <f t="shared" si="384"/>
        <v>0</v>
      </c>
      <c r="AK215" s="223">
        <f t="shared" si="384"/>
        <v>0</v>
      </c>
      <c r="AL215" s="223">
        <f t="shared" si="384"/>
        <v>0</v>
      </c>
      <c r="AM215" s="223">
        <f t="shared" si="384"/>
        <v>0</v>
      </c>
      <c r="AN215" s="223">
        <f t="shared" si="384"/>
        <v>0</v>
      </c>
      <c r="AO215" s="223">
        <f t="shared" si="384"/>
        <v>0</v>
      </c>
      <c r="AP215" s="223">
        <f t="shared" si="384"/>
        <v>0</v>
      </c>
      <c r="AQ215" s="223">
        <f t="shared" si="384"/>
        <v>0</v>
      </c>
      <c r="AR215" s="223">
        <f t="shared" si="337"/>
        <v>3443517912</v>
      </c>
      <c r="AS215" s="231">
        <f t="shared" si="338"/>
        <v>8.4282304773116937E-3</v>
      </c>
      <c r="AT215" s="232">
        <f t="shared" si="339"/>
        <v>642177088</v>
      </c>
      <c r="AU215" s="231">
        <f t="shared" si="340"/>
        <v>15.717695226883063</v>
      </c>
      <c r="AV215" s="220" t="s">
        <v>542</v>
      </c>
      <c r="AW215" s="220" t="s">
        <v>543</v>
      </c>
      <c r="AX215" s="220" t="s">
        <v>4729</v>
      </c>
      <c r="AY215" s="223">
        <f t="shared" ref="AY215:BB215" si="386">SUM(AY216:AY220)</f>
        <v>0</v>
      </c>
      <c r="AZ215" s="223">
        <f t="shared" si="386"/>
        <v>0</v>
      </c>
      <c r="BA215" s="223">
        <f t="shared" si="386"/>
        <v>0</v>
      </c>
      <c r="BB215" s="223">
        <f t="shared" si="386"/>
        <v>0</v>
      </c>
      <c r="BC215" s="223">
        <f t="shared" ref="BC215" si="387">SUM(BC216:BC220)</f>
        <v>0</v>
      </c>
      <c r="BD215" s="223">
        <f t="shared" ref="BD215:BE215" si="388">SUM(BD216:BD220)</f>
        <v>0</v>
      </c>
      <c r="BE215" s="223">
        <f t="shared" si="388"/>
        <v>25231633</v>
      </c>
      <c r="BF215" s="223">
        <f t="shared" ref="BF215" si="389">SUM(BF216:BF220)</f>
        <v>2889500</v>
      </c>
    </row>
    <row r="216" spans="2:58" x14ac:dyDescent="0.3">
      <c r="B216" s="288">
        <v>521211</v>
      </c>
      <c r="C216" s="220" t="s">
        <v>7</v>
      </c>
      <c r="D216" s="220"/>
      <c r="E216" s="220"/>
      <c r="F216" s="221">
        <v>25000000</v>
      </c>
      <c r="G216" s="221">
        <v>25000000</v>
      </c>
      <c r="H216" s="221"/>
      <c r="I216" s="221"/>
      <c r="J216" s="221"/>
      <c r="K216" s="221"/>
      <c r="L216" s="221"/>
      <c r="M216" s="221"/>
      <c r="N216" s="221"/>
      <c r="O216" s="221"/>
      <c r="P216" s="221"/>
      <c r="Q216" s="221"/>
      <c r="R216" s="221"/>
      <c r="S216" s="221"/>
      <c r="T216" s="221"/>
      <c r="U216" s="221"/>
      <c r="V216" s="221">
        <v>1475000</v>
      </c>
      <c r="W216" s="221"/>
      <c r="X216" s="221"/>
      <c r="Y216" s="221">
        <v>1442500</v>
      </c>
      <c r="Z216" s="221"/>
      <c r="AA216" s="221"/>
      <c r="AB216" s="221"/>
      <c r="AC216" s="221"/>
      <c r="AD216" s="221"/>
      <c r="AE216" s="221"/>
      <c r="AF216" s="221"/>
      <c r="AG216" s="221"/>
      <c r="AH216" s="221"/>
      <c r="AI216" s="221"/>
      <c r="AJ216" s="221"/>
      <c r="AK216" s="221"/>
      <c r="AL216" s="221"/>
      <c r="AM216" s="221"/>
      <c r="AN216" s="221"/>
      <c r="AO216" s="221"/>
      <c r="AP216" s="221"/>
      <c r="AQ216" s="221"/>
      <c r="AR216" s="221">
        <f t="shared" si="337"/>
        <v>2917500</v>
      </c>
      <c r="AS216" s="224">
        <f t="shared" si="338"/>
        <v>1.1670000000000001E-3</v>
      </c>
      <c r="AT216" s="225">
        <f t="shared" si="339"/>
        <v>22082500</v>
      </c>
      <c r="AU216" s="224">
        <f t="shared" si="340"/>
        <v>88.33</v>
      </c>
      <c r="AV216" s="220" t="s">
        <v>542</v>
      </c>
      <c r="AW216" s="220" t="s">
        <v>543</v>
      </c>
      <c r="AX216" s="220" t="s">
        <v>4729</v>
      </c>
      <c r="AY216" s="221"/>
      <c r="AZ216" s="221"/>
      <c r="BA216" s="221"/>
      <c r="BB216" s="221"/>
      <c r="BC216" s="221"/>
      <c r="BD216" s="221"/>
      <c r="BE216" s="221">
        <v>1475000</v>
      </c>
      <c r="BF216" s="221">
        <v>1442500</v>
      </c>
    </row>
    <row r="217" spans="2:58" x14ac:dyDescent="0.3">
      <c r="B217" s="288">
        <v>521219</v>
      </c>
      <c r="C217" s="220" t="s">
        <v>53</v>
      </c>
      <c r="D217" s="220"/>
      <c r="E217" s="220"/>
      <c r="F217" s="221">
        <v>3808695000</v>
      </c>
      <c r="G217" s="221">
        <v>6308695000</v>
      </c>
      <c r="H217" s="221"/>
      <c r="I217" s="221"/>
      <c r="J217" s="221"/>
      <c r="K217" s="221"/>
      <c r="L217" s="221"/>
      <c r="M217" s="221"/>
      <c r="N217" s="221"/>
      <c r="O217" s="221"/>
      <c r="P217" s="221"/>
      <c r="Q217" s="221">
        <f>830060208+5925000+5925000+577980144+112130004+11850000+5925000</f>
        <v>1549795356</v>
      </c>
      <c r="R217" s="221"/>
      <c r="S217" s="221"/>
      <c r="T217" s="221"/>
      <c r="U217" s="221"/>
      <c r="V217" s="221"/>
      <c r="W217" s="221">
        <f>430825000+180000000+30000000+784200000+253750000+154545850+9950000</f>
        <v>1843270850</v>
      </c>
      <c r="X217" s="221"/>
      <c r="Y217" s="221"/>
      <c r="Z217" s="221"/>
      <c r="AA217" s="221"/>
      <c r="AB217" s="221"/>
      <c r="AC217" s="221"/>
      <c r="AD217" s="221"/>
      <c r="AE217" s="221"/>
      <c r="AF217" s="221"/>
      <c r="AG217" s="221"/>
      <c r="AH217" s="221"/>
      <c r="AI217" s="221"/>
      <c r="AJ217" s="221"/>
      <c r="AK217" s="221"/>
      <c r="AL217" s="221"/>
      <c r="AM217" s="221"/>
      <c r="AN217" s="221"/>
      <c r="AO217" s="221"/>
      <c r="AP217" s="221"/>
      <c r="AQ217" s="221"/>
      <c r="AR217" s="221">
        <f t="shared" si="337"/>
        <v>3393066206</v>
      </c>
      <c r="AS217" s="224">
        <f t="shared" si="338"/>
        <v>8.9087369978430933E-3</v>
      </c>
      <c r="AT217" s="225">
        <f t="shared" si="339"/>
        <v>415628794</v>
      </c>
      <c r="AU217" s="224">
        <f t="shared" si="340"/>
        <v>10.912630021569068</v>
      </c>
      <c r="AV217" s="220" t="s">
        <v>542</v>
      </c>
      <c r="AW217" s="220" t="s">
        <v>543</v>
      </c>
      <c r="AX217" s="220" t="s">
        <v>4729</v>
      </c>
      <c r="AY217" s="221"/>
      <c r="AZ217" s="221"/>
      <c r="BA217" s="221"/>
      <c r="BB217" s="221"/>
      <c r="BC217" s="221"/>
      <c r="BD217" s="221"/>
      <c r="BE217" s="221"/>
      <c r="BF217" s="221"/>
    </row>
    <row r="218" spans="2:58" x14ac:dyDescent="0.3">
      <c r="B218" s="288">
        <v>521811</v>
      </c>
      <c r="C218" s="220" t="s">
        <v>64</v>
      </c>
      <c r="D218" s="220"/>
      <c r="E218" s="220"/>
      <c r="F218" s="221">
        <v>30000000</v>
      </c>
      <c r="G218" s="221">
        <v>30000000</v>
      </c>
      <c r="H218" s="221"/>
      <c r="I218" s="221"/>
      <c r="J218" s="221"/>
      <c r="K218" s="221"/>
      <c r="L218" s="221"/>
      <c r="M218" s="221"/>
      <c r="N218" s="221"/>
      <c r="O218" s="221"/>
      <c r="P218" s="221"/>
      <c r="Q218" s="221"/>
      <c r="R218" s="221"/>
      <c r="S218" s="221"/>
      <c r="T218" s="221"/>
      <c r="U218" s="221"/>
      <c r="V218" s="221">
        <v>3364000</v>
      </c>
      <c r="W218" s="221"/>
      <c r="X218" s="221"/>
      <c r="Y218" s="221">
        <v>1447000</v>
      </c>
      <c r="Z218" s="221"/>
      <c r="AA218" s="221"/>
      <c r="AB218" s="221"/>
      <c r="AC218" s="221"/>
      <c r="AD218" s="221"/>
      <c r="AE218" s="221"/>
      <c r="AF218" s="221"/>
      <c r="AG218" s="221"/>
      <c r="AH218" s="221"/>
      <c r="AI218" s="221"/>
      <c r="AJ218" s="221"/>
      <c r="AK218" s="221"/>
      <c r="AL218" s="221"/>
      <c r="AM218" s="221"/>
      <c r="AN218" s="221"/>
      <c r="AO218" s="221"/>
      <c r="AP218" s="221"/>
      <c r="AQ218" s="221"/>
      <c r="AR218" s="221">
        <f t="shared" si="337"/>
        <v>4811000</v>
      </c>
      <c r="AS218" s="224">
        <f t="shared" si="338"/>
        <v>1.6036666666666667E-3</v>
      </c>
      <c r="AT218" s="225">
        <f t="shared" si="339"/>
        <v>25189000</v>
      </c>
      <c r="AU218" s="224">
        <f t="shared" si="340"/>
        <v>83.963333333333338</v>
      </c>
      <c r="AV218" s="220" t="s">
        <v>542</v>
      </c>
      <c r="AW218" s="220" t="s">
        <v>543</v>
      </c>
      <c r="AX218" s="220" t="s">
        <v>4729</v>
      </c>
      <c r="AY218" s="221"/>
      <c r="AZ218" s="221"/>
      <c r="BA218" s="221"/>
      <c r="BB218" s="221"/>
      <c r="BC218" s="221"/>
      <c r="BD218" s="221"/>
      <c r="BE218" s="221">
        <v>3364000</v>
      </c>
      <c r="BF218" s="221">
        <v>1447000</v>
      </c>
    </row>
    <row r="219" spans="2:58" x14ac:dyDescent="0.3">
      <c r="B219" s="288">
        <v>522151</v>
      </c>
      <c r="C219" s="220" t="s">
        <v>11</v>
      </c>
      <c r="D219" s="220"/>
      <c r="E219" s="220"/>
      <c r="F219" s="221">
        <v>6000000</v>
      </c>
      <c r="G219" s="221">
        <v>6000000</v>
      </c>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c r="AR219" s="221">
        <f t="shared" si="337"/>
        <v>0</v>
      </c>
      <c r="AS219" s="224">
        <f t="shared" si="338"/>
        <v>0</v>
      </c>
      <c r="AT219" s="225">
        <f t="shared" si="339"/>
        <v>6000000</v>
      </c>
      <c r="AU219" s="224">
        <f t="shared" si="340"/>
        <v>100</v>
      </c>
      <c r="AV219" s="220" t="s">
        <v>542</v>
      </c>
      <c r="AW219" s="220" t="s">
        <v>543</v>
      </c>
      <c r="AX219" s="220" t="s">
        <v>4729</v>
      </c>
      <c r="AY219" s="221"/>
      <c r="AZ219" s="221"/>
      <c r="BA219" s="221"/>
      <c r="BB219" s="221"/>
      <c r="BC219" s="221"/>
      <c r="BD219" s="221"/>
      <c r="BE219" s="221"/>
      <c r="BF219" s="221"/>
    </row>
    <row r="220" spans="2:58" x14ac:dyDescent="0.3">
      <c r="B220" s="288">
        <v>524111</v>
      </c>
      <c r="C220" s="220" t="s">
        <v>19</v>
      </c>
      <c r="D220" s="220"/>
      <c r="E220" s="220"/>
      <c r="F220" s="221">
        <v>216000000</v>
      </c>
      <c r="G220" s="221">
        <v>186000000</v>
      </c>
      <c r="H220" s="221"/>
      <c r="I220" s="221"/>
      <c r="J220" s="221"/>
      <c r="K220" s="221"/>
      <c r="L220" s="221"/>
      <c r="M220" s="221"/>
      <c r="N220" s="221"/>
      <c r="O220" s="221"/>
      <c r="P220" s="221"/>
      <c r="Q220" s="221"/>
      <c r="R220" s="221"/>
      <c r="S220" s="221"/>
      <c r="T220" s="221"/>
      <c r="U220" s="221"/>
      <c r="V220" s="221">
        <v>20392633</v>
      </c>
      <c r="W220" s="221">
        <f>6450000+15880573</f>
        <v>22330573</v>
      </c>
      <c r="X220" s="221"/>
      <c r="Y220" s="221"/>
      <c r="Z220" s="221"/>
      <c r="AA220" s="221"/>
      <c r="AB220" s="221"/>
      <c r="AC220" s="221"/>
      <c r="AD220" s="221"/>
      <c r="AE220" s="221"/>
      <c r="AF220" s="221"/>
      <c r="AG220" s="221"/>
      <c r="AH220" s="221"/>
      <c r="AI220" s="221"/>
      <c r="AJ220" s="221"/>
      <c r="AK220" s="221"/>
      <c r="AL220" s="221"/>
      <c r="AM220" s="221"/>
      <c r="AN220" s="221"/>
      <c r="AO220" s="221"/>
      <c r="AP220" s="221"/>
      <c r="AQ220" s="221"/>
      <c r="AR220" s="221">
        <f t="shared" si="337"/>
        <v>42723206</v>
      </c>
      <c r="AS220" s="224">
        <f t="shared" si="338"/>
        <v>1.9779262037037037E-3</v>
      </c>
      <c r="AT220" s="225">
        <f t="shared" si="339"/>
        <v>173276794</v>
      </c>
      <c r="AU220" s="224">
        <f t="shared" si="340"/>
        <v>80.220737962962957</v>
      </c>
      <c r="AV220" s="220" t="s">
        <v>542</v>
      </c>
      <c r="AW220" s="220" t="s">
        <v>543</v>
      </c>
      <c r="AX220" s="220" t="s">
        <v>4729</v>
      </c>
      <c r="AY220" s="221"/>
      <c r="AZ220" s="221"/>
      <c r="BA220" s="221"/>
      <c r="BB220" s="221"/>
      <c r="BC220" s="221"/>
      <c r="BD220" s="221"/>
      <c r="BE220" s="221">
        <v>20392633</v>
      </c>
      <c r="BF220" s="221"/>
    </row>
    <row r="221" spans="2:58" x14ac:dyDescent="0.3">
      <c r="B221" s="290" t="s">
        <v>512</v>
      </c>
      <c r="C221" s="222" t="s">
        <v>192</v>
      </c>
      <c r="D221" s="222"/>
      <c r="E221" s="222"/>
      <c r="F221" s="223">
        <f t="shared" ref="F221:AQ221" si="390">SUM(F222:F224)</f>
        <v>174041000</v>
      </c>
      <c r="G221" s="223">
        <f t="shared" ref="G221" si="391">SUM(G222:G224)</f>
        <v>174041000</v>
      </c>
      <c r="H221" s="223">
        <f t="shared" si="390"/>
        <v>0</v>
      </c>
      <c r="I221" s="223">
        <f t="shared" si="390"/>
        <v>0</v>
      </c>
      <c r="J221" s="223">
        <f t="shared" si="390"/>
        <v>0</v>
      </c>
      <c r="K221" s="223">
        <f t="shared" si="390"/>
        <v>0</v>
      </c>
      <c r="L221" s="223">
        <f t="shared" si="390"/>
        <v>0</v>
      </c>
      <c r="M221" s="223">
        <f t="shared" si="390"/>
        <v>0</v>
      </c>
      <c r="N221" s="223">
        <f t="shared" si="390"/>
        <v>0</v>
      </c>
      <c r="O221" s="223">
        <f t="shared" si="390"/>
        <v>0</v>
      </c>
      <c r="P221" s="223">
        <f t="shared" si="390"/>
        <v>0</v>
      </c>
      <c r="Q221" s="223">
        <f t="shared" si="390"/>
        <v>0</v>
      </c>
      <c r="R221" s="223">
        <f t="shared" si="390"/>
        <v>0</v>
      </c>
      <c r="S221" s="223">
        <f t="shared" si="390"/>
        <v>0</v>
      </c>
      <c r="T221" s="223">
        <f t="shared" si="390"/>
        <v>0</v>
      </c>
      <c r="U221" s="223">
        <f t="shared" si="390"/>
        <v>0</v>
      </c>
      <c r="V221" s="223">
        <f t="shared" si="390"/>
        <v>0</v>
      </c>
      <c r="W221" s="223">
        <f t="shared" si="390"/>
        <v>0</v>
      </c>
      <c r="X221" s="223">
        <f t="shared" si="390"/>
        <v>0</v>
      </c>
      <c r="Y221" s="223">
        <f t="shared" si="390"/>
        <v>0</v>
      </c>
      <c r="Z221" s="223">
        <f t="shared" si="390"/>
        <v>0</v>
      </c>
      <c r="AA221" s="223">
        <f t="shared" si="390"/>
        <v>0</v>
      </c>
      <c r="AB221" s="223">
        <f t="shared" si="390"/>
        <v>0</v>
      </c>
      <c r="AC221" s="223">
        <f t="shared" si="390"/>
        <v>0</v>
      </c>
      <c r="AD221" s="223">
        <f t="shared" si="390"/>
        <v>0</v>
      </c>
      <c r="AE221" s="223">
        <f t="shared" si="390"/>
        <v>0</v>
      </c>
      <c r="AF221" s="223">
        <f t="shared" si="390"/>
        <v>0</v>
      </c>
      <c r="AG221" s="223">
        <f t="shared" si="390"/>
        <v>0</v>
      </c>
      <c r="AH221" s="223">
        <f t="shared" si="390"/>
        <v>0</v>
      </c>
      <c r="AI221" s="223">
        <f t="shared" si="390"/>
        <v>0</v>
      </c>
      <c r="AJ221" s="223">
        <f t="shared" si="390"/>
        <v>0</v>
      </c>
      <c r="AK221" s="223">
        <f t="shared" si="390"/>
        <v>0</v>
      </c>
      <c r="AL221" s="223">
        <f t="shared" si="390"/>
        <v>0</v>
      </c>
      <c r="AM221" s="223">
        <f t="shared" si="390"/>
        <v>0</v>
      </c>
      <c r="AN221" s="223">
        <f t="shared" si="390"/>
        <v>0</v>
      </c>
      <c r="AO221" s="223">
        <f t="shared" si="390"/>
        <v>0</v>
      </c>
      <c r="AP221" s="223">
        <f t="shared" si="390"/>
        <v>0</v>
      </c>
      <c r="AQ221" s="223">
        <f t="shared" si="390"/>
        <v>0</v>
      </c>
      <c r="AR221" s="223">
        <f t="shared" si="337"/>
        <v>0</v>
      </c>
      <c r="AS221" s="231">
        <f t="shared" si="338"/>
        <v>0</v>
      </c>
      <c r="AT221" s="232">
        <f t="shared" si="339"/>
        <v>174041000</v>
      </c>
      <c r="AU221" s="231">
        <f t="shared" si="340"/>
        <v>100</v>
      </c>
      <c r="AV221" s="220" t="s">
        <v>542</v>
      </c>
      <c r="AW221" s="220" t="s">
        <v>543</v>
      </c>
      <c r="AX221" s="220" t="s">
        <v>4729</v>
      </c>
      <c r="AY221" s="223">
        <f t="shared" ref="AY221:BB221" si="392">SUM(AY222:AY224)</f>
        <v>0</v>
      </c>
      <c r="AZ221" s="223">
        <f t="shared" si="392"/>
        <v>0</v>
      </c>
      <c r="BA221" s="223">
        <f t="shared" si="392"/>
        <v>0</v>
      </c>
      <c r="BB221" s="223">
        <f t="shared" si="392"/>
        <v>0</v>
      </c>
      <c r="BC221" s="223">
        <f t="shared" ref="BC221" si="393">SUM(BC222:BC224)</f>
        <v>0</v>
      </c>
      <c r="BD221" s="223">
        <f t="shared" ref="BD221:BE221" si="394">SUM(BD222:BD224)</f>
        <v>0</v>
      </c>
      <c r="BE221" s="223">
        <f t="shared" si="394"/>
        <v>0</v>
      </c>
      <c r="BF221" s="223">
        <f t="shared" ref="BF221" si="395">SUM(BF222:BF224)</f>
        <v>0</v>
      </c>
    </row>
    <row r="222" spans="2:58" x14ac:dyDescent="0.3">
      <c r="B222" s="288">
        <v>521211</v>
      </c>
      <c r="C222" s="220" t="s">
        <v>7</v>
      </c>
      <c r="D222" s="220"/>
      <c r="E222" s="220"/>
      <c r="F222" s="221">
        <v>12000000</v>
      </c>
      <c r="G222" s="221">
        <v>12000000</v>
      </c>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c r="AR222" s="221">
        <f t="shared" si="337"/>
        <v>0</v>
      </c>
      <c r="AS222" s="224">
        <f t="shared" si="338"/>
        <v>0</v>
      </c>
      <c r="AT222" s="225">
        <f t="shared" si="339"/>
        <v>12000000</v>
      </c>
      <c r="AU222" s="224">
        <f t="shared" si="340"/>
        <v>100</v>
      </c>
      <c r="AV222" s="220" t="s">
        <v>542</v>
      </c>
      <c r="AW222" s="220" t="s">
        <v>543</v>
      </c>
      <c r="AX222" s="220" t="s">
        <v>4729</v>
      </c>
      <c r="AY222" s="221"/>
      <c r="AZ222" s="221"/>
      <c r="BA222" s="221"/>
      <c r="BB222" s="221"/>
      <c r="BC222" s="221"/>
      <c r="BD222" s="221"/>
      <c r="BE222" s="221"/>
      <c r="BF222" s="221"/>
    </row>
    <row r="223" spans="2:58" x14ac:dyDescent="0.3">
      <c r="B223" s="288">
        <v>521219</v>
      </c>
      <c r="C223" s="220" t="s">
        <v>53</v>
      </c>
      <c r="D223" s="220"/>
      <c r="E223" s="220"/>
      <c r="F223" s="221">
        <v>20000000</v>
      </c>
      <c r="G223" s="221">
        <v>20000000</v>
      </c>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c r="AR223" s="221">
        <f t="shared" si="337"/>
        <v>0</v>
      </c>
      <c r="AS223" s="224">
        <f t="shared" si="338"/>
        <v>0</v>
      </c>
      <c r="AT223" s="225">
        <f t="shared" si="339"/>
        <v>20000000</v>
      </c>
      <c r="AU223" s="224">
        <f t="shared" si="340"/>
        <v>100</v>
      </c>
      <c r="AV223" s="220" t="s">
        <v>542</v>
      </c>
      <c r="AW223" s="220" t="s">
        <v>543</v>
      </c>
      <c r="AX223" s="220" t="s">
        <v>4729</v>
      </c>
      <c r="AY223" s="221"/>
      <c r="AZ223" s="221"/>
      <c r="BA223" s="221"/>
      <c r="BB223" s="221"/>
      <c r="BC223" s="221"/>
      <c r="BD223" s="221"/>
      <c r="BE223" s="221"/>
      <c r="BF223" s="221"/>
    </row>
    <row r="224" spans="2:58" x14ac:dyDescent="0.3">
      <c r="B224" s="288">
        <v>524211</v>
      </c>
      <c r="C224" s="220" t="s">
        <v>1151</v>
      </c>
      <c r="D224" s="220"/>
      <c r="E224" s="220"/>
      <c r="F224" s="221">
        <v>142041000</v>
      </c>
      <c r="G224" s="221">
        <v>142041000</v>
      </c>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c r="AR224" s="221">
        <f t="shared" si="337"/>
        <v>0</v>
      </c>
      <c r="AS224" s="224">
        <f t="shared" si="338"/>
        <v>0</v>
      </c>
      <c r="AT224" s="225">
        <f t="shared" si="339"/>
        <v>142041000</v>
      </c>
      <c r="AU224" s="224">
        <f t="shared" si="340"/>
        <v>100</v>
      </c>
      <c r="AV224" s="220" t="s">
        <v>542</v>
      </c>
      <c r="AW224" s="220" t="s">
        <v>543</v>
      </c>
      <c r="AX224" s="220" t="s">
        <v>4729</v>
      </c>
      <c r="AY224" s="221"/>
      <c r="AZ224" s="221"/>
      <c r="BA224" s="221"/>
      <c r="BB224" s="221"/>
      <c r="BC224" s="221"/>
      <c r="BD224" s="221"/>
      <c r="BE224" s="221"/>
      <c r="BF224" s="221"/>
    </row>
    <row r="225" spans="2:58" x14ac:dyDescent="0.3">
      <c r="B225" s="290" t="s">
        <v>514</v>
      </c>
      <c r="C225" s="222" t="s">
        <v>3534</v>
      </c>
      <c r="D225" s="222"/>
      <c r="E225" s="222"/>
      <c r="F225" s="223">
        <f t="shared" ref="F225:AQ225" si="396">SUM(F226)</f>
        <v>0</v>
      </c>
      <c r="G225" s="223">
        <f t="shared" si="396"/>
        <v>30000000</v>
      </c>
      <c r="H225" s="223">
        <f t="shared" si="396"/>
        <v>0</v>
      </c>
      <c r="I225" s="223">
        <f t="shared" si="396"/>
        <v>0</v>
      </c>
      <c r="J225" s="223">
        <f t="shared" si="396"/>
        <v>0</v>
      </c>
      <c r="K225" s="223">
        <f t="shared" si="396"/>
        <v>0</v>
      </c>
      <c r="L225" s="223">
        <f t="shared" si="396"/>
        <v>0</v>
      </c>
      <c r="M225" s="223">
        <f t="shared" si="396"/>
        <v>0</v>
      </c>
      <c r="N225" s="223">
        <f t="shared" si="396"/>
        <v>0</v>
      </c>
      <c r="O225" s="223">
        <f t="shared" si="396"/>
        <v>0</v>
      </c>
      <c r="P225" s="223">
        <f t="shared" si="396"/>
        <v>0</v>
      </c>
      <c r="Q225" s="223">
        <f t="shared" si="396"/>
        <v>0</v>
      </c>
      <c r="R225" s="223">
        <f t="shared" si="396"/>
        <v>0</v>
      </c>
      <c r="S225" s="223">
        <f t="shared" si="396"/>
        <v>0</v>
      </c>
      <c r="T225" s="223">
        <f t="shared" si="396"/>
        <v>0</v>
      </c>
      <c r="U225" s="223">
        <f t="shared" si="396"/>
        <v>0</v>
      </c>
      <c r="V225" s="223">
        <f t="shared" si="396"/>
        <v>0</v>
      </c>
      <c r="W225" s="223">
        <f t="shared" si="396"/>
        <v>0</v>
      </c>
      <c r="X225" s="223">
        <f t="shared" si="396"/>
        <v>0</v>
      </c>
      <c r="Y225" s="223">
        <f t="shared" si="396"/>
        <v>0</v>
      </c>
      <c r="Z225" s="223">
        <f t="shared" si="396"/>
        <v>0</v>
      </c>
      <c r="AA225" s="223">
        <f t="shared" si="396"/>
        <v>0</v>
      </c>
      <c r="AB225" s="223">
        <f t="shared" si="396"/>
        <v>0</v>
      </c>
      <c r="AC225" s="223">
        <f t="shared" si="396"/>
        <v>0</v>
      </c>
      <c r="AD225" s="223">
        <f t="shared" si="396"/>
        <v>0</v>
      </c>
      <c r="AE225" s="223">
        <f t="shared" si="396"/>
        <v>0</v>
      </c>
      <c r="AF225" s="223">
        <f t="shared" si="396"/>
        <v>0</v>
      </c>
      <c r="AG225" s="223">
        <f t="shared" si="396"/>
        <v>0</v>
      </c>
      <c r="AH225" s="223">
        <f t="shared" si="396"/>
        <v>0</v>
      </c>
      <c r="AI225" s="223">
        <f t="shared" si="396"/>
        <v>0</v>
      </c>
      <c r="AJ225" s="223">
        <f t="shared" si="396"/>
        <v>0</v>
      </c>
      <c r="AK225" s="223">
        <f t="shared" si="396"/>
        <v>0</v>
      </c>
      <c r="AL225" s="223">
        <f t="shared" si="396"/>
        <v>0</v>
      </c>
      <c r="AM225" s="223">
        <f t="shared" si="396"/>
        <v>0</v>
      </c>
      <c r="AN225" s="223">
        <f t="shared" si="396"/>
        <v>0</v>
      </c>
      <c r="AO225" s="223">
        <f t="shared" si="396"/>
        <v>0</v>
      </c>
      <c r="AP225" s="223">
        <f t="shared" si="396"/>
        <v>0</v>
      </c>
      <c r="AQ225" s="223">
        <f t="shared" si="396"/>
        <v>0</v>
      </c>
      <c r="AR225" s="223">
        <f t="shared" si="337"/>
        <v>0</v>
      </c>
      <c r="AS225" s="231" t="e">
        <f t="shared" si="338"/>
        <v>#DIV/0!</v>
      </c>
      <c r="AT225" s="232">
        <f t="shared" si="339"/>
        <v>0</v>
      </c>
      <c r="AU225" s="231" t="e">
        <f t="shared" si="340"/>
        <v>#DIV/0!</v>
      </c>
      <c r="AV225" s="220" t="s">
        <v>542</v>
      </c>
      <c r="AW225" s="220" t="s">
        <v>543</v>
      </c>
      <c r="AX225" s="220" t="s">
        <v>4729</v>
      </c>
      <c r="AY225" s="223">
        <f t="shared" ref="AY225:BF225" si="397">SUM(AY226)</f>
        <v>0</v>
      </c>
      <c r="AZ225" s="223">
        <f t="shared" si="397"/>
        <v>0</v>
      </c>
      <c r="BA225" s="223">
        <f t="shared" si="397"/>
        <v>0</v>
      </c>
      <c r="BB225" s="223">
        <f t="shared" si="397"/>
        <v>0</v>
      </c>
      <c r="BC225" s="223">
        <f t="shared" si="397"/>
        <v>0</v>
      </c>
      <c r="BD225" s="223">
        <f t="shared" si="397"/>
        <v>0</v>
      </c>
      <c r="BE225" s="223">
        <f t="shared" si="397"/>
        <v>0</v>
      </c>
      <c r="BF225" s="223">
        <f t="shared" si="397"/>
        <v>0</v>
      </c>
    </row>
    <row r="226" spans="2:58" x14ac:dyDescent="0.3">
      <c r="B226" s="288">
        <v>522192</v>
      </c>
      <c r="C226" s="220" t="s">
        <v>24</v>
      </c>
      <c r="D226" s="220"/>
      <c r="E226" s="220"/>
      <c r="F226" s="221">
        <v>0</v>
      </c>
      <c r="G226" s="221">
        <v>30000000</v>
      </c>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c r="AR226" s="221">
        <f t="shared" si="337"/>
        <v>0</v>
      </c>
      <c r="AS226" s="224" t="e">
        <f t="shared" si="338"/>
        <v>#DIV/0!</v>
      </c>
      <c r="AT226" s="225">
        <f t="shared" si="339"/>
        <v>0</v>
      </c>
      <c r="AU226" s="224" t="e">
        <f t="shared" si="340"/>
        <v>#DIV/0!</v>
      </c>
      <c r="AV226" s="220" t="s">
        <v>542</v>
      </c>
      <c r="AW226" s="220" t="s">
        <v>543</v>
      </c>
      <c r="AX226" s="220" t="s">
        <v>4729</v>
      </c>
      <c r="AY226" s="221"/>
      <c r="AZ226" s="221"/>
      <c r="BA226" s="221"/>
      <c r="BB226" s="221"/>
      <c r="BC226" s="221"/>
      <c r="BD226" s="221"/>
      <c r="BE226" s="221"/>
      <c r="BF226" s="221"/>
    </row>
    <row r="227" spans="2:58" x14ac:dyDescent="0.3">
      <c r="B227" s="226">
        <v>302</v>
      </c>
      <c r="C227" s="227" t="s">
        <v>193</v>
      </c>
      <c r="D227" s="227"/>
      <c r="E227" s="227"/>
      <c r="F227" s="228">
        <f>F228</f>
        <v>109200000</v>
      </c>
      <c r="G227" s="228">
        <f>G228</f>
        <v>109200000</v>
      </c>
      <c r="H227" s="228">
        <f t="shared" ref="H227:AQ227" si="398">H228</f>
        <v>0</v>
      </c>
      <c r="I227" s="228">
        <f t="shared" si="398"/>
        <v>0</v>
      </c>
      <c r="J227" s="228">
        <f t="shared" si="398"/>
        <v>0</v>
      </c>
      <c r="K227" s="228">
        <f t="shared" si="398"/>
        <v>0</v>
      </c>
      <c r="L227" s="228">
        <f t="shared" si="398"/>
        <v>0</v>
      </c>
      <c r="M227" s="228">
        <f t="shared" si="398"/>
        <v>0</v>
      </c>
      <c r="N227" s="228">
        <f t="shared" si="398"/>
        <v>0</v>
      </c>
      <c r="O227" s="228">
        <f t="shared" si="398"/>
        <v>0</v>
      </c>
      <c r="P227" s="228">
        <f t="shared" si="398"/>
        <v>0</v>
      </c>
      <c r="Q227" s="228">
        <f t="shared" si="398"/>
        <v>0</v>
      </c>
      <c r="R227" s="228">
        <f t="shared" si="398"/>
        <v>0</v>
      </c>
      <c r="S227" s="228">
        <f t="shared" si="398"/>
        <v>0</v>
      </c>
      <c r="T227" s="228">
        <f t="shared" si="398"/>
        <v>0</v>
      </c>
      <c r="U227" s="228">
        <f t="shared" si="398"/>
        <v>0</v>
      </c>
      <c r="V227" s="228">
        <f t="shared" si="398"/>
        <v>7806000</v>
      </c>
      <c r="W227" s="228">
        <f t="shared" si="398"/>
        <v>0</v>
      </c>
      <c r="X227" s="228">
        <f t="shared" si="398"/>
        <v>0</v>
      </c>
      <c r="Y227" s="228">
        <f t="shared" si="398"/>
        <v>0</v>
      </c>
      <c r="Z227" s="228">
        <f t="shared" si="398"/>
        <v>0</v>
      </c>
      <c r="AA227" s="228">
        <f t="shared" si="398"/>
        <v>0</v>
      </c>
      <c r="AB227" s="228">
        <f t="shared" si="398"/>
        <v>0</v>
      </c>
      <c r="AC227" s="228">
        <f t="shared" si="398"/>
        <v>0</v>
      </c>
      <c r="AD227" s="228">
        <f t="shared" si="398"/>
        <v>0</v>
      </c>
      <c r="AE227" s="228">
        <f t="shared" si="398"/>
        <v>0</v>
      </c>
      <c r="AF227" s="228">
        <f t="shared" si="398"/>
        <v>0</v>
      </c>
      <c r="AG227" s="228">
        <f t="shared" si="398"/>
        <v>0</v>
      </c>
      <c r="AH227" s="228">
        <f t="shared" si="398"/>
        <v>0</v>
      </c>
      <c r="AI227" s="228">
        <f t="shared" si="398"/>
        <v>0</v>
      </c>
      <c r="AJ227" s="228">
        <f t="shared" si="398"/>
        <v>0</v>
      </c>
      <c r="AK227" s="228">
        <f t="shared" si="398"/>
        <v>0</v>
      </c>
      <c r="AL227" s="228">
        <f t="shared" si="398"/>
        <v>0</v>
      </c>
      <c r="AM227" s="228">
        <f t="shared" si="398"/>
        <v>0</v>
      </c>
      <c r="AN227" s="228">
        <f t="shared" si="398"/>
        <v>0</v>
      </c>
      <c r="AO227" s="228">
        <f t="shared" si="398"/>
        <v>0</v>
      </c>
      <c r="AP227" s="228">
        <f t="shared" si="398"/>
        <v>0</v>
      </c>
      <c r="AQ227" s="228">
        <f t="shared" si="398"/>
        <v>0</v>
      </c>
      <c r="AR227" s="228">
        <f t="shared" si="337"/>
        <v>7806000</v>
      </c>
      <c r="AS227" s="229">
        <f t="shared" si="338"/>
        <v>7.1483516483516487E-4</v>
      </c>
      <c r="AT227" s="230">
        <f t="shared" si="339"/>
        <v>101394000</v>
      </c>
      <c r="AU227" s="229">
        <f t="shared" si="340"/>
        <v>92.85164835164835</v>
      </c>
      <c r="AV227" s="220" t="s">
        <v>542</v>
      </c>
      <c r="AW227" s="220" t="s">
        <v>543</v>
      </c>
      <c r="AX227" s="220" t="s">
        <v>4729</v>
      </c>
      <c r="AY227" s="228">
        <f t="shared" ref="AY227:BF227" si="399">AY228</f>
        <v>0</v>
      </c>
      <c r="AZ227" s="228">
        <f t="shared" si="399"/>
        <v>0</v>
      </c>
      <c r="BA227" s="228">
        <f t="shared" si="399"/>
        <v>0</v>
      </c>
      <c r="BB227" s="228">
        <f t="shared" si="399"/>
        <v>0</v>
      </c>
      <c r="BC227" s="228">
        <f t="shared" si="399"/>
        <v>0</v>
      </c>
      <c r="BD227" s="228">
        <f t="shared" si="399"/>
        <v>0</v>
      </c>
      <c r="BE227" s="228">
        <f t="shared" si="399"/>
        <v>7806000</v>
      </c>
      <c r="BF227" s="228">
        <f t="shared" si="399"/>
        <v>0</v>
      </c>
    </row>
    <row r="228" spans="2:58" x14ac:dyDescent="0.3">
      <c r="B228" s="290" t="s">
        <v>8</v>
      </c>
      <c r="C228" s="222" t="s">
        <v>193</v>
      </c>
      <c r="D228" s="222"/>
      <c r="E228" s="222"/>
      <c r="F228" s="223">
        <f>SUM(F229:F231)</f>
        <v>109200000</v>
      </c>
      <c r="G228" s="223">
        <f>SUM(G229:G231)</f>
        <v>109200000</v>
      </c>
      <c r="H228" s="223">
        <f t="shared" ref="H228:AQ228" si="400">SUM(H229:H231)</f>
        <v>0</v>
      </c>
      <c r="I228" s="223">
        <f t="shared" si="400"/>
        <v>0</v>
      </c>
      <c r="J228" s="223">
        <f t="shared" si="400"/>
        <v>0</v>
      </c>
      <c r="K228" s="223">
        <f t="shared" si="400"/>
        <v>0</v>
      </c>
      <c r="L228" s="223">
        <f t="shared" si="400"/>
        <v>0</v>
      </c>
      <c r="M228" s="223">
        <f t="shared" si="400"/>
        <v>0</v>
      </c>
      <c r="N228" s="223">
        <f t="shared" si="400"/>
        <v>0</v>
      </c>
      <c r="O228" s="223">
        <f t="shared" si="400"/>
        <v>0</v>
      </c>
      <c r="P228" s="223">
        <f t="shared" si="400"/>
        <v>0</v>
      </c>
      <c r="Q228" s="223">
        <f t="shared" si="400"/>
        <v>0</v>
      </c>
      <c r="R228" s="223">
        <f t="shared" si="400"/>
        <v>0</v>
      </c>
      <c r="S228" s="223">
        <f t="shared" si="400"/>
        <v>0</v>
      </c>
      <c r="T228" s="223">
        <f t="shared" si="400"/>
        <v>0</v>
      </c>
      <c r="U228" s="223">
        <f t="shared" si="400"/>
        <v>0</v>
      </c>
      <c r="V228" s="223">
        <f t="shared" si="400"/>
        <v>7806000</v>
      </c>
      <c r="W228" s="223">
        <f t="shared" si="400"/>
        <v>0</v>
      </c>
      <c r="X228" s="223">
        <f t="shared" si="400"/>
        <v>0</v>
      </c>
      <c r="Y228" s="223">
        <f t="shared" si="400"/>
        <v>0</v>
      </c>
      <c r="Z228" s="223">
        <f t="shared" si="400"/>
        <v>0</v>
      </c>
      <c r="AA228" s="223">
        <f t="shared" si="400"/>
        <v>0</v>
      </c>
      <c r="AB228" s="223">
        <f t="shared" si="400"/>
        <v>0</v>
      </c>
      <c r="AC228" s="223">
        <f t="shared" si="400"/>
        <v>0</v>
      </c>
      <c r="AD228" s="223">
        <f t="shared" si="400"/>
        <v>0</v>
      </c>
      <c r="AE228" s="223">
        <f t="shared" si="400"/>
        <v>0</v>
      </c>
      <c r="AF228" s="223">
        <f t="shared" si="400"/>
        <v>0</v>
      </c>
      <c r="AG228" s="223">
        <f t="shared" si="400"/>
        <v>0</v>
      </c>
      <c r="AH228" s="223">
        <f t="shared" si="400"/>
        <v>0</v>
      </c>
      <c r="AI228" s="223">
        <f t="shared" si="400"/>
        <v>0</v>
      </c>
      <c r="AJ228" s="223">
        <f t="shared" si="400"/>
        <v>0</v>
      </c>
      <c r="AK228" s="223">
        <f t="shared" si="400"/>
        <v>0</v>
      </c>
      <c r="AL228" s="223">
        <f t="shared" si="400"/>
        <v>0</v>
      </c>
      <c r="AM228" s="223">
        <f t="shared" si="400"/>
        <v>0</v>
      </c>
      <c r="AN228" s="223">
        <f t="shared" si="400"/>
        <v>0</v>
      </c>
      <c r="AO228" s="223">
        <f t="shared" si="400"/>
        <v>0</v>
      </c>
      <c r="AP228" s="223">
        <f t="shared" si="400"/>
        <v>0</v>
      </c>
      <c r="AQ228" s="223">
        <f t="shared" si="400"/>
        <v>0</v>
      </c>
      <c r="AR228" s="223">
        <f>SUM(H228:AQ228)</f>
        <v>7806000</v>
      </c>
      <c r="AS228" s="231">
        <f t="shared" si="338"/>
        <v>7.1483516483516487E-4</v>
      </c>
      <c r="AT228" s="232">
        <f>F228-AR228</f>
        <v>101394000</v>
      </c>
      <c r="AU228" s="231">
        <f t="shared" si="340"/>
        <v>92.85164835164835</v>
      </c>
      <c r="AV228" s="220" t="s">
        <v>542</v>
      </c>
      <c r="AW228" s="220" t="s">
        <v>543</v>
      </c>
      <c r="AX228" s="220" t="s">
        <v>4729</v>
      </c>
      <c r="AY228" s="223">
        <f t="shared" ref="AY228:BA228" si="401">SUM(AY229:AY231)</f>
        <v>0</v>
      </c>
      <c r="AZ228" s="223">
        <f t="shared" si="401"/>
        <v>0</v>
      </c>
      <c r="BA228" s="223">
        <f t="shared" si="401"/>
        <v>0</v>
      </c>
      <c r="BB228" s="223">
        <f t="shared" ref="BB228" si="402">SUM(BB229:BB231)</f>
        <v>0</v>
      </c>
      <c r="BC228" s="223">
        <f t="shared" ref="BC228" si="403">SUM(BC229:BC231)</f>
        <v>0</v>
      </c>
      <c r="BD228" s="223">
        <f t="shared" ref="BD228:BE228" si="404">SUM(BD229:BD231)</f>
        <v>0</v>
      </c>
      <c r="BE228" s="223">
        <f t="shared" si="404"/>
        <v>7806000</v>
      </c>
      <c r="BF228" s="223">
        <f t="shared" ref="BF228" si="405">SUM(BF229:BF231)</f>
        <v>0</v>
      </c>
    </row>
    <row r="229" spans="2:58" x14ac:dyDescent="0.3">
      <c r="B229" s="288">
        <v>521211</v>
      </c>
      <c r="C229" s="220" t="s">
        <v>7</v>
      </c>
      <c r="D229" s="220"/>
      <c r="E229" s="220"/>
      <c r="F229" s="221">
        <v>25000000</v>
      </c>
      <c r="G229" s="221">
        <v>25000000</v>
      </c>
      <c r="H229" s="221"/>
      <c r="I229" s="221"/>
      <c r="J229" s="221"/>
      <c r="K229" s="221"/>
      <c r="L229" s="221"/>
      <c r="M229" s="221"/>
      <c r="N229" s="221"/>
      <c r="O229" s="221"/>
      <c r="P229" s="221"/>
      <c r="Q229" s="221"/>
      <c r="R229" s="221"/>
      <c r="S229" s="221"/>
      <c r="T229" s="221"/>
      <c r="U229" s="221"/>
      <c r="V229" s="221">
        <v>2961000</v>
      </c>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c r="AR229" s="221">
        <f t="shared" si="337"/>
        <v>2961000</v>
      </c>
      <c r="AS229" s="224">
        <f t="shared" si="338"/>
        <v>1.1843999999999999E-3</v>
      </c>
      <c r="AT229" s="225">
        <f t="shared" si="339"/>
        <v>22039000</v>
      </c>
      <c r="AU229" s="224">
        <f t="shared" si="340"/>
        <v>88.156000000000006</v>
      </c>
      <c r="AV229" s="220" t="s">
        <v>542</v>
      </c>
      <c r="AW229" s="220" t="s">
        <v>543</v>
      </c>
      <c r="AX229" s="220" t="s">
        <v>4729</v>
      </c>
      <c r="AY229" s="221"/>
      <c r="AZ229" s="221"/>
      <c r="BA229" s="221"/>
      <c r="BB229" s="221"/>
      <c r="BC229" s="221"/>
      <c r="BD229" s="221"/>
      <c r="BE229" s="221">
        <v>2961000</v>
      </c>
      <c r="BF229" s="221"/>
    </row>
    <row r="230" spans="2:58" x14ac:dyDescent="0.3">
      <c r="B230" s="288">
        <v>521811</v>
      </c>
      <c r="C230" s="220" t="s">
        <v>64</v>
      </c>
      <c r="D230" s="220"/>
      <c r="E230" s="220"/>
      <c r="F230" s="221">
        <v>30000000</v>
      </c>
      <c r="G230" s="221">
        <v>30000000</v>
      </c>
      <c r="H230" s="221"/>
      <c r="I230" s="221"/>
      <c r="J230" s="221"/>
      <c r="K230" s="221"/>
      <c r="L230" s="221"/>
      <c r="M230" s="221"/>
      <c r="N230" s="221"/>
      <c r="O230" s="221"/>
      <c r="P230" s="221"/>
      <c r="Q230" s="221"/>
      <c r="R230" s="221"/>
      <c r="S230" s="221"/>
      <c r="T230" s="221"/>
      <c r="U230" s="221"/>
      <c r="V230" s="221">
        <v>4845000</v>
      </c>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c r="AR230" s="221">
        <f t="shared" si="337"/>
        <v>4845000</v>
      </c>
      <c r="AS230" s="224">
        <f t="shared" si="338"/>
        <v>1.6150000000000001E-3</v>
      </c>
      <c r="AT230" s="225">
        <f t="shared" si="339"/>
        <v>25155000</v>
      </c>
      <c r="AU230" s="224">
        <f t="shared" si="340"/>
        <v>83.850000000000009</v>
      </c>
      <c r="AV230" s="220" t="s">
        <v>542</v>
      </c>
      <c r="AW230" s="220" t="s">
        <v>543</v>
      </c>
      <c r="AX230" s="220" t="s">
        <v>4729</v>
      </c>
      <c r="AY230" s="221"/>
      <c r="AZ230" s="221"/>
      <c r="BA230" s="221"/>
      <c r="BB230" s="221"/>
      <c r="BC230" s="221"/>
      <c r="BD230" s="221"/>
      <c r="BE230" s="221">
        <v>4845000</v>
      </c>
      <c r="BF230" s="221"/>
    </row>
    <row r="231" spans="2:58" x14ac:dyDescent="0.3">
      <c r="B231" s="288">
        <v>524111</v>
      </c>
      <c r="C231" s="220" t="s">
        <v>19</v>
      </c>
      <c r="D231" s="220"/>
      <c r="E231" s="220"/>
      <c r="F231" s="221">
        <v>54200000</v>
      </c>
      <c r="G231" s="221">
        <v>54200000</v>
      </c>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c r="AR231" s="221">
        <f>SUM(H231:AQ231)</f>
        <v>0</v>
      </c>
      <c r="AS231" s="224">
        <f t="shared" si="338"/>
        <v>0</v>
      </c>
      <c r="AT231" s="225">
        <f t="shared" si="339"/>
        <v>54200000</v>
      </c>
      <c r="AU231" s="224">
        <f t="shared" si="340"/>
        <v>100</v>
      </c>
      <c r="AV231" s="220" t="s">
        <v>542</v>
      </c>
      <c r="AW231" s="220" t="s">
        <v>543</v>
      </c>
      <c r="AX231" s="220" t="s">
        <v>4729</v>
      </c>
      <c r="AY231" s="221"/>
      <c r="AZ231" s="221"/>
      <c r="BA231" s="221"/>
      <c r="BB231" s="221"/>
      <c r="BC231" s="221"/>
      <c r="BD231" s="221"/>
      <c r="BE231" s="221"/>
      <c r="BF231" s="221"/>
    </row>
    <row r="232" spans="2:58" x14ac:dyDescent="0.3">
      <c r="F232" s="287"/>
      <c r="G232" s="287"/>
      <c r="AR232" s="279"/>
    </row>
    <row r="233" spans="2:58" x14ac:dyDescent="0.3">
      <c r="AS233" t="s">
        <v>4644</v>
      </c>
    </row>
  </sheetData>
  <autoFilter ref="B12:BF231" xr:uid="{B070A0AF-EFE7-4050-AFDE-970D0A0520C8}">
    <filterColumn colId="6" showButton="0"/>
    <filterColumn colId="7" showButton="0"/>
    <filterColumn colId="9" showButton="0"/>
    <filterColumn colId="10" showButton="0"/>
    <filterColumn colId="12" showButton="0"/>
    <filterColumn colId="13" showButton="0"/>
    <filterColumn colId="15" showButton="0"/>
    <filterColumn colId="16" showButton="0"/>
    <filterColumn colId="18" showButton="0"/>
    <filterColumn colId="19" showButton="0"/>
    <filterColumn colId="21" showButton="0"/>
    <filterColumn colId="22" showButton="0"/>
    <filterColumn colId="24" showButton="0"/>
    <filterColumn colId="25" showButton="0"/>
    <filterColumn colId="27" showButton="0"/>
    <filterColumn colId="28" showButton="0"/>
    <filterColumn colId="30" showButton="0"/>
    <filterColumn colId="31" showButton="0"/>
    <filterColumn colId="33" showButton="0"/>
    <filterColumn colId="34" showButton="0"/>
    <filterColumn colId="36" showButton="0"/>
    <filterColumn colId="37" showButton="0"/>
    <filterColumn colId="39" showButton="0"/>
    <filterColumn colId="40" showButton="0"/>
  </autoFilter>
  <mergeCells count="16">
    <mergeCell ref="AU12:AU13"/>
    <mergeCell ref="AR12:AR13"/>
    <mergeCell ref="AS12:AS13"/>
    <mergeCell ref="AT12:AT13"/>
    <mergeCell ref="Z12:AB12"/>
    <mergeCell ref="AC12:AE12"/>
    <mergeCell ref="AF12:AH12"/>
    <mergeCell ref="AI12:AK12"/>
    <mergeCell ref="AL12:AN12"/>
    <mergeCell ref="AO12:AQ12"/>
    <mergeCell ref="W12:Y12"/>
    <mergeCell ref="H12:J12"/>
    <mergeCell ref="K12:M12"/>
    <mergeCell ref="N12:P12"/>
    <mergeCell ref="Q12:S12"/>
    <mergeCell ref="T12:V12"/>
  </mergeCells>
  <phoneticPr fontId="27" type="noConversion"/>
  <conditionalFormatting sqref="AR21:AR231">
    <cfRule type="expression" dxfId="6" priority="2">
      <formula>ROW()=CELL("ROW")</formula>
    </cfRule>
  </conditionalFormatting>
  <dataValidations disablePrompts="1" count="3">
    <dataValidation type="list" allowBlank="1" showInputMessage="1" showErrorMessage="1" sqref="AX14:AX231" xr:uid="{1A5B5EA2-F992-45AC-8EBE-DBC26C7829DF}">
      <formula1>"Belanja Operasional , Belanja Barang Non Operasional, Gaji dan Tunjangan, Belanja Modal"</formula1>
    </dataValidation>
    <dataValidation type="list" allowBlank="1" showInputMessage="1" showErrorMessage="1" sqref="AV32:AV107 AV123:AV145 AV147:AV231" xr:uid="{04AA01C8-8303-488B-99E4-72766D54BA1E}">
      <formula1>"Perencanaan dan Evaluasi, Tata Usaha, Peserta Didik Sarana dan Prasarana dan Metode dan Kurikulum, Kelembagaan dan Ketenagaan"</formula1>
    </dataValidation>
    <dataValidation type="list" allowBlank="1" showInputMessage="1" showErrorMessage="1" sqref="AV19:AV31 AV108:AV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PERSUBBID!$B$17:$B$47</xm:f>
          </x14:formula1>
          <xm:sqref>AW14:AW59 AW62:AW145 AW147:AW231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dimension ref="A3:I232"/>
  <sheetViews>
    <sheetView topLeftCell="A94" workbookViewId="0">
      <selection activeCell="B4" sqref="B4:B122"/>
    </sheetView>
  </sheetViews>
  <sheetFormatPr defaultRowHeight="14.4" x14ac:dyDescent="0.3"/>
  <cols>
    <col min="1" max="1" width="29.33203125" bestFit="1" customWidth="1"/>
    <col min="2" max="2" width="16.5546875" style="274" bestFit="1" customWidth="1"/>
    <col min="4" max="4" width="29.33203125" bestFit="1" customWidth="1"/>
    <col min="5" max="5" width="28.44140625" style="274" bestFit="1" customWidth="1"/>
    <col min="8" max="8" width="14.109375" style="274" bestFit="1" customWidth="1"/>
    <col min="9" max="9" width="14.109375" bestFit="1" customWidth="1"/>
  </cols>
  <sheetData>
    <row r="3" spans="1:9" x14ac:dyDescent="0.3">
      <c r="A3" s="412" t="s">
        <v>4834</v>
      </c>
      <c r="B3" s="274" t="s">
        <v>6233</v>
      </c>
      <c r="D3" t="s">
        <v>6238</v>
      </c>
      <c r="E3" s="274" t="s">
        <v>6239</v>
      </c>
    </row>
    <row r="4" spans="1:9" x14ac:dyDescent="0.3">
      <c r="A4" s="275" t="s">
        <v>424</v>
      </c>
      <c r="B4" s="274">
        <v>19875000</v>
      </c>
      <c r="D4" t="s">
        <v>424</v>
      </c>
      <c r="E4" s="274">
        <f>_xlfn.XLOOKUP(Table6[[#This Row],[Column1]],$A$4:$A$122,$B$4:$B$122,0,0,1)</f>
        <v>19875000</v>
      </c>
      <c r="G4" t="b">
        <f>A4=Table6[[#This Row],[Column1]]</f>
        <v>1</v>
      </c>
      <c r="H4" s="274">
        <v>19875000</v>
      </c>
      <c r="I4" s="276">
        <f>B4-H4</f>
        <v>0</v>
      </c>
    </row>
    <row r="5" spans="1:9" x14ac:dyDescent="0.3">
      <c r="A5" s="275" t="s">
        <v>772</v>
      </c>
      <c r="B5" s="274">
        <v>20000000</v>
      </c>
      <c r="D5" t="s">
        <v>772</v>
      </c>
      <c r="E5" s="274">
        <f>_xlfn.XLOOKUP(Table6[[#This Row],[Column1]],$A$4:$A$122,$B$4:$B$122,0,0,1)</f>
        <v>20000000</v>
      </c>
      <c r="G5" t="b">
        <f>A5=Table6[[#This Row],[Column1]]</f>
        <v>1</v>
      </c>
      <c r="H5" s="274">
        <v>20000000</v>
      </c>
      <c r="I5" s="276">
        <f t="shared" ref="I5:I65" si="0">B5-H5</f>
        <v>0</v>
      </c>
    </row>
    <row r="6" spans="1:9" x14ac:dyDescent="0.3">
      <c r="A6" s="275" t="s">
        <v>429</v>
      </c>
      <c r="B6" s="274">
        <v>43260000</v>
      </c>
      <c r="D6" t="s">
        <v>429</v>
      </c>
      <c r="E6" s="274">
        <f>_xlfn.XLOOKUP(Table6[[#This Row],[Column1]],$A$4:$A$122,$B$4:$B$122,0,0,1)</f>
        <v>43260000</v>
      </c>
      <c r="G6" t="b">
        <f>A6=Table6[[#This Row],[Column1]]</f>
        <v>1</v>
      </c>
      <c r="H6" s="274">
        <v>43260000</v>
      </c>
      <c r="I6" s="276">
        <f t="shared" si="0"/>
        <v>0</v>
      </c>
    </row>
    <row r="7" spans="1:9" x14ac:dyDescent="0.3">
      <c r="A7" s="275" t="s">
        <v>432</v>
      </c>
      <c r="B7" s="274">
        <v>19500000</v>
      </c>
      <c r="D7" t="s">
        <v>432</v>
      </c>
      <c r="E7" s="274">
        <f>_xlfn.XLOOKUP(Table6[[#This Row],[Column1]],$A$4:$A$122,$B$4:$B$122,0,0,1)</f>
        <v>19500000</v>
      </c>
      <c r="G7" t="b">
        <f>A7=Table6[[#This Row],[Column1]]</f>
        <v>1</v>
      </c>
      <c r="H7" s="274">
        <v>19500000</v>
      </c>
      <c r="I7" s="276">
        <f t="shared" si="0"/>
        <v>0</v>
      </c>
    </row>
    <row r="8" spans="1:9" x14ac:dyDescent="0.3">
      <c r="A8" s="275" t="s">
        <v>777</v>
      </c>
      <c r="B8" s="274">
        <v>4000000</v>
      </c>
      <c r="D8" t="s">
        <v>777</v>
      </c>
      <c r="E8" s="274">
        <f>_xlfn.XLOOKUP(Table6[[#This Row],[Column1]],$A$4:$A$122,$B$4:$B$122,0,0,1)</f>
        <v>4000000</v>
      </c>
      <c r="G8" t="b">
        <f>A8=Table6[[#This Row],[Column1]]</f>
        <v>1</v>
      </c>
      <c r="H8" s="274">
        <v>4000000</v>
      </c>
      <c r="I8" s="276">
        <f t="shared" si="0"/>
        <v>0</v>
      </c>
    </row>
    <row r="9" spans="1:9" x14ac:dyDescent="0.3">
      <c r="A9" s="275" t="s">
        <v>437</v>
      </c>
      <c r="B9" s="274">
        <v>17465000</v>
      </c>
      <c r="D9" t="s">
        <v>437</v>
      </c>
      <c r="E9" s="274">
        <f>_xlfn.XLOOKUP(Table6[[#This Row],[Column1]],$A$4:$A$122,$B$4:$B$122,0,0,1)</f>
        <v>17465000</v>
      </c>
      <c r="G9" t="b">
        <f>A9=Table6[[#This Row],[Column1]]</f>
        <v>1</v>
      </c>
      <c r="H9" s="274">
        <v>17465000</v>
      </c>
      <c r="I9" s="276">
        <f t="shared" si="0"/>
        <v>0</v>
      </c>
    </row>
    <row r="10" spans="1:9" x14ac:dyDescent="0.3">
      <c r="A10" s="275" t="s">
        <v>441</v>
      </c>
      <c r="B10" s="274">
        <v>21250000</v>
      </c>
      <c r="D10" t="s">
        <v>441</v>
      </c>
      <c r="E10" s="274">
        <f>_xlfn.XLOOKUP(Table6[[#This Row],[Column1]],$A$4:$A$122,$B$4:$B$122,0,0,1)</f>
        <v>21250000</v>
      </c>
      <c r="G10" t="b">
        <f>A10=Table6[[#This Row],[Column1]]</f>
        <v>1</v>
      </c>
      <c r="H10" s="274">
        <v>21250000</v>
      </c>
      <c r="I10" s="276">
        <f t="shared" si="0"/>
        <v>0</v>
      </c>
    </row>
    <row r="11" spans="1:9" x14ac:dyDescent="0.3">
      <c r="A11" s="275" t="s">
        <v>448</v>
      </c>
      <c r="B11" s="274">
        <v>33250000</v>
      </c>
      <c r="D11" t="s">
        <v>448</v>
      </c>
      <c r="E11" s="274">
        <f>_xlfn.XLOOKUP(Table6[[#This Row],[Column1]],$A$4:$A$122,$B$4:$B$122,0,0,1)</f>
        <v>33250000</v>
      </c>
      <c r="G11" t="b">
        <f>A11=Table6[[#This Row],[Column1]]</f>
        <v>1</v>
      </c>
      <c r="H11" s="274">
        <v>33250000</v>
      </c>
      <c r="I11" s="276">
        <f t="shared" si="0"/>
        <v>0</v>
      </c>
    </row>
    <row r="12" spans="1:9" x14ac:dyDescent="0.3">
      <c r="A12" s="275" t="s">
        <v>452</v>
      </c>
      <c r="B12" s="274">
        <v>64900000</v>
      </c>
      <c r="D12" t="s">
        <v>452</v>
      </c>
      <c r="E12" s="274">
        <f>_xlfn.XLOOKUP(Table6[[#This Row],[Column1]],$A$4:$A$122,$B$4:$B$122,0,0,1)</f>
        <v>64900000</v>
      </c>
      <c r="G12" t="b">
        <f>A12=Table6[[#This Row],[Column1]]</f>
        <v>1</v>
      </c>
      <c r="H12" s="274">
        <v>64900000</v>
      </c>
      <c r="I12" s="276">
        <f t="shared" si="0"/>
        <v>0</v>
      </c>
    </row>
    <row r="13" spans="1:9" x14ac:dyDescent="0.3">
      <c r="A13" s="275" t="s">
        <v>455</v>
      </c>
      <c r="B13" s="274">
        <v>6000000</v>
      </c>
      <c r="D13" t="s">
        <v>455</v>
      </c>
      <c r="E13" s="274">
        <f>_xlfn.XLOOKUP(Table6[[#This Row],[Column1]],$A$4:$A$122,$B$4:$B$122,0,0,1)</f>
        <v>6000000</v>
      </c>
      <c r="G13" t="b">
        <f>A13=Table6[[#This Row],[Column1]]</f>
        <v>1</v>
      </c>
      <c r="H13" s="274">
        <v>6000000</v>
      </c>
      <c r="I13" s="276">
        <f t="shared" si="0"/>
        <v>0</v>
      </c>
    </row>
    <row r="14" spans="1:9" x14ac:dyDescent="0.3">
      <c r="A14" s="275" t="s">
        <v>458</v>
      </c>
      <c r="B14" s="274">
        <v>30000000</v>
      </c>
      <c r="D14" t="s">
        <v>458</v>
      </c>
      <c r="E14" s="274">
        <f>_xlfn.XLOOKUP(Table6[[#This Row],[Column1]],$A$4:$A$122,$B$4:$B$122,0,0,1)</f>
        <v>30000000</v>
      </c>
      <c r="G14" t="b">
        <f>A14=Table6[[#This Row],[Column1]]</f>
        <v>1</v>
      </c>
      <c r="H14" s="274">
        <v>30000000</v>
      </c>
      <c r="I14" s="276">
        <f t="shared" si="0"/>
        <v>0</v>
      </c>
    </row>
    <row r="15" spans="1:9" x14ac:dyDescent="0.3">
      <c r="A15" s="275" t="s">
        <v>461</v>
      </c>
      <c r="B15" s="274">
        <v>25200000</v>
      </c>
      <c r="D15" t="s">
        <v>461</v>
      </c>
      <c r="E15" s="274">
        <f>_xlfn.XLOOKUP(Table6[[#This Row],[Column1]],$A$4:$A$122,$B$4:$B$122,0,0,1)</f>
        <v>25200000</v>
      </c>
      <c r="G15" t="b">
        <f>A15=Table6[[#This Row],[Column1]]</f>
        <v>1</v>
      </c>
      <c r="H15" s="274">
        <v>25200000</v>
      </c>
      <c r="I15" s="276">
        <f t="shared" si="0"/>
        <v>0</v>
      </c>
    </row>
    <row r="16" spans="1:9" x14ac:dyDescent="0.3">
      <c r="A16" s="275" t="s">
        <v>463</v>
      </c>
      <c r="B16" s="274">
        <v>6000000</v>
      </c>
      <c r="D16" t="s">
        <v>463</v>
      </c>
      <c r="E16" s="274">
        <f>_xlfn.XLOOKUP(Table6[[#This Row],[Column1]],$A$4:$A$122,$B$4:$B$122,0,0,1)</f>
        <v>6000000</v>
      </c>
      <c r="G16" t="b">
        <f>A16=Table6[[#This Row],[Column1]]</f>
        <v>1</v>
      </c>
      <c r="H16" s="274">
        <v>6000000</v>
      </c>
      <c r="I16" s="276">
        <f t="shared" si="0"/>
        <v>0</v>
      </c>
    </row>
    <row r="17" spans="1:9" x14ac:dyDescent="0.3">
      <c r="A17" s="275" t="s">
        <v>465</v>
      </c>
      <c r="B17" s="274">
        <v>253324000</v>
      </c>
      <c r="D17" t="s">
        <v>465</v>
      </c>
      <c r="E17" s="274">
        <f>_xlfn.XLOOKUP(Table6[[#This Row],[Column1]],$A$4:$A$122,$B$4:$B$122,0,0,1)</f>
        <v>253324000</v>
      </c>
      <c r="G17" t="b">
        <f>A17=Table6[[#This Row],[Column1]]</f>
        <v>1</v>
      </c>
      <c r="H17" s="274">
        <v>253324000</v>
      </c>
      <c r="I17" s="276">
        <f t="shared" si="0"/>
        <v>0</v>
      </c>
    </row>
    <row r="18" spans="1:9" x14ac:dyDescent="0.3">
      <c r="A18" s="275" t="s">
        <v>467</v>
      </c>
      <c r="B18" s="274">
        <v>1500000</v>
      </c>
      <c r="D18" t="s">
        <v>467</v>
      </c>
      <c r="E18" s="274">
        <f>_xlfn.XLOOKUP(Table6[[#This Row],[Column1]],$A$4:$A$122,$B$4:$B$122,0,0,1)</f>
        <v>1500000</v>
      </c>
      <c r="G18" t="b">
        <f>A18=Table6[[#This Row],[Column1]]</f>
        <v>1</v>
      </c>
      <c r="H18" s="274">
        <v>1500000</v>
      </c>
      <c r="I18" s="276">
        <f t="shared" si="0"/>
        <v>0</v>
      </c>
    </row>
    <row r="19" spans="1:9" x14ac:dyDescent="0.3">
      <c r="A19" s="275" t="s">
        <v>470</v>
      </c>
      <c r="B19" s="274">
        <v>71456000</v>
      </c>
      <c r="D19" t="s">
        <v>470</v>
      </c>
      <c r="E19" s="274">
        <f>_xlfn.XLOOKUP(Table6[[#This Row],[Column1]],$A$4:$A$122,$B$4:$B$122,0,0,1)</f>
        <v>71456000</v>
      </c>
      <c r="G19" t="b">
        <f>A19=Table6[[#This Row],[Column1]]</f>
        <v>1</v>
      </c>
      <c r="H19" s="274">
        <v>71456000</v>
      </c>
      <c r="I19" s="276">
        <f t="shared" si="0"/>
        <v>0</v>
      </c>
    </row>
    <row r="20" spans="1:9" x14ac:dyDescent="0.3">
      <c r="A20" s="275" t="s">
        <v>473</v>
      </c>
      <c r="B20" s="274">
        <v>5000000</v>
      </c>
      <c r="D20" t="s">
        <v>473</v>
      </c>
      <c r="E20" s="274">
        <f>_xlfn.XLOOKUP(Table6[[#This Row],[Column1]],$A$4:$A$122,$B$4:$B$122,0,0,1)</f>
        <v>5000000</v>
      </c>
      <c r="G20" t="b">
        <f>A20=Table6[[#This Row],[Column1]]</f>
        <v>1</v>
      </c>
      <c r="H20" s="274">
        <v>5000000</v>
      </c>
      <c r="I20" s="276">
        <f t="shared" si="0"/>
        <v>0</v>
      </c>
    </row>
    <row r="21" spans="1:9" x14ac:dyDescent="0.3">
      <c r="A21" s="275" t="s">
        <v>475</v>
      </c>
      <c r="B21" s="274">
        <v>15000000</v>
      </c>
      <c r="D21" t="s">
        <v>475</v>
      </c>
      <c r="E21" s="274">
        <f>_xlfn.XLOOKUP(Table6[[#This Row],[Column1]],$A$4:$A$122,$B$4:$B$122,0,0,1)</f>
        <v>15000000</v>
      </c>
      <c r="G21" t="b">
        <f>A21=Table6[[#This Row],[Column1]]</f>
        <v>1</v>
      </c>
      <c r="H21" s="274">
        <v>15000000</v>
      </c>
      <c r="I21" s="276">
        <f t="shared" si="0"/>
        <v>0</v>
      </c>
    </row>
    <row r="22" spans="1:9" x14ac:dyDescent="0.3">
      <c r="A22" s="275" t="s">
        <v>478</v>
      </c>
      <c r="B22" s="274">
        <v>16200000</v>
      </c>
      <c r="D22" t="s">
        <v>478</v>
      </c>
      <c r="E22" s="274">
        <f>_xlfn.XLOOKUP(Table6[[#This Row],[Column1]],$A$4:$A$122,$B$4:$B$122,0,0,1)</f>
        <v>16200000</v>
      </c>
      <c r="G22" t="b">
        <f>A22=Table6[[#This Row],[Column1]]</f>
        <v>1</v>
      </c>
      <c r="H22" s="274">
        <v>16200000</v>
      </c>
      <c r="I22" s="276">
        <f t="shared" si="0"/>
        <v>0</v>
      </c>
    </row>
    <row r="23" spans="1:9" x14ac:dyDescent="0.3">
      <c r="A23" s="275" t="s">
        <v>480</v>
      </c>
      <c r="B23" s="274">
        <v>2000000</v>
      </c>
      <c r="D23" t="s">
        <v>480</v>
      </c>
      <c r="E23" s="274">
        <f>_xlfn.XLOOKUP(Table6[[#This Row],[Column1]],$A$4:$A$122,$B$4:$B$122,0,0,1)</f>
        <v>2000000</v>
      </c>
      <c r="G23" t="b">
        <f>A23=Table6[[#This Row],[Column1]]</f>
        <v>1</v>
      </c>
      <c r="H23" s="274">
        <v>2000000</v>
      </c>
      <c r="I23" s="276">
        <f t="shared" si="0"/>
        <v>0</v>
      </c>
    </row>
    <row r="24" spans="1:9" x14ac:dyDescent="0.3">
      <c r="A24" s="275" t="s">
        <v>482</v>
      </c>
      <c r="B24" s="274">
        <v>138160000</v>
      </c>
      <c r="D24" t="s">
        <v>482</v>
      </c>
      <c r="E24" s="274">
        <f>_xlfn.XLOOKUP(Table6[[#This Row],[Column1]],$A$4:$A$122,$B$4:$B$122,0,0,1)</f>
        <v>138160000</v>
      </c>
      <c r="G24" t="b">
        <f>A24=Table6[[#This Row],[Column1]]</f>
        <v>1</v>
      </c>
      <c r="H24" s="274">
        <v>138160000</v>
      </c>
      <c r="I24" s="276">
        <f t="shared" si="0"/>
        <v>0</v>
      </c>
    </row>
    <row r="25" spans="1:9" x14ac:dyDescent="0.3">
      <c r="A25" s="275" t="s">
        <v>796</v>
      </c>
      <c r="B25" s="274">
        <v>20830000</v>
      </c>
      <c r="D25" t="s">
        <v>796</v>
      </c>
      <c r="E25" s="274">
        <f>_xlfn.XLOOKUP(Table6[[#This Row],[Column1]],$A$4:$A$122,$B$4:$B$122,0,0,1)</f>
        <v>20830000</v>
      </c>
      <c r="G25" t="b">
        <f>A25=Table6[[#This Row],[Column1]]</f>
        <v>1</v>
      </c>
      <c r="H25" s="274">
        <v>20830000</v>
      </c>
      <c r="I25" s="276">
        <f t="shared" si="0"/>
        <v>0</v>
      </c>
    </row>
    <row r="26" spans="1:9" x14ac:dyDescent="0.3">
      <c r="A26" s="275" t="s">
        <v>801</v>
      </c>
      <c r="B26" s="274">
        <v>500000</v>
      </c>
      <c r="D26" t="s">
        <v>801</v>
      </c>
      <c r="E26" s="274">
        <f>_xlfn.XLOOKUP(Table6[[#This Row],[Column1]],$A$4:$A$122,$B$4:$B$122,0,0,1)</f>
        <v>500000</v>
      </c>
      <c r="G26" t="b">
        <f>A26=Table6[[#This Row],[Column1]]</f>
        <v>1</v>
      </c>
      <c r="H26" s="274">
        <v>500000</v>
      </c>
      <c r="I26" s="276">
        <f t="shared" si="0"/>
        <v>0</v>
      </c>
    </row>
    <row r="27" spans="1:9" x14ac:dyDescent="0.3">
      <c r="A27" s="275" t="s">
        <v>803</v>
      </c>
      <c r="B27" s="274">
        <v>7200000</v>
      </c>
      <c r="D27" t="s">
        <v>803</v>
      </c>
      <c r="E27" s="274">
        <f>_xlfn.XLOOKUP(Table6[[#This Row],[Column1]],$A$4:$A$122,$B$4:$B$122,0,0,1)</f>
        <v>7200000</v>
      </c>
      <c r="G27" t="b">
        <f>A27=Table6[[#This Row],[Column1]]</f>
        <v>1</v>
      </c>
      <c r="H27" s="274">
        <v>7200000</v>
      </c>
      <c r="I27" s="276">
        <f t="shared" si="0"/>
        <v>0</v>
      </c>
    </row>
    <row r="28" spans="1:9" x14ac:dyDescent="0.3">
      <c r="A28" s="275" t="s">
        <v>805</v>
      </c>
      <c r="B28" s="274">
        <v>23030000</v>
      </c>
      <c r="D28" t="s">
        <v>805</v>
      </c>
      <c r="E28" s="274">
        <f>_xlfn.XLOOKUP(Table6[[#This Row],[Column1]],$A$4:$A$122,$B$4:$B$122,0,0,1)</f>
        <v>23030000</v>
      </c>
      <c r="G28" t="b">
        <f>A28=Table6[[#This Row],[Column1]]</f>
        <v>1</v>
      </c>
      <c r="H28" s="274">
        <v>23030000</v>
      </c>
      <c r="I28" s="276">
        <f t="shared" si="0"/>
        <v>0</v>
      </c>
    </row>
    <row r="29" spans="1:9" x14ac:dyDescent="0.3">
      <c r="A29" s="275" t="s">
        <v>486</v>
      </c>
      <c r="B29" s="274">
        <v>13900000</v>
      </c>
      <c r="D29" t="s">
        <v>486</v>
      </c>
      <c r="E29" s="274">
        <f>_xlfn.XLOOKUP(Table6[[#This Row],[Column1]],$A$4:$A$122,$B$4:$B$122,0,0,1)</f>
        <v>13900000</v>
      </c>
      <c r="G29" t="b">
        <f>A29=Table6[[#This Row],[Column1]]</f>
        <v>1</v>
      </c>
      <c r="H29" s="274">
        <v>13900000</v>
      </c>
      <c r="I29" s="276">
        <f t="shared" si="0"/>
        <v>0</v>
      </c>
    </row>
    <row r="30" spans="1:9" x14ac:dyDescent="0.3">
      <c r="A30" s="275" t="s">
        <v>490</v>
      </c>
      <c r="B30" s="274">
        <v>8784000</v>
      </c>
      <c r="D30" t="s">
        <v>490</v>
      </c>
      <c r="E30" s="274">
        <f>_xlfn.XLOOKUP(Table6[[#This Row],[Column1]],$A$4:$A$122,$B$4:$B$122,0,0,1)</f>
        <v>8784000</v>
      </c>
      <c r="G30" t="b">
        <f>A30=Table6[[#This Row],[Column1]]</f>
        <v>1</v>
      </c>
      <c r="H30" s="274">
        <v>8784000</v>
      </c>
      <c r="I30" s="276">
        <f t="shared" si="0"/>
        <v>0</v>
      </c>
    </row>
    <row r="31" spans="1:9" x14ac:dyDescent="0.3">
      <c r="A31" s="275" t="s">
        <v>492</v>
      </c>
      <c r="B31" s="274">
        <v>10000000</v>
      </c>
      <c r="D31" t="s">
        <v>492</v>
      </c>
      <c r="E31" s="274">
        <f>_xlfn.XLOOKUP(Table6[[#This Row],[Column1]],$A$4:$A$122,$B$4:$B$122,0,0,1)</f>
        <v>10000000</v>
      </c>
      <c r="G31" t="b">
        <f>A31=Table6[[#This Row],[Column1]]</f>
        <v>1</v>
      </c>
      <c r="H31" s="274">
        <v>10000000</v>
      </c>
      <c r="I31" s="276">
        <f t="shared" si="0"/>
        <v>0</v>
      </c>
    </row>
    <row r="32" spans="1:9" x14ac:dyDescent="0.3">
      <c r="A32" s="275" t="s">
        <v>813</v>
      </c>
      <c r="B32" s="274">
        <v>5000000</v>
      </c>
      <c r="D32" t="s">
        <v>813</v>
      </c>
      <c r="E32" s="274">
        <f>_xlfn.XLOOKUP(Table6[[#This Row],[Column1]],$A$4:$A$122,$B$4:$B$122,0,0,1)</f>
        <v>5000000</v>
      </c>
      <c r="G32" t="b">
        <f>A32=Table6[[#This Row],[Column1]]</f>
        <v>1</v>
      </c>
      <c r="H32" s="274">
        <v>5000000</v>
      </c>
      <c r="I32" s="276">
        <f t="shared" si="0"/>
        <v>0</v>
      </c>
    </row>
    <row r="33" spans="1:9" x14ac:dyDescent="0.3">
      <c r="A33" s="275" t="s">
        <v>816</v>
      </c>
      <c r="B33" s="274">
        <v>97416000</v>
      </c>
      <c r="D33" t="s">
        <v>816</v>
      </c>
      <c r="E33" s="274">
        <f>_xlfn.XLOOKUP(Table6[[#This Row],[Column1]],$A$4:$A$122,$B$4:$B$122,0,0,1)</f>
        <v>97416000</v>
      </c>
      <c r="G33" t="b">
        <f>A33=Table6[[#This Row],[Column1]]</f>
        <v>1</v>
      </c>
      <c r="H33" s="274">
        <v>97416000</v>
      </c>
      <c r="I33" s="276">
        <f t="shared" si="0"/>
        <v>0</v>
      </c>
    </row>
    <row r="34" spans="1:9" x14ac:dyDescent="0.3">
      <c r="A34" s="275" t="s">
        <v>837</v>
      </c>
      <c r="B34" s="274">
        <v>114200000</v>
      </c>
      <c r="D34" t="s">
        <v>837</v>
      </c>
      <c r="E34" s="274">
        <f>_xlfn.XLOOKUP(Table6[[#This Row],[Column1]],$A$4:$A$122,$B$4:$B$122,0,0,1)</f>
        <v>114200000</v>
      </c>
      <c r="G34" t="b">
        <f>A34=Table6[[#This Row],[Column1]]</f>
        <v>1</v>
      </c>
      <c r="H34" s="274">
        <v>114200000</v>
      </c>
      <c r="I34" s="276">
        <f t="shared" si="0"/>
        <v>0</v>
      </c>
    </row>
    <row r="35" spans="1:9" x14ac:dyDescent="0.3">
      <c r="A35" s="275" t="s">
        <v>1188</v>
      </c>
      <c r="B35" s="274">
        <v>12400000</v>
      </c>
      <c r="D35" t="s">
        <v>1188</v>
      </c>
      <c r="E35" s="274">
        <f>_xlfn.XLOOKUP(Table6[[#This Row],[Column1]],$A$4:$A$122,$B$4:$B$122,0,0,1)</f>
        <v>12400000</v>
      </c>
      <c r="G35" t="b">
        <f>A35=Table6[[#This Row],[Column1]]</f>
        <v>1</v>
      </c>
      <c r="H35" s="274">
        <v>12400000</v>
      </c>
      <c r="I35" s="276">
        <f t="shared" si="0"/>
        <v>0</v>
      </c>
    </row>
    <row r="36" spans="1:9" x14ac:dyDescent="0.3">
      <c r="A36" s="275" t="s">
        <v>1194</v>
      </c>
      <c r="B36" s="274">
        <v>10000000</v>
      </c>
      <c r="D36" t="s">
        <v>1191</v>
      </c>
      <c r="E36" s="274">
        <f>_xlfn.XLOOKUP(Table6[[#This Row],[Column1]],$A$4:$A$122,$B$4:$B$122,0,0,1)</f>
        <v>0</v>
      </c>
      <c r="G36" t="b">
        <f>A36=Table6[[#This Row],[Column1]]</f>
        <v>0</v>
      </c>
      <c r="H36" s="274">
        <v>10000000</v>
      </c>
      <c r="I36" s="276">
        <f t="shared" si="0"/>
        <v>0</v>
      </c>
    </row>
    <row r="37" spans="1:9" x14ac:dyDescent="0.3">
      <c r="A37" s="275" t="s">
        <v>1200</v>
      </c>
      <c r="B37" s="274">
        <v>90946000</v>
      </c>
      <c r="D37" t="s">
        <v>1194</v>
      </c>
      <c r="E37" s="274">
        <f>_xlfn.XLOOKUP(Table6[[#This Row],[Column1]],$A$4:$A$122,$B$4:$B$122,0,0,1)</f>
        <v>10000000</v>
      </c>
      <c r="G37" t="b">
        <f>A37=Table6[[#This Row],[Column1]]</f>
        <v>0</v>
      </c>
      <c r="H37" s="274">
        <v>90946000</v>
      </c>
      <c r="I37" s="276">
        <f t="shared" si="0"/>
        <v>0</v>
      </c>
    </row>
    <row r="38" spans="1:9" x14ac:dyDescent="0.3">
      <c r="A38" s="275" t="s">
        <v>1391</v>
      </c>
      <c r="B38" s="274">
        <v>5000000</v>
      </c>
      <c r="D38" t="s">
        <v>1198</v>
      </c>
      <c r="E38" s="274">
        <f>_xlfn.XLOOKUP(Table6[[#This Row],[Column1]],$A$4:$A$122,$B$4:$B$122,0,0,1)</f>
        <v>0</v>
      </c>
      <c r="G38" t="b">
        <f>A38=Table6[[#This Row],[Column1]]</f>
        <v>0</v>
      </c>
      <c r="H38" s="274">
        <v>5000000</v>
      </c>
      <c r="I38" s="276">
        <f t="shared" si="0"/>
        <v>0</v>
      </c>
    </row>
    <row r="39" spans="1:9" x14ac:dyDescent="0.3">
      <c r="A39" s="275" t="s">
        <v>1397</v>
      </c>
      <c r="B39" s="274">
        <v>12989000</v>
      </c>
      <c r="D39" t="s">
        <v>1200</v>
      </c>
      <c r="E39" s="274">
        <f>_xlfn.XLOOKUP(Table6[[#This Row],[Column1]],$A$4:$A$122,$B$4:$B$122,0,0,1)</f>
        <v>90946000</v>
      </c>
      <c r="G39" t="b">
        <f>A39=Table6[[#This Row],[Column1]]</f>
        <v>0</v>
      </c>
      <c r="H39" s="274">
        <v>12989000</v>
      </c>
      <c r="I39" s="276">
        <f t="shared" si="0"/>
        <v>0</v>
      </c>
    </row>
    <row r="40" spans="1:9" x14ac:dyDescent="0.3">
      <c r="A40" s="275" t="s">
        <v>1400</v>
      </c>
      <c r="B40" s="274">
        <v>750000</v>
      </c>
      <c r="D40" t="s">
        <v>1391</v>
      </c>
      <c r="E40" s="274">
        <f>_xlfn.XLOOKUP(Table6[[#This Row],[Column1]],$A$4:$A$122,$B$4:$B$122,0,0,1)</f>
        <v>5000000</v>
      </c>
      <c r="G40" t="b">
        <f>A40=Table6[[#This Row],[Column1]]</f>
        <v>0</v>
      </c>
      <c r="H40" s="274">
        <v>750000</v>
      </c>
      <c r="I40" s="276">
        <f t="shared" si="0"/>
        <v>0</v>
      </c>
    </row>
    <row r="41" spans="1:9" x14ac:dyDescent="0.3">
      <c r="A41" s="275" t="s">
        <v>1404</v>
      </c>
      <c r="B41" s="274">
        <v>10000000</v>
      </c>
      <c r="D41" t="s">
        <v>1397</v>
      </c>
      <c r="E41" s="274">
        <f>_xlfn.XLOOKUP(Table6[[#This Row],[Column1]],$A$4:$A$122,$B$4:$B$122,0,0,1)</f>
        <v>12989000</v>
      </c>
      <c r="G41" t="b">
        <f>A41=Table6[[#This Row],[Column1]]</f>
        <v>0</v>
      </c>
      <c r="H41" s="274">
        <v>10000000</v>
      </c>
      <c r="I41" s="276">
        <f t="shared" si="0"/>
        <v>0</v>
      </c>
    </row>
    <row r="42" spans="1:9" x14ac:dyDescent="0.3">
      <c r="A42" s="275" t="s">
        <v>1409</v>
      </c>
      <c r="B42" s="274">
        <v>2031000</v>
      </c>
      <c r="D42" t="s">
        <v>1400</v>
      </c>
      <c r="E42" s="274">
        <f>_xlfn.XLOOKUP(Table6[[#This Row],[Column1]],$A$4:$A$122,$B$4:$B$122,0,0,1)</f>
        <v>750000</v>
      </c>
      <c r="G42" t="b">
        <f>A42=Table6[[#This Row],[Column1]]</f>
        <v>0</v>
      </c>
      <c r="H42" s="274">
        <v>2031000</v>
      </c>
      <c r="I42" s="276">
        <f t="shared" si="0"/>
        <v>0</v>
      </c>
    </row>
    <row r="43" spans="1:9" x14ac:dyDescent="0.3">
      <c r="A43" s="275" t="s">
        <v>1412</v>
      </c>
      <c r="B43" s="274">
        <v>373634000</v>
      </c>
      <c r="D43" t="s">
        <v>1404</v>
      </c>
      <c r="E43" s="274">
        <f>_xlfn.XLOOKUP(Table6[[#This Row],[Column1]],$A$4:$A$122,$B$4:$B$122,0,0,1)</f>
        <v>10000000</v>
      </c>
      <c r="G43" t="b">
        <f>A43=Table6[[#This Row],[Column1]]</f>
        <v>0</v>
      </c>
      <c r="H43" s="274">
        <v>373634000</v>
      </c>
      <c r="I43" s="276">
        <f t="shared" si="0"/>
        <v>0</v>
      </c>
    </row>
    <row r="44" spans="1:9" x14ac:dyDescent="0.3">
      <c r="A44" s="275" t="s">
        <v>1419</v>
      </c>
      <c r="B44" s="274">
        <v>33500000</v>
      </c>
      <c r="D44" t="s">
        <v>1409</v>
      </c>
      <c r="E44" s="274">
        <f>_xlfn.XLOOKUP(Table6[[#This Row],[Column1]],$A$4:$A$122,$B$4:$B$122,0,0,1)</f>
        <v>2031000</v>
      </c>
      <c r="G44" t="b">
        <f>A44=Table6[[#This Row],[Column1]]</f>
        <v>0</v>
      </c>
      <c r="H44" s="274">
        <v>33500000</v>
      </c>
      <c r="I44" s="276">
        <f t="shared" si="0"/>
        <v>0</v>
      </c>
    </row>
    <row r="45" spans="1:9" x14ac:dyDescent="0.3">
      <c r="A45" s="275" t="s">
        <v>1428</v>
      </c>
      <c r="B45" s="274">
        <v>3000000</v>
      </c>
      <c r="D45" t="s">
        <v>1412</v>
      </c>
      <c r="E45" s="274">
        <f>_xlfn.XLOOKUP(Table6[[#This Row],[Column1]],$A$4:$A$122,$B$4:$B$122,0,0,1)</f>
        <v>373634000</v>
      </c>
      <c r="G45" t="b">
        <f>A45=Table6[[#This Row],[Column1]]</f>
        <v>0</v>
      </c>
      <c r="H45" s="274">
        <v>3000000</v>
      </c>
      <c r="I45" s="276">
        <f t="shared" si="0"/>
        <v>0</v>
      </c>
    </row>
    <row r="46" spans="1:9" x14ac:dyDescent="0.3">
      <c r="A46" s="275" t="s">
        <v>1431</v>
      </c>
      <c r="B46" s="274">
        <v>18000000</v>
      </c>
      <c r="D46" t="s">
        <v>1419</v>
      </c>
      <c r="E46" s="274">
        <f>_xlfn.XLOOKUP(Table6[[#This Row],[Column1]],$A$4:$A$122,$B$4:$B$122,0,0,1)</f>
        <v>33500000</v>
      </c>
      <c r="G46" t="b">
        <f>A46=Table6[[#This Row],[Column1]]</f>
        <v>0</v>
      </c>
      <c r="H46" s="274">
        <v>18000000</v>
      </c>
      <c r="I46" s="276">
        <f t="shared" si="0"/>
        <v>0</v>
      </c>
    </row>
    <row r="47" spans="1:9" x14ac:dyDescent="0.3">
      <c r="A47" s="275" t="s">
        <v>1434</v>
      </c>
      <c r="B47" s="274">
        <v>2250000</v>
      </c>
      <c r="D47" t="s">
        <v>1428</v>
      </c>
      <c r="E47" s="274">
        <f>_xlfn.XLOOKUP(Table6[[#This Row],[Column1]],$A$4:$A$122,$B$4:$B$122,0,0,1)</f>
        <v>3000000</v>
      </c>
      <c r="G47" t="b">
        <f>A47=Table6[[#This Row],[Column1]]</f>
        <v>0</v>
      </c>
      <c r="H47" s="274">
        <v>2250000</v>
      </c>
      <c r="I47" s="276">
        <f t="shared" si="0"/>
        <v>0</v>
      </c>
    </row>
    <row r="48" spans="1:9" x14ac:dyDescent="0.3">
      <c r="A48" s="275" t="s">
        <v>1438</v>
      </c>
      <c r="B48" s="274">
        <v>13500000</v>
      </c>
      <c r="D48" t="s">
        <v>1431</v>
      </c>
      <c r="E48" s="274">
        <f>_xlfn.XLOOKUP(Table6[[#This Row],[Column1]],$A$4:$A$122,$B$4:$B$122,0,0,1)</f>
        <v>18000000</v>
      </c>
      <c r="G48" t="b">
        <f>A48=Table6[[#This Row],[Column1]]</f>
        <v>0</v>
      </c>
      <c r="H48" s="274">
        <v>13500000</v>
      </c>
      <c r="I48" s="276">
        <f t="shared" si="0"/>
        <v>0</v>
      </c>
    </row>
    <row r="49" spans="1:9" x14ac:dyDescent="0.3">
      <c r="A49" s="275" t="s">
        <v>1443</v>
      </c>
      <c r="B49" s="274">
        <v>47693000</v>
      </c>
      <c r="D49" t="s">
        <v>1434</v>
      </c>
      <c r="E49" s="274">
        <f>_xlfn.XLOOKUP(Table6[[#This Row],[Column1]],$A$4:$A$122,$B$4:$B$122,0,0,1)</f>
        <v>2250000</v>
      </c>
      <c r="G49" t="b">
        <f>A49=Table6[[#This Row],[Column1]]</f>
        <v>0</v>
      </c>
      <c r="H49" s="274">
        <v>47693000</v>
      </c>
      <c r="I49" s="276">
        <f t="shared" si="0"/>
        <v>0</v>
      </c>
    </row>
    <row r="50" spans="1:9" x14ac:dyDescent="0.3">
      <c r="A50" s="275" t="s">
        <v>1449</v>
      </c>
      <c r="B50" s="274">
        <v>38100000</v>
      </c>
      <c r="D50" t="s">
        <v>1438</v>
      </c>
      <c r="E50" s="274">
        <f>_xlfn.XLOOKUP(Table6[[#This Row],[Column1]],$A$4:$A$122,$B$4:$B$122,0,0,1)</f>
        <v>13500000</v>
      </c>
      <c r="G50" t="b">
        <f>A50=Table6[[#This Row],[Column1]]</f>
        <v>0</v>
      </c>
      <c r="H50" s="274">
        <v>38100000</v>
      </c>
      <c r="I50" s="276">
        <f t="shared" si="0"/>
        <v>0</v>
      </c>
    </row>
    <row r="51" spans="1:9" x14ac:dyDescent="0.3">
      <c r="A51" s="275" t="s">
        <v>1455</v>
      </c>
      <c r="B51" s="274">
        <v>82534000</v>
      </c>
      <c r="D51" t="s">
        <v>1443</v>
      </c>
      <c r="E51" s="274">
        <f>_xlfn.XLOOKUP(Table6[[#This Row],[Column1]],$A$4:$A$122,$B$4:$B$122,0,0,1)</f>
        <v>47693000</v>
      </c>
      <c r="G51" t="b">
        <f>A51=Table6[[#This Row],[Column1]]</f>
        <v>0</v>
      </c>
      <c r="H51" s="274">
        <v>82534000</v>
      </c>
      <c r="I51" s="276">
        <f t="shared" si="0"/>
        <v>0</v>
      </c>
    </row>
    <row r="52" spans="1:9" x14ac:dyDescent="0.3">
      <c r="A52" s="275" t="s">
        <v>4836</v>
      </c>
      <c r="B52" s="274">
        <v>1606000</v>
      </c>
      <c r="D52" t="s">
        <v>1446</v>
      </c>
      <c r="E52" s="274">
        <f>_xlfn.XLOOKUP(Table6[[#This Row],[Column1]],$A$4:$A$122,$B$4:$B$122,0,0,1)</f>
        <v>0</v>
      </c>
      <c r="G52" t="b">
        <f>A52=Table6[[#This Row],[Column1]]</f>
        <v>0</v>
      </c>
      <c r="H52" s="274">
        <v>1606000</v>
      </c>
      <c r="I52" s="276">
        <f t="shared" si="0"/>
        <v>0</v>
      </c>
    </row>
    <row r="53" spans="1:9" x14ac:dyDescent="0.3">
      <c r="A53" s="275" t="s">
        <v>1462</v>
      </c>
      <c r="B53" s="274">
        <v>4246000</v>
      </c>
      <c r="D53" t="s">
        <v>1449</v>
      </c>
      <c r="E53" s="274">
        <f>_xlfn.XLOOKUP(Table6[[#This Row],[Column1]],$A$4:$A$122,$B$4:$B$122,0,0,1)</f>
        <v>38100000</v>
      </c>
      <c r="G53" t="b">
        <f>A53=Table6[[#This Row],[Column1]]</f>
        <v>0</v>
      </c>
      <c r="H53" s="274">
        <v>4246000</v>
      </c>
      <c r="I53" s="276">
        <f t="shared" si="0"/>
        <v>0</v>
      </c>
    </row>
    <row r="54" spans="1:9" x14ac:dyDescent="0.3">
      <c r="A54" s="275" t="s">
        <v>1464</v>
      </c>
      <c r="B54" s="274">
        <v>21851000</v>
      </c>
      <c r="D54" t="s">
        <v>1455</v>
      </c>
      <c r="E54" s="274">
        <f>_xlfn.XLOOKUP(Table6[[#This Row],[Column1]],$A$4:$A$122,$B$4:$B$122,0,0,1)</f>
        <v>82534000</v>
      </c>
      <c r="G54" t="b">
        <f>A54=Table6[[#This Row],[Column1]]</f>
        <v>0</v>
      </c>
      <c r="H54" s="274">
        <v>21851000</v>
      </c>
      <c r="I54" s="276">
        <f t="shared" si="0"/>
        <v>0</v>
      </c>
    </row>
    <row r="55" spans="1:9" x14ac:dyDescent="0.3">
      <c r="A55" s="275" t="s">
        <v>1470</v>
      </c>
      <c r="B55" s="274">
        <v>4000000</v>
      </c>
      <c r="D55" t="s">
        <v>4836</v>
      </c>
      <c r="E55" s="274">
        <f>_xlfn.XLOOKUP(Table6[[#This Row],[Column1]],$A$4:$A$122,$B$4:$B$122,0,0,1)</f>
        <v>1606000</v>
      </c>
      <c r="G55" t="b">
        <f>A55=Table6[[#This Row],[Column1]]</f>
        <v>0</v>
      </c>
      <c r="H55" s="274">
        <v>4000000</v>
      </c>
      <c r="I55" s="276">
        <f t="shared" si="0"/>
        <v>0</v>
      </c>
    </row>
    <row r="56" spans="1:9" x14ac:dyDescent="0.3">
      <c r="A56" s="275" t="s">
        <v>1474</v>
      </c>
      <c r="B56" s="274">
        <v>4298000</v>
      </c>
      <c r="D56" t="s">
        <v>1462</v>
      </c>
      <c r="E56" s="274">
        <f>_xlfn.XLOOKUP(Table6[[#This Row],[Column1]],$A$4:$A$122,$B$4:$B$122,0,0,1)</f>
        <v>4246000</v>
      </c>
      <c r="G56" t="b">
        <f>A56=Table6[[#This Row],[Column1]]</f>
        <v>0</v>
      </c>
      <c r="H56" s="274">
        <v>4298000</v>
      </c>
      <c r="I56" s="276">
        <f t="shared" si="0"/>
        <v>0</v>
      </c>
    </row>
    <row r="57" spans="1:9" x14ac:dyDescent="0.3">
      <c r="A57" s="275" t="s">
        <v>1487</v>
      </c>
      <c r="B57" s="274">
        <v>9059000</v>
      </c>
      <c r="D57" t="s">
        <v>1464</v>
      </c>
      <c r="E57" s="274">
        <f>_xlfn.XLOOKUP(Table6[[#This Row],[Column1]],$A$4:$A$122,$B$4:$B$122,0,0,1)</f>
        <v>21851000</v>
      </c>
      <c r="G57" t="b">
        <f>A57=Table6[[#This Row],[Column1]]</f>
        <v>0</v>
      </c>
      <c r="H57" s="274">
        <v>9059000</v>
      </c>
      <c r="I57" s="276">
        <f t="shared" si="0"/>
        <v>0</v>
      </c>
    </row>
    <row r="58" spans="1:9" x14ac:dyDescent="0.3">
      <c r="A58" s="275" t="s">
        <v>1491</v>
      </c>
      <c r="B58" s="274">
        <v>12550000</v>
      </c>
      <c r="D58" t="s">
        <v>1467</v>
      </c>
      <c r="E58" s="274">
        <f>_xlfn.XLOOKUP(Table6[[#This Row],[Column1]],$A$4:$A$122,$B$4:$B$122,0,0,1)</f>
        <v>0</v>
      </c>
      <c r="G58" t="b">
        <f>A58=Table6[[#This Row],[Column1]]</f>
        <v>0</v>
      </c>
      <c r="H58" s="274">
        <v>12550000</v>
      </c>
      <c r="I58" s="276">
        <f t="shared" si="0"/>
        <v>0</v>
      </c>
    </row>
    <row r="59" spans="1:9" x14ac:dyDescent="0.3">
      <c r="A59" s="275" t="s">
        <v>1496</v>
      </c>
      <c r="B59" s="274">
        <v>1192000</v>
      </c>
      <c r="D59" t="s">
        <v>1470</v>
      </c>
      <c r="E59" s="274">
        <f>_xlfn.XLOOKUP(Table6[[#This Row],[Column1]],$A$4:$A$122,$B$4:$B$122,0,0,1)</f>
        <v>4000000</v>
      </c>
      <c r="G59" t="b">
        <f>A59=Table6[[#This Row],[Column1]]</f>
        <v>0</v>
      </c>
      <c r="H59" s="274">
        <v>1192000</v>
      </c>
      <c r="I59" s="276">
        <f t="shared" si="0"/>
        <v>0</v>
      </c>
    </row>
    <row r="60" spans="1:9" x14ac:dyDescent="0.3">
      <c r="A60" s="275" t="s">
        <v>1498</v>
      </c>
      <c r="B60" s="274">
        <v>9000000</v>
      </c>
      <c r="D60" t="s">
        <v>1474</v>
      </c>
      <c r="E60" s="274">
        <f>_xlfn.XLOOKUP(Table6[[#This Row],[Column1]],$A$4:$A$122,$B$4:$B$122,0,0,1)</f>
        <v>4298000</v>
      </c>
      <c r="G60" t="b">
        <f>A60=Table6[[#This Row],[Column1]]</f>
        <v>0</v>
      </c>
      <c r="H60" s="274">
        <v>9000000</v>
      </c>
      <c r="I60" s="276">
        <f t="shared" si="0"/>
        <v>0</v>
      </c>
    </row>
    <row r="61" spans="1:9" x14ac:dyDescent="0.3">
      <c r="A61" s="275" t="s">
        <v>1501</v>
      </c>
      <c r="B61" s="274">
        <v>60764000</v>
      </c>
      <c r="D61" t="s">
        <v>1483</v>
      </c>
      <c r="E61" s="274">
        <f>_xlfn.XLOOKUP(Table6[[#This Row],[Column1]],$A$4:$A$122,$B$4:$B$122,0,0,1)</f>
        <v>0</v>
      </c>
      <c r="G61" t="b">
        <f>A61=Table6[[#This Row],[Column1]]</f>
        <v>0</v>
      </c>
      <c r="H61" s="274">
        <v>60764000</v>
      </c>
      <c r="I61" s="276">
        <f t="shared" si="0"/>
        <v>0</v>
      </c>
    </row>
    <row r="62" spans="1:9" x14ac:dyDescent="0.3">
      <c r="A62" s="275" t="s">
        <v>1538</v>
      </c>
      <c r="B62" s="274">
        <v>17550000</v>
      </c>
      <c r="D62" t="s">
        <v>1485</v>
      </c>
      <c r="E62" s="274">
        <f>_xlfn.XLOOKUP(Table6[[#This Row],[Column1]],$A$4:$A$122,$B$4:$B$122,0,0,1)</f>
        <v>0</v>
      </c>
      <c r="G62" t="b">
        <f>A62=Table6[[#This Row],[Column1]]</f>
        <v>0</v>
      </c>
      <c r="H62" s="274">
        <v>17550000</v>
      </c>
      <c r="I62" s="276">
        <f t="shared" si="0"/>
        <v>0</v>
      </c>
    </row>
    <row r="63" spans="1:9" x14ac:dyDescent="0.3">
      <c r="A63" s="275" t="s">
        <v>1549</v>
      </c>
      <c r="B63" s="274">
        <v>27651000</v>
      </c>
      <c r="D63" t="s">
        <v>1487</v>
      </c>
      <c r="E63" s="274">
        <f>_xlfn.XLOOKUP(Table6[[#This Row],[Column1]],$A$4:$A$122,$B$4:$B$122,0,0,1)</f>
        <v>9059000</v>
      </c>
      <c r="G63" t="b">
        <f>A63=Table6[[#This Row],[Column1]]</f>
        <v>0</v>
      </c>
      <c r="H63" s="274">
        <v>27651000</v>
      </c>
      <c r="I63" s="276">
        <f t="shared" si="0"/>
        <v>0</v>
      </c>
    </row>
    <row r="64" spans="1:9" x14ac:dyDescent="0.3">
      <c r="A64" s="275" t="s">
        <v>1551</v>
      </c>
      <c r="B64" s="274">
        <v>40000000</v>
      </c>
      <c r="D64" t="s">
        <v>1491</v>
      </c>
      <c r="E64" s="274">
        <f>_xlfn.XLOOKUP(Table6[[#This Row],[Column1]],$A$4:$A$122,$B$4:$B$122,0,0,1)</f>
        <v>12550000</v>
      </c>
      <c r="G64" t="b">
        <f>A64=Table6[[#This Row],[Column1]]</f>
        <v>0</v>
      </c>
      <c r="H64" s="274">
        <v>40000000</v>
      </c>
      <c r="I64" s="276">
        <f t="shared" si="0"/>
        <v>0</v>
      </c>
    </row>
    <row r="65" spans="1:9" x14ac:dyDescent="0.3">
      <c r="A65" s="275" t="s">
        <v>1553</v>
      </c>
      <c r="B65" s="274">
        <v>25062000</v>
      </c>
      <c r="D65" t="s">
        <v>1496</v>
      </c>
      <c r="E65" s="274">
        <f>_xlfn.XLOOKUP(Table6[[#This Row],[Column1]],$A$4:$A$122,$B$4:$B$122,0,0,1)</f>
        <v>1192000</v>
      </c>
      <c r="G65" t="b">
        <f>A65=Table6[[#This Row],[Column1]]</f>
        <v>0</v>
      </c>
      <c r="H65" s="274">
        <v>25062000</v>
      </c>
      <c r="I65" s="276">
        <f t="shared" si="0"/>
        <v>0</v>
      </c>
    </row>
    <row r="66" spans="1:9" x14ac:dyDescent="0.3">
      <c r="A66" s="275" t="s">
        <v>2172</v>
      </c>
      <c r="B66" s="274">
        <v>1076220000</v>
      </c>
      <c r="D66" t="s">
        <v>1498</v>
      </c>
      <c r="E66" s="274">
        <f>_xlfn.XLOOKUP(Table6[[#This Row],[Column1]],$A$4:$A$122,$B$4:$B$122,0,0,1)</f>
        <v>9000000</v>
      </c>
      <c r="G66" t="b">
        <f>A66=Table6[[#This Row],[Column1]]</f>
        <v>0</v>
      </c>
      <c r="H66" s="414">
        <v>1076220000</v>
      </c>
      <c r="I66" s="276"/>
    </row>
    <row r="67" spans="1:9" x14ac:dyDescent="0.3">
      <c r="A67" s="275" t="s">
        <v>2189</v>
      </c>
      <c r="B67" s="274">
        <v>178160000</v>
      </c>
      <c r="D67" t="s">
        <v>1501</v>
      </c>
      <c r="E67" s="274">
        <f>_xlfn.XLOOKUP(Table6[[#This Row],[Column1]],$A$4:$A$122,$B$4:$B$122,0,0,1)</f>
        <v>60764000</v>
      </c>
      <c r="G67" t="b">
        <f>A67=Table6[[#This Row],[Column1]]</f>
        <v>0</v>
      </c>
      <c r="H67" s="414">
        <v>178160000</v>
      </c>
      <c r="I67" s="276"/>
    </row>
    <row r="68" spans="1:9" x14ac:dyDescent="0.3">
      <c r="A68" s="275" t="s">
        <v>2210</v>
      </c>
      <c r="B68" s="274">
        <v>30000000</v>
      </c>
      <c r="D68" t="s">
        <v>1506</v>
      </c>
      <c r="E68" s="274">
        <f>_xlfn.XLOOKUP(Table6[[#This Row],[Column1]],$A$4:$A$122,$B$4:$B$122,0,0,1)</f>
        <v>0</v>
      </c>
      <c r="G68" t="b">
        <f>A68=Table6[[#This Row],[Column1]]</f>
        <v>0</v>
      </c>
      <c r="H68" s="414">
        <v>30000000</v>
      </c>
      <c r="I68" s="276"/>
    </row>
    <row r="69" spans="1:9" x14ac:dyDescent="0.3">
      <c r="A69" s="275" t="s">
        <v>2213</v>
      </c>
      <c r="B69" s="274">
        <v>118852000</v>
      </c>
      <c r="D69" t="s">
        <v>1521</v>
      </c>
      <c r="E69" s="274">
        <f>_xlfn.XLOOKUP(Table6[[#This Row],[Column1]],$A$4:$A$122,$B$4:$B$122,0,0,1)</f>
        <v>0</v>
      </c>
      <c r="G69" t="b">
        <f>A69=Table6[[#This Row],[Column1]]</f>
        <v>0</v>
      </c>
      <c r="H69" s="414">
        <v>118852000</v>
      </c>
      <c r="I69" s="276"/>
    </row>
    <row r="70" spans="1:9" x14ac:dyDescent="0.3">
      <c r="A70" s="275" t="s">
        <v>2221</v>
      </c>
      <c r="B70" s="274">
        <v>497050000</v>
      </c>
      <c r="D70" t="s">
        <v>1526</v>
      </c>
      <c r="E70" s="274">
        <f>_xlfn.XLOOKUP(Table6[[#This Row],[Column1]],$A$4:$A$122,$B$4:$B$122,0,0,1)</f>
        <v>0</v>
      </c>
      <c r="G70" t="b">
        <f>A70=Table6[[#This Row],[Column1]]</f>
        <v>0</v>
      </c>
      <c r="H70" s="414">
        <v>497050000</v>
      </c>
      <c r="I70" s="276"/>
    </row>
    <row r="71" spans="1:9" x14ac:dyDescent="0.3">
      <c r="A71" s="275" t="s">
        <v>2235</v>
      </c>
      <c r="B71" s="274">
        <v>36000000</v>
      </c>
      <c r="D71" t="s">
        <v>1533</v>
      </c>
      <c r="E71" s="274">
        <f>_xlfn.XLOOKUP(Table6[[#This Row],[Column1]],$A$4:$A$122,$B$4:$B$122,0,0,1)</f>
        <v>0</v>
      </c>
      <c r="G71" t="b">
        <f>A71=Table6[[#This Row],[Column1]]</f>
        <v>0</v>
      </c>
      <c r="H71" s="414">
        <v>36000000</v>
      </c>
      <c r="I71" s="276"/>
    </row>
    <row r="72" spans="1:9" x14ac:dyDescent="0.3">
      <c r="A72" s="275" t="s">
        <v>2241</v>
      </c>
      <c r="B72" s="274">
        <v>101040000</v>
      </c>
      <c r="D72" t="s">
        <v>1538</v>
      </c>
      <c r="E72" s="274">
        <f>_xlfn.XLOOKUP(Table6[[#This Row],[Column1]],$A$4:$A$122,$B$4:$B$122,0,0,1)</f>
        <v>17550000</v>
      </c>
      <c r="G72" t="b">
        <f>A72=Table6[[#This Row],[Column1]]</f>
        <v>0</v>
      </c>
      <c r="H72" s="414">
        <v>101040000</v>
      </c>
      <c r="I72" s="276"/>
    </row>
    <row r="73" spans="1:9" x14ac:dyDescent="0.3">
      <c r="A73" s="275" t="s">
        <v>2247</v>
      </c>
      <c r="B73" s="274">
        <v>58336000</v>
      </c>
      <c r="D73" t="s">
        <v>1549</v>
      </c>
      <c r="E73" s="274">
        <f>_xlfn.XLOOKUP(Table6[[#This Row],[Column1]],$A$4:$A$122,$B$4:$B$122,0,0,1)</f>
        <v>27651000</v>
      </c>
      <c r="G73" t="b">
        <f>A73=Table6[[#This Row],[Column1]]</f>
        <v>0</v>
      </c>
      <c r="H73" s="414">
        <v>58336000</v>
      </c>
      <c r="I73" s="276"/>
    </row>
    <row r="74" spans="1:9" x14ac:dyDescent="0.3">
      <c r="A74" s="275" t="s">
        <v>2293</v>
      </c>
      <c r="B74" s="274">
        <v>540000000</v>
      </c>
      <c r="D74" t="s">
        <v>1551</v>
      </c>
      <c r="E74" s="274">
        <f>_xlfn.XLOOKUP(Table6[[#This Row],[Column1]],$A$4:$A$122,$B$4:$B$122,0,0,1)</f>
        <v>40000000</v>
      </c>
      <c r="G74" t="b">
        <f>A74=Table6[[#This Row],[Column1]]</f>
        <v>0</v>
      </c>
      <c r="H74" s="274">
        <v>540000000</v>
      </c>
      <c r="I74" s="276">
        <f t="shared" ref="I74:I137" si="1">B74-H74</f>
        <v>0</v>
      </c>
    </row>
    <row r="75" spans="1:9" x14ac:dyDescent="0.3">
      <c r="A75" s="275" t="s">
        <v>2742</v>
      </c>
      <c r="B75" s="274">
        <v>6000000</v>
      </c>
      <c r="D75" t="s">
        <v>1553</v>
      </c>
      <c r="E75" s="274">
        <f>_xlfn.XLOOKUP(Table6[[#This Row],[Column1]],$A$4:$A$122,$B$4:$B$122,0,0,1)</f>
        <v>25062000</v>
      </c>
      <c r="G75" t="b">
        <f>A75=Table6[[#This Row],[Column1]]</f>
        <v>0</v>
      </c>
      <c r="H75" s="274">
        <v>6000000</v>
      </c>
      <c r="I75" s="276">
        <f t="shared" si="1"/>
        <v>0</v>
      </c>
    </row>
    <row r="76" spans="1:9" x14ac:dyDescent="0.3">
      <c r="A76" s="275" t="s">
        <v>2747</v>
      </c>
      <c r="B76" s="274">
        <v>1000000</v>
      </c>
      <c r="D76" t="s">
        <v>6236</v>
      </c>
      <c r="E76" s="274">
        <f>_xlfn.XLOOKUP(Table6[[#This Row],[Column1]],$A$4:$A$122,$B$4:$B$122,0,0,1)</f>
        <v>0</v>
      </c>
      <c r="G76" t="b">
        <f>A76=Table6[[#This Row],[Column1]]</f>
        <v>0</v>
      </c>
      <c r="H76" s="274">
        <v>1000000</v>
      </c>
      <c r="I76" s="276">
        <f t="shared" si="1"/>
        <v>0</v>
      </c>
    </row>
    <row r="77" spans="1:9" x14ac:dyDescent="0.3">
      <c r="A77" s="275" t="s">
        <v>2750</v>
      </c>
      <c r="B77" s="274">
        <v>10000000</v>
      </c>
      <c r="D77" t="s">
        <v>6237</v>
      </c>
      <c r="E77" s="274">
        <f>_xlfn.XLOOKUP(Table6[[#This Row],[Column1]],$A$4:$A$122,$B$4:$B$122,0,0,1)</f>
        <v>0</v>
      </c>
      <c r="G77" t="b">
        <f>A77=Table6[[#This Row],[Column1]]</f>
        <v>0</v>
      </c>
      <c r="H77" s="274">
        <v>10000000</v>
      </c>
      <c r="I77" s="276">
        <f t="shared" si="1"/>
        <v>0</v>
      </c>
    </row>
    <row r="78" spans="1:9" x14ac:dyDescent="0.3">
      <c r="A78" s="275" t="s">
        <v>2753</v>
      </c>
      <c r="B78" s="274">
        <v>5164000</v>
      </c>
      <c r="D78" t="s">
        <v>6240</v>
      </c>
      <c r="E78" s="274">
        <f>_xlfn.XLOOKUP(Table6[[#This Row],[Column1]],$A$4:$A$122,$B$4:$B$122,0,0,1)</f>
        <v>0</v>
      </c>
      <c r="G78" t="b">
        <f>A78=Table6[[#This Row],[Column1]]</f>
        <v>0</v>
      </c>
      <c r="H78" s="274">
        <v>5164000</v>
      </c>
      <c r="I78" s="276">
        <f t="shared" si="1"/>
        <v>0</v>
      </c>
    </row>
    <row r="79" spans="1:9" x14ac:dyDescent="0.3">
      <c r="A79" s="275" t="s">
        <v>2757</v>
      </c>
      <c r="B79" s="274">
        <v>12000000</v>
      </c>
      <c r="D79" t="s">
        <v>6241</v>
      </c>
      <c r="E79" s="274">
        <f>_xlfn.XLOOKUP(Table6[[#This Row],[Column1]],$A$4:$A$122,$B$4:$B$122,0,0,1)</f>
        <v>0</v>
      </c>
      <c r="G79" t="b">
        <f>A79=Table6[[#This Row],[Column1]]</f>
        <v>0</v>
      </c>
      <c r="H79" s="274">
        <v>12000000</v>
      </c>
      <c r="I79" s="276">
        <f t="shared" si="1"/>
        <v>0</v>
      </c>
    </row>
    <row r="80" spans="1:9" x14ac:dyDescent="0.3">
      <c r="A80" s="275" t="s">
        <v>2761</v>
      </c>
      <c r="B80" s="274">
        <v>1000000</v>
      </c>
      <c r="D80" t="s">
        <v>6242</v>
      </c>
      <c r="E80" s="274">
        <f>_xlfn.XLOOKUP(Table6[[#This Row],[Column1]],$A$4:$A$122,$B$4:$B$122,0,0,1)</f>
        <v>0</v>
      </c>
      <c r="G80" t="b">
        <f>A80=Table6[[#This Row],[Column1]]</f>
        <v>0</v>
      </c>
      <c r="H80" s="274">
        <v>1000000</v>
      </c>
      <c r="I80" s="276">
        <f t="shared" si="1"/>
        <v>0</v>
      </c>
    </row>
    <row r="81" spans="1:9" x14ac:dyDescent="0.3">
      <c r="A81" s="275" t="s">
        <v>2763</v>
      </c>
      <c r="B81" s="274">
        <v>20000000</v>
      </c>
      <c r="D81" t="s">
        <v>6243</v>
      </c>
      <c r="E81" s="274">
        <f>_xlfn.XLOOKUP(Table6[[#This Row],[Column1]],$A$4:$A$122,$B$4:$B$122,0,0,1)</f>
        <v>0</v>
      </c>
      <c r="G81" t="b">
        <f>A81=Table6[[#This Row],[Column1]]</f>
        <v>0</v>
      </c>
      <c r="H81" s="274">
        <v>20000000</v>
      </c>
      <c r="I81" s="276">
        <f t="shared" si="1"/>
        <v>0</v>
      </c>
    </row>
    <row r="82" spans="1:9" x14ac:dyDescent="0.3">
      <c r="A82" s="275" t="s">
        <v>2768</v>
      </c>
      <c r="B82" s="274">
        <v>45000000</v>
      </c>
      <c r="D82" t="s">
        <v>6244</v>
      </c>
      <c r="E82" s="274">
        <f>_xlfn.XLOOKUP(Table6[[#This Row],[Column1]],$A$4:$A$122,$B$4:$B$122,0,0,1)</f>
        <v>0</v>
      </c>
      <c r="G82" t="b">
        <f>A82=Table6[[#This Row],[Column1]]</f>
        <v>0</v>
      </c>
      <c r="H82" s="274">
        <v>45000000</v>
      </c>
      <c r="I82" s="276">
        <f t="shared" si="1"/>
        <v>0</v>
      </c>
    </row>
    <row r="83" spans="1:9" x14ac:dyDescent="0.3">
      <c r="A83" s="275" t="s">
        <v>2772</v>
      </c>
      <c r="B83" s="274">
        <v>21000000</v>
      </c>
      <c r="D83" t="s">
        <v>6245</v>
      </c>
      <c r="E83" s="274">
        <f>_xlfn.XLOOKUP(Table6[[#This Row],[Column1]],$A$4:$A$122,$B$4:$B$122,0,0,1)</f>
        <v>0</v>
      </c>
      <c r="G83" t="b">
        <f>A83=Table6[[#This Row],[Column1]]</f>
        <v>0</v>
      </c>
      <c r="H83" s="274">
        <v>21000000</v>
      </c>
      <c r="I83" s="276">
        <f t="shared" si="1"/>
        <v>0</v>
      </c>
    </row>
    <row r="84" spans="1:9" x14ac:dyDescent="0.3">
      <c r="A84" s="275" t="s">
        <v>2776</v>
      </c>
      <c r="B84" s="274">
        <v>17500000</v>
      </c>
      <c r="D84" t="s">
        <v>6246</v>
      </c>
      <c r="E84" s="274">
        <f>_xlfn.XLOOKUP(Table6[[#This Row],[Column1]],$A$4:$A$122,$B$4:$B$122,0,0,1)</f>
        <v>0</v>
      </c>
      <c r="G84" t="b">
        <f>A84=Table6[[#This Row],[Column1]]</f>
        <v>0</v>
      </c>
      <c r="H84" s="274">
        <v>17500000</v>
      </c>
      <c r="I84" s="276">
        <f t="shared" si="1"/>
        <v>0</v>
      </c>
    </row>
    <row r="85" spans="1:9" x14ac:dyDescent="0.3">
      <c r="A85" s="275" t="s">
        <v>2781</v>
      </c>
      <c r="B85" s="274">
        <v>41908000</v>
      </c>
      <c r="D85" t="s">
        <v>6247</v>
      </c>
      <c r="E85" s="274">
        <f>_xlfn.XLOOKUP(Table6[[#This Row],[Column1]],$A$4:$A$122,$B$4:$B$122,0,0,1)</f>
        <v>0</v>
      </c>
      <c r="G85" t="b">
        <f>A85=Table6[[#This Row],[Column1]]</f>
        <v>0</v>
      </c>
      <c r="H85" s="274">
        <v>41908000</v>
      </c>
      <c r="I85" s="276">
        <f t="shared" si="1"/>
        <v>0</v>
      </c>
    </row>
    <row r="86" spans="1:9" x14ac:dyDescent="0.3">
      <c r="A86" s="275" t="s">
        <v>3055</v>
      </c>
      <c r="B86" s="274">
        <v>23250000</v>
      </c>
      <c r="D86" t="s">
        <v>6248</v>
      </c>
      <c r="E86" s="274">
        <f>_xlfn.XLOOKUP(Table6[[#This Row],[Column1]],$A$4:$A$122,$B$4:$B$122,0,0,1)</f>
        <v>0</v>
      </c>
      <c r="G86" t="b">
        <f>A86=Table6[[#This Row],[Column1]]</f>
        <v>0</v>
      </c>
      <c r="H86" s="274">
        <v>23250000</v>
      </c>
      <c r="I86" s="276">
        <f t="shared" si="1"/>
        <v>0</v>
      </c>
    </row>
    <row r="87" spans="1:9" x14ac:dyDescent="0.3">
      <c r="A87" s="275" t="s">
        <v>3061</v>
      </c>
      <c r="B87" s="274">
        <v>2000000</v>
      </c>
      <c r="D87" t="s">
        <v>2293</v>
      </c>
      <c r="E87" s="274">
        <f>_xlfn.XLOOKUP(Table6[[#This Row],[Column1]],$A$4:$A$122,$B$4:$B$122,0,0,1)</f>
        <v>540000000</v>
      </c>
      <c r="G87" t="b">
        <f>A87=Table6[[#This Row],[Column1]]</f>
        <v>0</v>
      </c>
      <c r="H87" s="274">
        <v>2000000</v>
      </c>
      <c r="I87" s="276">
        <f t="shared" si="1"/>
        <v>0</v>
      </c>
    </row>
    <row r="88" spans="1:9" x14ac:dyDescent="0.3">
      <c r="A88" s="275" t="s">
        <v>3064</v>
      </c>
      <c r="B88" s="274">
        <v>18539000</v>
      </c>
      <c r="D88" t="s">
        <v>2742</v>
      </c>
      <c r="E88" s="274">
        <f>_xlfn.XLOOKUP(Table6[[#This Row],[Column1]],$A$4:$A$122,$B$4:$B$122,0,0,1)</f>
        <v>6000000</v>
      </c>
      <c r="G88" t="b">
        <f>A88=Table6[[#This Row],[Column1]]</f>
        <v>0</v>
      </c>
      <c r="H88" s="274">
        <v>18539000</v>
      </c>
      <c r="I88" s="276">
        <f t="shared" si="1"/>
        <v>0</v>
      </c>
    </row>
    <row r="89" spans="1:9" x14ac:dyDescent="0.3">
      <c r="A89" s="275" t="s">
        <v>3068</v>
      </c>
      <c r="B89" s="274">
        <v>13525000</v>
      </c>
      <c r="D89" t="s">
        <v>2747</v>
      </c>
      <c r="E89" s="274">
        <f>_xlfn.XLOOKUP(Table6[[#This Row],[Column1]],$A$4:$A$122,$B$4:$B$122,0,0,1)</f>
        <v>1000000</v>
      </c>
      <c r="G89" t="b">
        <f>A89=Table6[[#This Row],[Column1]]</f>
        <v>0</v>
      </c>
      <c r="H89" s="274">
        <v>13525000</v>
      </c>
      <c r="I89" s="276">
        <f t="shared" si="1"/>
        <v>0</v>
      </c>
    </row>
    <row r="90" spans="1:9" x14ac:dyDescent="0.3">
      <c r="A90" s="275" t="s">
        <v>3077</v>
      </c>
      <c r="B90" s="274">
        <v>2000000</v>
      </c>
      <c r="D90" t="s">
        <v>2750</v>
      </c>
      <c r="E90" s="274">
        <f>_xlfn.XLOOKUP(Table6[[#This Row],[Column1]],$A$4:$A$122,$B$4:$B$122,0,0,1)</f>
        <v>10000000</v>
      </c>
      <c r="G90" t="b">
        <f>A90=Table6[[#This Row],[Column1]]</f>
        <v>0</v>
      </c>
      <c r="H90" s="274">
        <v>2000000</v>
      </c>
      <c r="I90" s="276">
        <f t="shared" si="1"/>
        <v>0</v>
      </c>
    </row>
    <row r="91" spans="1:9" x14ac:dyDescent="0.3">
      <c r="A91" s="275" t="s">
        <v>3084</v>
      </c>
      <c r="B91" s="274">
        <v>60415000</v>
      </c>
      <c r="D91" t="s">
        <v>2753</v>
      </c>
      <c r="E91" s="274">
        <f>_xlfn.XLOOKUP(Table6[[#This Row],[Column1]],$A$4:$A$122,$B$4:$B$122,0,0,1)</f>
        <v>5164000</v>
      </c>
      <c r="G91" t="b">
        <f>A91=Table6[[#This Row],[Column1]]</f>
        <v>0</v>
      </c>
      <c r="H91" s="274">
        <v>60415000</v>
      </c>
      <c r="I91" s="276">
        <f t="shared" si="1"/>
        <v>0</v>
      </c>
    </row>
    <row r="92" spans="1:9" x14ac:dyDescent="0.3">
      <c r="A92" s="275" t="s">
        <v>3093</v>
      </c>
      <c r="B92" s="274">
        <v>17900000</v>
      </c>
      <c r="D92" t="s">
        <v>2757</v>
      </c>
      <c r="E92" s="274">
        <f>_xlfn.XLOOKUP(Table6[[#This Row],[Column1]],$A$4:$A$122,$B$4:$B$122,0,0,1)</f>
        <v>12000000</v>
      </c>
      <c r="G92" t="b">
        <f>A92=Table6[[#This Row],[Column1]]</f>
        <v>0</v>
      </c>
      <c r="H92" s="274">
        <v>17900000</v>
      </c>
      <c r="I92" s="276">
        <f t="shared" si="1"/>
        <v>0</v>
      </c>
    </row>
    <row r="93" spans="1:9" x14ac:dyDescent="0.3">
      <c r="A93" s="275" t="s">
        <v>3100</v>
      </c>
      <c r="B93" s="274">
        <v>2000000</v>
      </c>
      <c r="D93" t="s">
        <v>2761</v>
      </c>
      <c r="E93" s="274">
        <f>_xlfn.XLOOKUP(Table6[[#This Row],[Column1]],$A$4:$A$122,$B$4:$B$122,0,0,1)</f>
        <v>1000000</v>
      </c>
      <c r="G93" t="b">
        <f>A93=Table6[[#This Row],[Column1]]</f>
        <v>0</v>
      </c>
      <c r="H93" s="274">
        <v>2000000</v>
      </c>
      <c r="I93" s="276">
        <f t="shared" si="1"/>
        <v>0</v>
      </c>
    </row>
    <row r="94" spans="1:9" x14ac:dyDescent="0.3">
      <c r="A94" s="275" t="s">
        <v>3102</v>
      </c>
      <c r="B94" s="274">
        <v>30169000</v>
      </c>
      <c r="D94" t="s">
        <v>2763</v>
      </c>
      <c r="E94" s="274">
        <f>_xlfn.XLOOKUP(Table6[[#This Row],[Column1]],$A$4:$A$122,$B$4:$B$122,0,0,1)</f>
        <v>20000000</v>
      </c>
      <c r="G94" t="b">
        <f>A94=Table6[[#This Row],[Column1]]</f>
        <v>0</v>
      </c>
      <c r="H94" s="274">
        <v>30169000</v>
      </c>
      <c r="I94" s="276">
        <f t="shared" si="1"/>
        <v>0</v>
      </c>
    </row>
    <row r="95" spans="1:9" x14ac:dyDescent="0.3">
      <c r="A95" s="275" t="s">
        <v>3321</v>
      </c>
      <c r="B95" s="274">
        <v>18400000</v>
      </c>
      <c r="D95" t="s">
        <v>2766</v>
      </c>
      <c r="E95" s="274">
        <f>_xlfn.XLOOKUP(Table6[[#This Row],[Column1]],$A$4:$A$122,$B$4:$B$122,0,0,1)</f>
        <v>0</v>
      </c>
      <c r="G95" t="b">
        <f>A95=Table6[[#This Row],[Column1]]</f>
        <v>0</v>
      </c>
      <c r="H95" s="274">
        <v>18400000</v>
      </c>
      <c r="I95" s="276">
        <f t="shared" si="1"/>
        <v>0</v>
      </c>
    </row>
    <row r="96" spans="1:9" x14ac:dyDescent="0.3">
      <c r="A96" s="275" t="s">
        <v>3326</v>
      </c>
      <c r="B96" s="274">
        <v>8702000</v>
      </c>
      <c r="D96" t="s">
        <v>2768</v>
      </c>
      <c r="E96" s="274">
        <f>_xlfn.XLOOKUP(Table6[[#This Row],[Column1]],$A$4:$A$122,$B$4:$B$122,0,0,1)</f>
        <v>45000000</v>
      </c>
      <c r="G96" t="b">
        <f>A96=Table6[[#This Row],[Column1]]</f>
        <v>0</v>
      </c>
      <c r="H96" s="274">
        <v>8702000</v>
      </c>
      <c r="I96" s="276">
        <f t="shared" si="1"/>
        <v>0</v>
      </c>
    </row>
    <row r="97" spans="1:9" x14ac:dyDescent="0.3">
      <c r="A97" s="275" t="s">
        <v>3332</v>
      </c>
      <c r="B97" s="274">
        <v>7500000</v>
      </c>
      <c r="D97" t="s">
        <v>2772</v>
      </c>
      <c r="E97" s="274">
        <f>_xlfn.XLOOKUP(Table6[[#This Row],[Column1]],$A$4:$A$122,$B$4:$B$122,0,0,1)</f>
        <v>21000000</v>
      </c>
      <c r="G97" t="b">
        <f>A97=Table6[[#This Row],[Column1]]</f>
        <v>0</v>
      </c>
      <c r="H97" s="274">
        <v>7500000</v>
      </c>
      <c r="I97" s="276">
        <f t="shared" si="1"/>
        <v>0</v>
      </c>
    </row>
    <row r="98" spans="1:9" x14ac:dyDescent="0.3">
      <c r="A98" s="275" t="s">
        <v>3336</v>
      </c>
      <c r="B98" s="274">
        <v>5350000</v>
      </c>
      <c r="D98" t="s">
        <v>2776</v>
      </c>
      <c r="E98" s="274">
        <f>_xlfn.XLOOKUP(Table6[[#This Row],[Column1]],$A$4:$A$122,$B$4:$B$122,0,0,1)</f>
        <v>17500000</v>
      </c>
      <c r="G98" t="b">
        <f>A98=Table6[[#This Row],[Column1]]</f>
        <v>0</v>
      </c>
      <c r="H98" s="274">
        <v>5350000</v>
      </c>
      <c r="I98" s="276">
        <f t="shared" si="1"/>
        <v>0</v>
      </c>
    </row>
    <row r="99" spans="1:9" x14ac:dyDescent="0.3">
      <c r="A99" s="275" t="s">
        <v>3341</v>
      </c>
      <c r="B99" s="274">
        <v>7500000</v>
      </c>
      <c r="D99" t="s">
        <v>2779</v>
      </c>
      <c r="E99" s="274">
        <f>_xlfn.XLOOKUP(Table6[[#This Row],[Column1]],$A$4:$A$122,$B$4:$B$122,0,0,1)</f>
        <v>0</v>
      </c>
      <c r="G99" t="b">
        <f>A99=Table6[[#This Row],[Column1]]</f>
        <v>0</v>
      </c>
      <c r="H99" s="274">
        <v>7500000</v>
      </c>
      <c r="I99" s="276">
        <f t="shared" si="1"/>
        <v>0</v>
      </c>
    </row>
    <row r="100" spans="1:9" x14ac:dyDescent="0.3">
      <c r="A100" s="275" t="s">
        <v>3351</v>
      </c>
      <c r="B100" s="274">
        <v>14000000</v>
      </c>
      <c r="D100" t="s">
        <v>2781</v>
      </c>
      <c r="E100" s="274">
        <f>_xlfn.XLOOKUP(Table6[[#This Row],[Column1]],$A$4:$A$122,$B$4:$B$122,0,0,1)</f>
        <v>41908000</v>
      </c>
      <c r="G100" t="b">
        <f>A100=Table6[[#This Row],[Column1]]</f>
        <v>0</v>
      </c>
      <c r="H100" s="274">
        <v>14000000</v>
      </c>
      <c r="I100" s="276">
        <f t="shared" si="1"/>
        <v>0</v>
      </c>
    </row>
    <row r="101" spans="1:9" x14ac:dyDescent="0.3">
      <c r="A101" s="275" t="s">
        <v>3361</v>
      </c>
      <c r="B101" s="274">
        <v>20635000</v>
      </c>
      <c r="D101" t="s">
        <v>3055</v>
      </c>
      <c r="E101" s="274">
        <f>_xlfn.XLOOKUP(Table6[[#This Row],[Column1]],$A$4:$A$122,$B$4:$B$122,0,0,1)</f>
        <v>23250000</v>
      </c>
      <c r="G101" t="b">
        <f>A101=Table6[[#This Row],[Column1]]</f>
        <v>0</v>
      </c>
      <c r="H101" s="274">
        <v>20635000</v>
      </c>
      <c r="I101" s="276">
        <f t="shared" si="1"/>
        <v>0</v>
      </c>
    </row>
    <row r="102" spans="1:9" x14ac:dyDescent="0.3">
      <c r="A102" s="275" t="s">
        <v>3368</v>
      </c>
      <c r="B102" s="274">
        <v>7500000</v>
      </c>
      <c r="D102" t="s">
        <v>3061</v>
      </c>
      <c r="E102" s="274">
        <f>_xlfn.XLOOKUP(Table6[[#This Row],[Column1]],$A$4:$A$122,$B$4:$B$122,0,0,1)</f>
        <v>2000000</v>
      </c>
      <c r="G102" t="b">
        <f>A102=Table6[[#This Row],[Column1]]</f>
        <v>0</v>
      </c>
      <c r="H102" s="274">
        <v>7500000</v>
      </c>
      <c r="I102" s="276">
        <f t="shared" si="1"/>
        <v>0</v>
      </c>
    </row>
    <row r="103" spans="1:9" x14ac:dyDescent="0.3">
      <c r="A103" s="275" t="s">
        <v>3378</v>
      </c>
      <c r="B103" s="274">
        <v>4800000</v>
      </c>
      <c r="D103" t="s">
        <v>3064</v>
      </c>
      <c r="E103" s="274">
        <f>_xlfn.XLOOKUP(Table6[[#This Row],[Column1]],$A$4:$A$122,$B$4:$B$122,0,0,1)</f>
        <v>18539000</v>
      </c>
      <c r="G103" t="b">
        <f>A103=Table6[[#This Row],[Column1]]</f>
        <v>0</v>
      </c>
      <c r="H103" s="274">
        <v>4800000</v>
      </c>
      <c r="I103" s="276">
        <f t="shared" si="1"/>
        <v>0</v>
      </c>
    </row>
    <row r="104" spans="1:9" x14ac:dyDescent="0.3">
      <c r="A104" s="275" t="s">
        <v>3381</v>
      </c>
      <c r="B104" s="274">
        <v>27500000</v>
      </c>
      <c r="D104" t="s">
        <v>3068</v>
      </c>
      <c r="E104" s="274">
        <f>_xlfn.XLOOKUP(Table6[[#This Row],[Column1]],$A$4:$A$122,$B$4:$B$122,0,0,1)</f>
        <v>13525000</v>
      </c>
      <c r="G104" t="b">
        <f>A104=Table6[[#This Row],[Column1]]</f>
        <v>0</v>
      </c>
      <c r="H104" s="274">
        <v>27500000</v>
      </c>
      <c r="I104" s="276">
        <f t="shared" si="1"/>
        <v>0</v>
      </c>
    </row>
    <row r="105" spans="1:9" x14ac:dyDescent="0.3">
      <c r="A105" s="275" t="s">
        <v>3384</v>
      </c>
      <c r="B105" s="274">
        <v>76033000</v>
      </c>
      <c r="D105" t="s">
        <v>3077</v>
      </c>
      <c r="E105" s="274">
        <f>_xlfn.XLOOKUP(Table6[[#This Row],[Column1]],$A$4:$A$122,$B$4:$B$122,0,0,1)</f>
        <v>2000000</v>
      </c>
      <c r="G105" t="b">
        <f>A105=Table6[[#This Row],[Column1]]</f>
        <v>0</v>
      </c>
      <c r="H105" s="274">
        <v>76033000</v>
      </c>
      <c r="I105" s="276">
        <f t="shared" si="1"/>
        <v>0</v>
      </c>
    </row>
    <row r="106" spans="1:9" x14ac:dyDescent="0.3">
      <c r="A106" s="275" t="s">
        <v>3480</v>
      </c>
      <c r="B106" s="274">
        <v>99100000</v>
      </c>
      <c r="D106" t="s">
        <v>3082</v>
      </c>
      <c r="E106" s="274">
        <f>_xlfn.XLOOKUP(Table6[[#This Row],[Column1]],$A$4:$A$122,$B$4:$B$122,0,0,1)</f>
        <v>0</v>
      </c>
      <c r="G106" t="b">
        <f>A106=Table6[[#This Row],[Column1]]</f>
        <v>0</v>
      </c>
      <c r="H106" s="274">
        <v>99100000</v>
      </c>
      <c r="I106" s="276">
        <f t="shared" si="1"/>
        <v>0</v>
      </c>
    </row>
    <row r="107" spans="1:9" x14ac:dyDescent="0.3">
      <c r="A107" s="275" t="s">
        <v>3488</v>
      </c>
      <c r="B107" s="274">
        <v>1333864000</v>
      </c>
      <c r="D107" t="s">
        <v>3084</v>
      </c>
      <c r="E107" s="274">
        <f>_xlfn.XLOOKUP(Table6[[#This Row],[Column1]],$A$4:$A$122,$B$4:$B$122,0,0,1)</f>
        <v>60415000</v>
      </c>
      <c r="G107" t="b">
        <f>A107=Table6[[#This Row],[Column1]]</f>
        <v>0</v>
      </c>
      <c r="H107" s="274">
        <v>1333864000</v>
      </c>
      <c r="I107" s="276">
        <f t="shared" si="1"/>
        <v>0</v>
      </c>
    </row>
    <row r="108" spans="1:9" x14ac:dyDescent="0.3">
      <c r="A108" s="275" t="s">
        <v>3492</v>
      </c>
      <c r="B108" s="274">
        <v>25000000</v>
      </c>
      <c r="D108" t="s">
        <v>3087</v>
      </c>
      <c r="E108" s="274">
        <f>_xlfn.XLOOKUP(Table6[[#This Row],[Column1]],$A$4:$A$122,$B$4:$B$122,0,0,1)</f>
        <v>0</v>
      </c>
      <c r="G108" t="b">
        <f>A108=Table6[[#This Row],[Column1]]</f>
        <v>0</v>
      </c>
      <c r="H108" s="274">
        <v>25000000</v>
      </c>
      <c r="I108" s="276">
        <f t="shared" si="1"/>
        <v>0</v>
      </c>
    </row>
    <row r="109" spans="1:9" x14ac:dyDescent="0.3">
      <c r="A109" s="275" t="s">
        <v>3495</v>
      </c>
      <c r="B109" s="274">
        <v>15000000</v>
      </c>
      <c r="D109" t="s">
        <v>3093</v>
      </c>
      <c r="E109" s="274">
        <f>_xlfn.XLOOKUP(Table6[[#This Row],[Column1]],$A$4:$A$122,$B$4:$B$122,0,0,1)</f>
        <v>17900000</v>
      </c>
      <c r="G109" t="b">
        <f>A109=Table6[[#This Row],[Column1]]</f>
        <v>0</v>
      </c>
      <c r="H109" s="274">
        <v>15000000</v>
      </c>
      <c r="I109" s="276">
        <f t="shared" si="1"/>
        <v>0</v>
      </c>
    </row>
    <row r="110" spans="1:9" x14ac:dyDescent="0.3">
      <c r="A110" s="275" t="s">
        <v>3497</v>
      </c>
      <c r="B110" s="274">
        <v>102600000</v>
      </c>
      <c r="D110" t="s">
        <v>3100</v>
      </c>
      <c r="E110" s="274">
        <f>_xlfn.XLOOKUP(Table6[[#This Row],[Column1]],$A$4:$A$122,$B$4:$B$122,0,0,1)</f>
        <v>2000000</v>
      </c>
      <c r="G110" t="b">
        <f>A110=Table6[[#This Row],[Column1]]</f>
        <v>0</v>
      </c>
      <c r="H110" s="274">
        <v>102600000</v>
      </c>
      <c r="I110" s="276">
        <f t="shared" si="1"/>
        <v>0</v>
      </c>
    </row>
    <row r="111" spans="1:9" x14ac:dyDescent="0.3">
      <c r="A111" s="275" t="s">
        <v>3500</v>
      </c>
      <c r="B111" s="274">
        <v>138000000</v>
      </c>
      <c r="D111" t="s">
        <v>3102</v>
      </c>
      <c r="E111" s="274">
        <f>_xlfn.XLOOKUP(Table6[[#This Row],[Column1]],$A$4:$A$122,$B$4:$B$122,0,0,1)</f>
        <v>30169000</v>
      </c>
      <c r="G111" t="b">
        <f>A111=Table6[[#This Row],[Column1]]</f>
        <v>0</v>
      </c>
      <c r="H111" s="274">
        <v>138000000</v>
      </c>
      <c r="I111" s="276">
        <f t="shared" si="1"/>
        <v>0</v>
      </c>
    </row>
    <row r="112" spans="1:9" x14ac:dyDescent="0.3">
      <c r="A112" s="275" t="s">
        <v>3506</v>
      </c>
      <c r="B112" s="274">
        <v>25000000</v>
      </c>
      <c r="D112" t="s">
        <v>3321</v>
      </c>
      <c r="E112" s="274">
        <f>_xlfn.XLOOKUP(Table6[[#This Row],[Column1]],$A$4:$A$122,$B$4:$B$122,0,0,1)</f>
        <v>18400000</v>
      </c>
      <c r="G112" t="b">
        <f>A112=Table6[[#This Row],[Column1]]</f>
        <v>0</v>
      </c>
      <c r="H112" s="274">
        <v>25000000</v>
      </c>
      <c r="I112" s="276">
        <f t="shared" si="1"/>
        <v>0</v>
      </c>
    </row>
    <row r="113" spans="1:9" x14ac:dyDescent="0.3">
      <c r="A113" s="275" t="s">
        <v>3509</v>
      </c>
      <c r="B113" s="274">
        <v>3808695000</v>
      </c>
      <c r="D113" t="s">
        <v>3326</v>
      </c>
      <c r="E113" s="274">
        <f>_xlfn.XLOOKUP(Table6[[#This Row],[Column1]],$A$4:$A$122,$B$4:$B$122,0,0,1)</f>
        <v>8702000</v>
      </c>
      <c r="G113" t="b">
        <f>A113=Table6[[#This Row],[Column1]]</f>
        <v>0</v>
      </c>
      <c r="H113" s="274">
        <v>3808695000</v>
      </c>
      <c r="I113" s="276">
        <f t="shared" si="1"/>
        <v>0</v>
      </c>
    </row>
    <row r="114" spans="1:9" x14ac:dyDescent="0.3">
      <c r="A114" s="275" t="s">
        <v>3514</v>
      </c>
      <c r="B114" s="274">
        <v>30000000</v>
      </c>
      <c r="D114" t="s">
        <v>3332</v>
      </c>
      <c r="E114" s="274">
        <f>_xlfn.XLOOKUP(Table6[[#This Row],[Column1]],$A$4:$A$122,$B$4:$B$122,0,0,1)</f>
        <v>7500000</v>
      </c>
      <c r="G114" t="b">
        <f>A114=Table6[[#This Row],[Column1]]</f>
        <v>0</v>
      </c>
      <c r="H114" s="274">
        <v>30000000</v>
      </c>
      <c r="I114" s="276">
        <f t="shared" si="1"/>
        <v>0</v>
      </c>
    </row>
    <row r="115" spans="1:9" x14ac:dyDescent="0.3">
      <c r="A115" s="275" t="s">
        <v>3517</v>
      </c>
      <c r="B115" s="274">
        <v>6000000</v>
      </c>
      <c r="D115" t="s">
        <v>3336</v>
      </c>
      <c r="E115" s="274">
        <f>_xlfn.XLOOKUP(Table6[[#This Row],[Column1]],$A$4:$A$122,$B$4:$B$122,0,0,1)</f>
        <v>5350000</v>
      </c>
      <c r="G115" t="b">
        <f>A115=Table6[[#This Row],[Column1]]</f>
        <v>0</v>
      </c>
      <c r="H115" s="274">
        <v>6000000</v>
      </c>
      <c r="I115" s="276">
        <f t="shared" si="1"/>
        <v>0</v>
      </c>
    </row>
    <row r="116" spans="1:9" x14ac:dyDescent="0.3">
      <c r="A116" s="275" t="s">
        <v>3519</v>
      </c>
      <c r="B116" s="274">
        <v>216000000</v>
      </c>
      <c r="D116" t="s">
        <v>3341</v>
      </c>
      <c r="E116" s="274">
        <f>_xlfn.XLOOKUP(Table6[[#This Row],[Column1]],$A$4:$A$122,$B$4:$B$122,0,0,1)</f>
        <v>7500000</v>
      </c>
      <c r="G116" t="b">
        <f>A116=Table6[[#This Row],[Column1]]</f>
        <v>0</v>
      </c>
      <c r="H116" s="274">
        <v>216000000</v>
      </c>
      <c r="I116" s="276">
        <f t="shared" si="1"/>
        <v>0</v>
      </c>
    </row>
    <row r="117" spans="1:9" x14ac:dyDescent="0.3">
      <c r="A117" s="275" t="s">
        <v>3523</v>
      </c>
      <c r="B117" s="274">
        <v>12000000</v>
      </c>
      <c r="D117" t="s">
        <v>3344</v>
      </c>
      <c r="E117" s="274">
        <f>_xlfn.XLOOKUP(Table6[[#This Row],[Column1]],$A$4:$A$122,$B$4:$B$122,0,0,1)</f>
        <v>0</v>
      </c>
      <c r="G117" t="b">
        <f>A117=Table6[[#This Row],[Column1]]</f>
        <v>0</v>
      </c>
      <c r="H117" s="274">
        <v>12000000</v>
      </c>
      <c r="I117" s="276">
        <f t="shared" si="1"/>
        <v>0</v>
      </c>
    </row>
    <row r="118" spans="1:9" x14ac:dyDescent="0.3">
      <c r="A118" s="275" t="s">
        <v>3527</v>
      </c>
      <c r="B118" s="274">
        <v>20000000</v>
      </c>
      <c r="D118" t="s">
        <v>3351</v>
      </c>
      <c r="E118" s="274">
        <f>_xlfn.XLOOKUP(Table6[[#This Row],[Column1]],$A$4:$A$122,$B$4:$B$122,0,0,1)</f>
        <v>14000000</v>
      </c>
      <c r="G118" t="b">
        <f>A118=Table6[[#This Row],[Column1]]</f>
        <v>0</v>
      </c>
      <c r="H118" s="274">
        <v>20000000</v>
      </c>
      <c r="I118" s="276">
        <f t="shared" si="1"/>
        <v>0</v>
      </c>
    </row>
    <row r="119" spans="1:9" x14ac:dyDescent="0.3">
      <c r="A119" s="275" t="s">
        <v>3530</v>
      </c>
      <c r="B119" s="274">
        <v>142041000</v>
      </c>
      <c r="D119" t="s">
        <v>3359</v>
      </c>
      <c r="E119" s="274">
        <f>_xlfn.XLOOKUP(Table6[[#This Row],[Column1]],$A$4:$A$122,$B$4:$B$122,0,0,1)</f>
        <v>0</v>
      </c>
      <c r="G119" t="b">
        <f>A119=Table6[[#This Row],[Column1]]</f>
        <v>0</v>
      </c>
      <c r="H119" s="274">
        <v>142041000</v>
      </c>
      <c r="I119" s="276">
        <f t="shared" si="1"/>
        <v>0</v>
      </c>
    </row>
    <row r="120" spans="1:9" x14ac:dyDescent="0.3">
      <c r="A120" s="275" t="s">
        <v>3540</v>
      </c>
      <c r="B120" s="274">
        <v>25000000</v>
      </c>
      <c r="D120" t="s">
        <v>3361</v>
      </c>
      <c r="E120" s="274">
        <f>_xlfn.XLOOKUP(Table6[[#This Row],[Column1]],$A$4:$A$122,$B$4:$B$122,0,0,1)</f>
        <v>20635000</v>
      </c>
      <c r="G120" t="b">
        <f>A120=Table6[[#This Row],[Column1]]</f>
        <v>0</v>
      </c>
      <c r="H120" s="274">
        <v>25000000</v>
      </c>
      <c r="I120" s="276">
        <f t="shared" si="1"/>
        <v>0</v>
      </c>
    </row>
    <row r="121" spans="1:9" x14ac:dyDescent="0.3">
      <c r="A121" s="275" t="s">
        <v>3543</v>
      </c>
      <c r="B121" s="274">
        <v>30000000</v>
      </c>
      <c r="D121" t="s">
        <v>3368</v>
      </c>
      <c r="E121" s="274">
        <f>_xlfn.XLOOKUP(Table6[[#This Row],[Column1]],$A$4:$A$122,$B$4:$B$122,0,0,1)</f>
        <v>7500000</v>
      </c>
      <c r="G121" t="b">
        <f>A121=Table6[[#This Row],[Column1]]</f>
        <v>0</v>
      </c>
      <c r="H121" s="274">
        <v>30000000</v>
      </c>
      <c r="I121" s="276">
        <f t="shared" si="1"/>
        <v>0</v>
      </c>
    </row>
    <row r="122" spans="1:9" x14ac:dyDescent="0.3">
      <c r="A122" s="275" t="s">
        <v>3546</v>
      </c>
      <c r="B122" s="274">
        <v>54200000</v>
      </c>
      <c r="D122" t="s">
        <v>3371</v>
      </c>
      <c r="E122" s="274">
        <f>_xlfn.XLOOKUP(Table6[[#This Row],[Column1]],$A$4:$A$122,$B$4:$B$122,0,0,1)</f>
        <v>0</v>
      </c>
      <c r="G122" t="b">
        <f>A122=Table6[[#This Row],[Column1]]</f>
        <v>0</v>
      </c>
      <c r="H122" s="274">
        <v>54200000</v>
      </c>
      <c r="I122" s="276">
        <f t="shared" si="1"/>
        <v>0</v>
      </c>
    </row>
    <row r="123" spans="1:9" x14ac:dyDescent="0.3">
      <c r="D123" t="s">
        <v>3378</v>
      </c>
      <c r="E123" s="274">
        <f>_xlfn.XLOOKUP(Table6[[#This Row],[Column1]],$A$4:$A$122,$B$4:$B$122,0,0,1)</f>
        <v>4800000</v>
      </c>
      <c r="G123" t="b">
        <f>A123=Table6[[#This Row],[Column1]]</f>
        <v>0</v>
      </c>
      <c r="I123" s="276">
        <f t="shared" si="1"/>
        <v>0</v>
      </c>
    </row>
    <row r="124" spans="1:9" x14ac:dyDescent="0.3">
      <c r="D124" t="s">
        <v>3381</v>
      </c>
      <c r="E124" s="274">
        <f>_xlfn.XLOOKUP(Table6[[#This Row],[Column1]],$A$4:$A$122,$B$4:$B$122,0,0,1)</f>
        <v>27500000</v>
      </c>
      <c r="G124" t="b">
        <f>A124=Table6[[#This Row],[Column1]]</f>
        <v>0</v>
      </c>
      <c r="I124" s="276">
        <f t="shared" si="1"/>
        <v>0</v>
      </c>
    </row>
    <row r="125" spans="1:9" x14ac:dyDescent="0.3">
      <c r="D125" t="s">
        <v>3384</v>
      </c>
      <c r="E125" s="274">
        <f>_xlfn.XLOOKUP(Table6[[#This Row],[Column1]],$A$4:$A$122,$B$4:$B$122,0,0,1)</f>
        <v>76033000</v>
      </c>
      <c r="G125" t="b">
        <f>A125=Table6[[#This Row],[Column1]]</f>
        <v>0</v>
      </c>
      <c r="I125" s="276">
        <f t="shared" si="1"/>
        <v>0</v>
      </c>
    </row>
    <row r="126" spans="1:9" x14ac:dyDescent="0.3">
      <c r="D126" t="s">
        <v>3480</v>
      </c>
      <c r="E126" s="274">
        <f>_xlfn.XLOOKUP(Table6[[#This Row],[Column1]],$A$4:$A$122,$B$4:$B$122,0,0,1)</f>
        <v>99100000</v>
      </c>
      <c r="G126" t="b">
        <f>A126=Table6[[#This Row],[Column1]]</f>
        <v>0</v>
      </c>
      <c r="I126" s="276">
        <f t="shared" si="1"/>
        <v>0</v>
      </c>
    </row>
    <row r="127" spans="1:9" x14ac:dyDescent="0.3">
      <c r="D127" t="s">
        <v>3488</v>
      </c>
      <c r="E127" s="274">
        <f>_xlfn.XLOOKUP(Table6[[#This Row],[Column1]],$A$4:$A$122,$B$4:$B$122,0,0,1)</f>
        <v>1333864000</v>
      </c>
      <c r="G127" t="b">
        <f>A127=Table6[[#This Row],[Column1]]</f>
        <v>0</v>
      </c>
      <c r="I127" s="276">
        <f t="shared" si="1"/>
        <v>0</v>
      </c>
    </row>
    <row r="128" spans="1:9" x14ac:dyDescent="0.3">
      <c r="D128" t="s">
        <v>3492</v>
      </c>
      <c r="E128" s="274">
        <f>_xlfn.XLOOKUP(Table6[[#This Row],[Column1]],$A$4:$A$122,$B$4:$B$122,0,0,1)</f>
        <v>25000000</v>
      </c>
      <c r="G128" t="b">
        <f>A128=Table6[[#This Row],[Column1]]</f>
        <v>0</v>
      </c>
      <c r="I128" s="276">
        <f t="shared" si="1"/>
        <v>0</v>
      </c>
    </row>
    <row r="129" spans="4:9" x14ac:dyDescent="0.3">
      <c r="D129" t="s">
        <v>3495</v>
      </c>
      <c r="E129" s="274">
        <f>_xlfn.XLOOKUP(Table6[[#This Row],[Column1]],$A$4:$A$122,$B$4:$B$122,0,0,1)</f>
        <v>15000000</v>
      </c>
      <c r="G129" t="b">
        <f>A129=Table6[[#This Row],[Column1]]</f>
        <v>0</v>
      </c>
      <c r="I129" s="276">
        <f t="shared" si="1"/>
        <v>0</v>
      </c>
    </row>
    <row r="130" spans="4:9" x14ac:dyDescent="0.3">
      <c r="D130" t="s">
        <v>3497</v>
      </c>
      <c r="E130" s="274">
        <f>_xlfn.XLOOKUP(Table6[[#This Row],[Column1]],$A$4:$A$122,$B$4:$B$122,0,0,1)</f>
        <v>102600000</v>
      </c>
      <c r="G130" t="b">
        <f>A130=Table6[[#This Row],[Column1]]</f>
        <v>0</v>
      </c>
      <c r="I130" s="276">
        <f t="shared" si="1"/>
        <v>0</v>
      </c>
    </row>
    <row r="131" spans="4:9" x14ac:dyDescent="0.3">
      <c r="D131" t="s">
        <v>3500</v>
      </c>
      <c r="E131" s="274">
        <f>_xlfn.XLOOKUP(Table6[[#This Row],[Column1]],$A$4:$A$122,$B$4:$B$122,0,0,1)</f>
        <v>138000000</v>
      </c>
      <c r="G131" t="b">
        <f>A131=Table6[[#This Row],[Column1]]</f>
        <v>0</v>
      </c>
      <c r="I131" s="276">
        <f t="shared" si="1"/>
        <v>0</v>
      </c>
    </row>
    <row r="132" spans="4:9" x14ac:dyDescent="0.3">
      <c r="D132" t="s">
        <v>3506</v>
      </c>
      <c r="E132" s="274">
        <f>_xlfn.XLOOKUP(Table6[[#This Row],[Column1]],$A$4:$A$122,$B$4:$B$122,0,0,1)</f>
        <v>25000000</v>
      </c>
      <c r="G132" t="b">
        <f>A132=Table6[[#This Row],[Column1]]</f>
        <v>0</v>
      </c>
      <c r="I132" s="276">
        <f t="shared" si="1"/>
        <v>0</v>
      </c>
    </row>
    <row r="133" spans="4:9" x14ac:dyDescent="0.3">
      <c r="D133" t="s">
        <v>3509</v>
      </c>
      <c r="E133" s="274">
        <f>_xlfn.XLOOKUP(Table6[[#This Row],[Column1]],$A$4:$A$122,$B$4:$B$122,0,0,1)</f>
        <v>3808695000</v>
      </c>
      <c r="G133" t="b">
        <f>A133=Table6[[#This Row],[Column1]]</f>
        <v>0</v>
      </c>
      <c r="I133" s="276">
        <f t="shared" si="1"/>
        <v>0</v>
      </c>
    </row>
    <row r="134" spans="4:9" x14ac:dyDescent="0.3">
      <c r="D134" t="s">
        <v>3514</v>
      </c>
      <c r="E134" s="274">
        <f>_xlfn.XLOOKUP(Table6[[#This Row],[Column1]],$A$4:$A$122,$B$4:$B$122,0,0,1)</f>
        <v>30000000</v>
      </c>
      <c r="G134" t="b">
        <f>A134=Table6[[#This Row],[Column1]]</f>
        <v>0</v>
      </c>
      <c r="I134" s="276">
        <f t="shared" si="1"/>
        <v>0</v>
      </c>
    </row>
    <row r="135" spans="4:9" x14ac:dyDescent="0.3">
      <c r="D135" t="s">
        <v>3517</v>
      </c>
      <c r="E135" s="274">
        <f>_xlfn.XLOOKUP(Table6[[#This Row],[Column1]],$A$4:$A$122,$B$4:$B$122,0,0,1)</f>
        <v>6000000</v>
      </c>
      <c r="G135" t="b">
        <f>A135=Table6[[#This Row],[Column1]]</f>
        <v>0</v>
      </c>
      <c r="I135" s="276">
        <f t="shared" si="1"/>
        <v>0</v>
      </c>
    </row>
    <row r="136" spans="4:9" x14ac:dyDescent="0.3">
      <c r="D136" t="s">
        <v>3519</v>
      </c>
      <c r="E136" s="274">
        <f>_xlfn.XLOOKUP(Table6[[#This Row],[Column1]],$A$4:$A$122,$B$4:$B$122,0,0,1)</f>
        <v>216000000</v>
      </c>
      <c r="G136" t="b">
        <f>A136=Table6[[#This Row],[Column1]]</f>
        <v>0</v>
      </c>
      <c r="I136" s="276">
        <f t="shared" si="1"/>
        <v>0</v>
      </c>
    </row>
    <row r="137" spans="4:9" x14ac:dyDescent="0.3">
      <c r="D137" t="s">
        <v>3523</v>
      </c>
      <c r="E137" s="274">
        <f>_xlfn.XLOOKUP(Table6[[#This Row],[Column1]],$A$4:$A$122,$B$4:$B$122,0,0,1)</f>
        <v>12000000</v>
      </c>
      <c r="G137" t="b">
        <f>A137=Table6[[#This Row],[Column1]]</f>
        <v>0</v>
      </c>
      <c r="I137" s="276">
        <f t="shared" si="1"/>
        <v>0</v>
      </c>
    </row>
    <row r="138" spans="4:9" x14ac:dyDescent="0.3">
      <c r="D138" t="s">
        <v>3527</v>
      </c>
      <c r="E138" s="274">
        <f>_xlfn.XLOOKUP(Table6[[#This Row],[Column1]],$A$4:$A$122,$B$4:$B$122,0,0,1)</f>
        <v>20000000</v>
      </c>
      <c r="G138" t="b">
        <f>A138=Table6[[#This Row],[Column1]]</f>
        <v>0</v>
      </c>
      <c r="I138" s="276">
        <f t="shared" ref="I138:I201" si="2">B138-H138</f>
        <v>0</v>
      </c>
    </row>
    <row r="139" spans="4:9" x14ac:dyDescent="0.3">
      <c r="D139" t="s">
        <v>3530</v>
      </c>
      <c r="E139" s="274">
        <f>_xlfn.XLOOKUP(Table6[[#This Row],[Column1]],$A$4:$A$122,$B$4:$B$122,0,0,1)</f>
        <v>142041000</v>
      </c>
      <c r="G139" t="b">
        <f>A139=Table6[[#This Row],[Column1]]</f>
        <v>0</v>
      </c>
      <c r="I139" s="276">
        <f t="shared" si="2"/>
        <v>0</v>
      </c>
    </row>
    <row r="140" spans="4:9" x14ac:dyDescent="0.3">
      <c r="D140" t="s">
        <v>3535</v>
      </c>
      <c r="E140" s="274">
        <f>_xlfn.XLOOKUP(Table6[[#This Row],[Column1]],$A$4:$A$122,$B$4:$B$122,0,0,1)</f>
        <v>0</v>
      </c>
      <c r="G140" t="b">
        <f>A140=Table6[[#This Row],[Column1]]</f>
        <v>0</v>
      </c>
      <c r="I140" s="276">
        <f t="shared" si="2"/>
        <v>0</v>
      </c>
    </row>
    <row r="141" spans="4:9" x14ac:dyDescent="0.3">
      <c r="D141" t="s">
        <v>3540</v>
      </c>
      <c r="E141" s="274">
        <f>_xlfn.XLOOKUP(Table6[[#This Row],[Column1]],$A$4:$A$122,$B$4:$B$122,0,0,1)</f>
        <v>25000000</v>
      </c>
      <c r="G141" t="b">
        <f>A141=Table6[[#This Row],[Column1]]</f>
        <v>0</v>
      </c>
      <c r="I141" s="276">
        <f t="shared" si="2"/>
        <v>0</v>
      </c>
    </row>
    <row r="142" spans="4:9" x14ac:dyDescent="0.3">
      <c r="D142" t="s">
        <v>3543</v>
      </c>
      <c r="E142" s="274">
        <f>_xlfn.XLOOKUP(Table6[[#This Row],[Column1]],$A$4:$A$122,$B$4:$B$122,0,0,1)</f>
        <v>30000000</v>
      </c>
      <c r="G142" t="b">
        <f>A142=Table6[[#This Row],[Column1]]</f>
        <v>0</v>
      </c>
      <c r="I142" s="276">
        <f t="shared" si="2"/>
        <v>0</v>
      </c>
    </row>
    <row r="143" spans="4:9" x14ac:dyDescent="0.3">
      <c r="D143" t="s">
        <v>3546</v>
      </c>
      <c r="E143" s="274">
        <f>_xlfn.XLOOKUP(Table6[[#This Row],[Column1]],$A$4:$A$122,$B$4:$B$122,0,0,1)</f>
        <v>54200000</v>
      </c>
      <c r="G143" t="b">
        <f>A143=Table6[[#This Row],[Column1]]</f>
        <v>0</v>
      </c>
      <c r="I143" s="276">
        <f t="shared" si="2"/>
        <v>0</v>
      </c>
    </row>
    <row r="144" spans="4:9" x14ac:dyDescent="0.3">
      <c r="E144" s="274">
        <f>_xlfn.XLOOKUP(Table6[[#This Row],[Column1]],$A$4:$A$122,$B$4:$B$122,0,0,1)</f>
        <v>0</v>
      </c>
      <c r="G144" t="b">
        <f>A144=Table6[[#This Row],[Column1]]</f>
        <v>1</v>
      </c>
      <c r="I144" s="276">
        <f t="shared" si="2"/>
        <v>0</v>
      </c>
    </row>
    <row r="145" spans="5:9" x14ac:dyDescent="0.3">
      <c r="E145" s="413">
        <f>SUBTOTAL(109,Table6[Column2])</f>
        <v>9280146000</v>
      </c>
      <c r="G145" t="e">
        <f>A145=Table6[[#This Row],[Column1]]</f>
        <v>#VALUE!</v>
      </c>
      <c r="I145" s="276">
        <f t="shared" si="2"/>
        <v>0</v>
      </c>
    </row>
    <row r="146" spans="5:9" x14ac:dyDescent="0.3">
      <c r="G146" t="e">
        <f>A146=Table6[[#This Row],[Column1]]</f>
        <v>#VALUE!</v>
      </c>
      <c r="I146" s="276">
        <f t="shared" si="2"/>
        <v>0</v>
      </c>
    </row>
    <row r="147" spans="5:9" x14ac:dyDescent="0.3">
      <c r="G147" t="e">
        <f>A147=Table6[[#This Row],[Column1]]</f>
        <v>#VALUE!</v>
      </c>
      <c r="I147" s="276">
        <f t="shared" si="2"/>
        <v>0</v>
      </c>
    </row>
    <row r="148" spans="5:9" x14ac:dyDescent="0.3">
      <c r="G148" t="e">
        <f>A148=Table6[[#This Row],[Column1]]</f>
        <v>#VALUE!</v>
      </c>
      <c r="I148" s="276">
        <f t="shared" si="2"/>
        <v>0</v>
      </c>
    </row>
    <row r="149" spans="5:9" x14ac:dyDescent="0.3">
      <c r="G149" t="e">
        <f>A149=Table6[[#This Row],[Column1]]</f>
        <v>#VALUE!</v>
      </c>
      <c r="I149" s="276">
        <f t="shared" si="2"/>
        <v>0</v>
      </c>
    </row>
    <row r="150" spans="5:9" x14ac:dyDescent="0.3">
      <c r="G150" t="e">
        <f>A150=Table6[[#This Row],[Column1]]</f>
        <v>#VALUE!</v>
      </c>
      <c r="I150" s="276">
        <f t="shared" si="2"/>
        <v>0</v>
      </c>
    </row>
    <row r="151" spans="5:9" x14ac:dyDescent="0.3">
      <c r="G151" t="e">
        <f>A151=Table6[[#This Row],[Column1]]</f>
        <v>#VALUE!</v>
      </c>
      <c r="I151" s="276">
        <f t="shared" si="2"/>
        <v>0</v>
      </c>
    </row>
    <row r="152" spans="5:9" x14ac:dyDescent="0.3">
      <c r="G152" t="e">
        <f>A152=Table6[[#This Row],[Column1]]</f>
        <v>#VALUE!</v>
      </c>
      <c r="I152" s="276">
        <f t="shared" si="2"/>
        <v>0</v>
      </c>
    </row>
    <row r="153" spans="5:9" x14ac:dyDescent="0.3">
      <c r="G153" t="e">
        <f>A153=Table6[[#This Row],[Column1]]</f>
        <v>#VALUE!</v>
      </c>
      <c r="I153" s="276">
        <f t="shared" si="2"/>
        <v>0</v>
      </c>
    </row>
    <row r="154" spans="5:9" x14ac:dyDescent="0.3">
      <c r="G154" t="e">
        <f>A154=Table6[[#This Row],[Column1]]</f>
        <v>#VALUE!</v>
      </c>
      <c r="I154" s="276">
        <f t="shared" si="2"/>
        <v>0</v>
      </c>
    </row>
    <row r="155" spans="5:9" x14ac:dyDescent="0.3">
      <c r="G155" t="e">
        <f>A155=Table6[[#This Row],[Column1]]</f>
        <v>#VALUE!</v>
      </c>
      <c r="I155" s="276">
        <f t="shared" si="2"/>
        <v>0</v>
      </c>
    </row>
    <row r="156" spans="5:9" x14ac:dyDescent="0.3">
      <c r="G156" t="e">
        <f>A156=Table6[[#This Row],[Column1]]</f>
        <v>#VALUE!</v>
      </c>
      <c r="I156" s="276">
        <f t="shared" si="2"/>
        <v>0</v>
      </c>
    </row>
    <row r="157" spans="5:9" x14ac:dyDescent="0.3">
      <c r="G157" t="e">
        <f>A157=Table6[[#This Row],[Column1]]</f>
        <v>#VALUE!</v>
      </c>
      <c r="I157" s="276">
        <f t="shared" si="2"/>
        <v>0</v>
      </c>
    </row>
    <row r="158" spans="5:9" x14ac:dyDescent="0.3">
      <c r="G158" t="e">
        <f>A158=Table6[[#This Row],[Column1]]</f>
        <v>#VALUE!</v>
      </c>
      <c r="I158" s="276">
        <f t="shared" si="2"/>
        <v>0</v>
      </c>
    </row>
    <row r="159" spans="5:9" x14ac:dyDescent="0.3">
      <c r="G159" t="e">
        <f>A159=Table6[[#This Row],[Column1]]</f>
        <v>#VALUE!</v>
      </c>
      <c r="I159" s="276">
        <f t="shared" si="2"/>
        <v>0</v>
      </c>
    </row>
    <row r="160" spans="5:9" x14ac:dyDescent="0.3">
      <c r="G160" t="e">
        <f>A160=Table6[[#This Row],[Column1]]</f>
        <v>#VALUE!</v>
      </c>
      <c r="I160" s="276">
        <f t="shared" si="2"/>
        <v>0</v>
      </c>
    </row>
    <row r="161" spans="7:9" x14ac:dyDescent="0.3">
      <c r="G161" t="e">
        <f>A161=Table6[[#This Row],[Column1]]</f>
        <v>#VALUE!</v>
      </c>
      <c r="I161" s="276">
        <f t="shared" si="2"/>
        <v>0</v>
      </c>
    </row>
    <row r="162" spans="7:9" x14ac:dyDescent="0.3">
      <c r="G162" t="e">
        <f>A162=Table6[[#This Row],[Column1]]</f>
        <v>#VALUE!</v>
      </c>
      <c r="I162" s="276">
        <f t="shared" si="2"/>
        <v>0</v>
      </c>
    </row>
    <row r="163" spans="7:9" x14ac:dyDescent="0.3">
      <c r="G163" t="e">
        <f>A163=Table6[[#This Row],[Column1]]</f>
        <v>#VALUE!</v>
      </c>
      <c r="I163" s="276">
        <f t="shared" si="2"/>
        <v>0</v>
      </c>
    </row>
    <row r="164" spans="7:9" x14ac:dyDescent="0.3">
      <c r="G164" t="e">
        <f>A164=Table6[[#This Row],[Column1]]</f>
        <v>#VALUE!</v>
      </c>
      <c r="I164" s="276">
        <f t="shared" si="2"/>
        <v>0</v>
      </c>
    </row>
    <row r="165" spans="7:9" x14ac:dyDescent="0.3">
      <c r="G165" t="e">
        <f>A165=Table6[[#This Row],[Column1]]</f>
        <v>#VALUE!</v>
      </c>
      <c r="I165" s="276">
        <f t="shared" si="2"/>
        <v>0</v>
      </c>
    </row>
    <row r="166" spans="7:9" x14ac:dyDescent="0.3">
      <c r="G166" t="e">
        <f>A166=Table6[[#This Row],[Column1]]</f>
        <v>#VALUE!</v>
      </c>
      <c r="I166" s="276">
        <f t="shared" si="2"/>
        <v>0</v>
      </c>
    </row>
    <row r="167" spans="7:9" x14ac:dyDescent="0.3">
      <c r="G167" t="e">
        <f>A167=Table6[[#This Row],[Column1]]</f>
        <v>#VALUE!</v>
      </c>
      <c r="I167" s="276">
        <f t="shared" si="2"/>
        <v>0</v>
      </c>
    </row>
    <row r="168" spans="7:9" x14ac:dyDescent="0.3">
      <c r="G168" t="e">
        <f>A168=Table6[[#This Row],[Column1]]</f>
        <v>#VALUE!</v>
      </c>
      <c r="I168" s="276">
        <f t="shared" si="2"/>
        <v>0</v>
      </c>
    </row>
    <row r="169" spans="7:9" x14ac:dyDescent="0.3">
      <c r="G169" t="e">
        <f>A169=Table6[[#This Row],[Column1]]</f>
        <v>#VALUE!</v>
      </c>
      <c r="I169" s="276">
        <f t="shared" si="2"/>
        <v>0</v>
      </c>
    </row>
    <row r="170" spans="7:9" x14ac:dyDescent="0.3">
      <c r="G170" t="e">
        <f>A170=Table6[[#This Row],[Column1]]</f>
        <v>#VALUE!</v>
      </c>
      <c r="I170" s="276">
        <f t="shared" si="2"/>
        <v>0</v>
      </c>
    </row>
    <row r="171" spans="7:9" x14ac:dyDescent="0.3">
      <c r="G171" t="e">
        <f>A171=Table6[[#This Row],[Column1]]</f>
        <v>#VALUE!</v>
      </c>
      <c r="I171" s="276">
        <f t="shared" si="2"/>
        <v>0</v>
      </c>
    </row>
    <row r="172" spans="7:9" x14ac:dyDescent="0.3">
      <c r="G172" t="e">
        <f>A172=Table6[[#This Row],[Column1]]</f>
        <v>#VALUE!</v>
      </c>
      <c r="I172" s="276">
        <f t="shared" si="2"/>
        <v>0</v>
      </c>
    </row>
    <row r="173" spans="7:9" x14ac:dyDescent="0.3">
      <c r="G173" t="e">
        <f>A173=Table6[[#This Row],[Column1]]</f>
        <v>#VALUE!</v>
      </c>
      <c r="I173" s="276">
        <f t="shared" si="2"/>
        <v>0</v>
      </c>
    </row>
    <row r="174" spans="7:9" x14ac:dyDescent="0.3">
      <c r="G174" t="e">
        <f>A174=Table6[[#This Row],[Column1]]</f>
        <v>#VALUE!</v>
      </c>
      <c r="I174" s="276">
        <f t="shared" si="2"/>
        <v>0</v>
      </c>
    </row>
    <row r="175" spans="7:9" x14ac:dyDescent="0.3">
      <c r="G175" t="e">
        <f>A175=Table6[[#This Row],[Column1]]</f>
        <v>#VALUE!</v>
      </c>
      <c r="I175" s="276">
        <f t="shared" si="2"/>
        <v>0</v>
      </c>
    </row>
    <row r="176" spans="7:9" x14ac:dyDescent="0.3">
      <c r="G176" t="e">
        <f>A176=Table6[[#This Row],[Column1]]</f>
        <v>#VALUE!</v>
      </c>
      <c r="I176" s="276">
        <f t="shared" si="2"/>
        <v>0</v>
      </c>
    </row>
    <row r="177" spans="7:9" x14ac:dyDescent="0.3">
      <c r="G177" t="e">
        <f>A177=Table6[[#This Row],[Column1]]</f>
        <v>#VALUE!</v>
      </c>
      <c r="I177" s="276">
        <f t="shared" si="2"/>
        <v>0</v>
      </c>
    </row>
    <row r="178" spans="7:9" x14ac:dyDescent="0.3">
      <c r="G178" t="e">
        <f>A178=Table6[[#This Row],[Column1]]</f>
        <v>#VALUE!</v>
      </c>
      <c r="I178" s="276">
        <f t="shared" si="2"/>
        <v>0</v>
      </c>
    </row>
    <row r="179" spans="7:9" x14ac:dyDescent="0.3">
      <c r="G179" t="e">
        <f>A179=Table6[[#This Row],[Column1]]</f>
        <v>#VALUE!</v>
      </c>
      <c r="I179" s="276">
        <f t="shared" si="2"/>
        <v>0</v>
      </c>
    </row>
    <row r="180" spans="7:9" x14ac:dyDescent="0.3">
      <c r="G180" t="e">
        <f>A180=Table6[[#This Row],[Column1]]</f>
        <v>#VALUE!</v>
      </c>
      <c r="I180" s="276">
        <f t="shared" si="2"/>
        <v>0</v>
      </c>
    </row>
    <row r="181" spans="7:9" x14ac:dyDescent="0.3">
      <c r="G181" t="e">
        <f>A181=Table6[[#This Row],[Column1]]</f>
        <v>#VALUE!</v>
      </c>
      <c r="I181" s="276">
        <f t="shared" si="2"/>
        <v>0</v>
      </c>
    </row>
    <row r="182" spans="7:9" x14ac:dyDescent="0.3">
      <c r="G182" t="e">
        <f>A182=Table6[[#This Row],[Column1]]</f>
        <v>#VALUE!</v>
      </c>
      <c r="I182" s="276">
        <f t="shared" si="2"/>
        <v>0</v>
      </c>
    </row>
    <row r="183" spans="7:9" x14ac:dyDescent="0.3">
      <c r="G183" t="e">
        <f>A183=Table6[[#This Row],[Column1]]</f>
        <v>#VALUE!</v>
      </c>
      <c r="I183" s="276">
        <f t="shared" si="2"/>
        <v>0</v>
      </c>
    </row>
    <row r="184" spans="7:9" x14ac:dyDescent="0.3">
      <c r="G184" t="e">
        <f>A184=Table6[[#This Row],[Column1]]</f>
        <v>#VALUE!</v>
      </c>
      <c r="I184" s="276">
        <f t="shared" si="2"/>
        <v>0</v>
      </c>
    </row>
    <row r="185" spans="7:9" x14ac:dyDescent="0.3">
      <c r="G185" t="e">
        <f>A185=Table6[[#This Row],[Column1]]</f>
        <v>#VALUE!</v>
      </c>
      <c r="I185" s="276">
        <f t="shared" si="2"/>
        <v>0</v>
      </c>
    </row>
    <row r="186" spans="7:9" x14ac:dyDescent="0.3">
      <c r="G186" t="e">
        <f>A186=Table6[[#This Row],[Column1]]</f>
        <v>#VALUE!</v>
      </c>
      <c r="I186" s="276">
        <f t="shared" si="2"/>
        <v>0</v>
      </c>
    </row>
    <row r="187" spans="7:9" x14ac:dyDescent="0.3">
      <c r="G187" t="e">
        <f>A187=Table6[[#This Row],[Column1]]</f>
        <v>#VALUE!</v>
      </c>
      <c r="I187" s="276">
        <f t="shared" si="2"/>
        <v>0</v>
      </c>
    </row>
    <row r="188" spans="7:9" x14ac:dyDescent="0.3">
      <c r="G188" t="e">
        <f>A188=Table6[[#This Row],[Column1]]</f>
        <v>#VALUE!</v>
      </c>
      <c r="I188" s="276">
        <f t="shared" si="2"/>
        <v>0</v>
      </c>
    </row>
    <row r="189" spans="7:9" x14ac:dyDescent="0.3">
      <c r="G189" t="e">
        <f>A189=Table6[[#This Row],[Column1]]</f>
        <v>#VALUE!</v>
      </c>
      <c r="I189" s="276">
        <f t="shared" si="2"/>
        <v>0</v>
      </c>
    </row>
    <row r="190" spans="7:9" x14ac:dyDescent="0.3">
      <c r="G190" t="e">
        <f>A190=Table6[[#This Row],[Column1]]</f>
        <v>#VALUE!</v>
      </c>
      <c r="I190" s="276">
        <f t="shared" si="2"/>
        <v>0</v>
      </c>
    </row>
    <row r="191" spans="7:9" x14ac:dyDescent="0.3">
      <c r="G191" t="e">
        <f>A191=Table6[[#This Row],[Column1]]</f>
        <v>#VALUE!</v>
      </c>
      <c r="I191" s="276">
        <f t="shared" si="2"/>
        <v>0</v>
      </c>
    </row>
    <row r="192" spans="7:9" x14ac:dyDescent="0.3">
      <c r="G192" t="e">
        <f>A192=Table6[[#This Row],[Column1]]</f>
        <v>#VALUE!</v>
      </c>
      <c r="I192" s="276">
        <f t="shared" si="2"/>
        <v>0</v>
      </c>
    </row>
    <row r="193" spans="7:9" x14ac:dyDescent="0.3">
      <c r="G193" t="e">
        <f>A193=Table6[[#This Row],[Column1]]</f>
        <v>#VALUE!</v>
      </c>
      <c r="I193" s="276">
        <f t="shared" si="2"/>
        <v>0</v>
      </c>
    </row>
    <row r="194" spans="7:9" x14ac:dyDescent="0.3">
      <c r="G194" t="e">
        <f>A194=Table6[[#This Row],[Column1]]</f>
        <v>#VALUE!</v>
      </c>
      <c r="I194" s="276">
        <f t="shared" si="2"/>
        <v>0</v>
      </c>
    </row>
    <row r="195" spans="7:9" x14ac:dyDescent="0.3">
      <c r="G195" t="e">
        <f>A195=Table6[[#This Row],[Column1]]</f>
        <v>#VALUE!</v>
      </c>
      <c r="I195" s="276">
        <f t="shared" si="2"/>
        <v>0</v>
      </c>
    </row>
    <row r="196" spans="7:9" x14ac:dyDescent="0.3">
      <c r="G196" t="e">
        <f>A196=Table6[[#This Row],[Column1]]</f>
        <v>#VALUE!</v>
      </c>
      <c r="I196" s="276">
        <f t="shared" si="2"/>
        <v>0</v>
      </c>
    </row>
    <row r="197" spans="7:9" x14ac:dyDescent="0.3">
      <c r="G197" t="e">
        <f>A197=Table6[[#This Row],[Column1]]</f>
        <v>#VALUE!</v>
      </c>
      <c r="I197" s="276">
        <f t="shared" si="2"/>
        <v>0</v>
      </c>
    </row>
    <row r="198" spans="7:9" x14ac:dyDescent="0.3">
      <c r="G198" t="e">
        <f>A198=Table6[[#This Row],[Column1]]</f>
        <v>#VALUE!</v>
      </c>
      <c r="I198" s="276">
        <f t="shared" si="2"/>
        <v>0</v>
      </c>
    </row>
    <row r="199" spans="7:9" x14ac:dyDescent="0.3">
      <c r="G199" t="e">
        <f>A199=Table6[[#This Row],[Column1]]</f>
        <v>#VALUE!</v>
      </c>
      <c r="I199" s="276">
        <f t="shared" si="2"/>
        <v>0</v>
      </c>
    </row>
    <row r="200" spans="7:9" x14ac:dyDescent="0.3">
      <c r="G200" t="e">
        <f>A200=Table6[[#This Row],[Column1]]</f>
        <v>#VALUE!</v>
      </c>
      <c r="I200" s="276">
        <f t="shared" si="2"/>
        <v>0</v>
      </c>
    </row>
    <row r="201" spans="7:9" x14ac:dyDescent="0.3">
      <c r="G201" t="e">
        <f>A201=Table6[[#This Row],[Column1]]</f>
        <v>#VALUE!</v>
      </c>
      <c r="I201" s="276">
        <f t="shared" si="2"/>
        <v>0</v>
      </c>
    </row>
    <row r="202" spans="7:9" x14ac:dyDescent="0.3">
      <c r="G202" t="e">
        <f>A202=Table6[[#This Row],[Column1]]</f>
        <v>#VALUE!</v>
      </c>
      <c r="I202" s="276">
        <f t="shared" ref="I202:I232" si="3">B202-H202</f>
        <v>0</v>
      </c>
    </row>
    <row r="203" spans="7:9" x14ac:dyDescent="0.3">
      <c r="G203" t="e">
        <f>A203=Table6[[#This Row],[Column1]]</f>
        <v>#VALUE!</v>
      </c>
      <c r="I203" s="276">
        <f t="shared" si="3"/>
        <v>0</v>
      </c>
    </row>
    <row r="204" spans="7:9" x14ac:dyDescent="0.3">
      <c r="G204" t="e">
        <f>A204=Table6[[#This Row],[Column1]]</f>
        <v>#VALUE!</v>
      </c>
      <c r="I204" s="276">
        <f t="shared" si="3"/>
        <v>0</v>
      </c>
    </row>
    <row r="205" spans="7:9" x14ac:dyDescent="0.3">
      <c r="G205" t="e">
        <f>A205=Table6[[#This Row],[Column1]]</f>
        <v>#VALUE!</v>
      </c>
      <c r="I205" s="276">
        <f t="shared" si="3"/>
        <v>0</v>
      </c>
    </row>
    <row r="206" spans="7:9" x14ac:dyDescent="0.3">
      <c r="G206" t="e">
        <f>A206=Table6[[#This Row],[Column1]]</f>
        <v>#VALUE!</v>
      </c>
      <c r="I206" s="276">
        <f t="shared" si="3"/>
        <v>0</v>
      </c>
    </row>
    <row r="207" spans="7:9" x14ac:dyDescent="0.3">
      <c r="G207" t="e">
        <f>A207=Table6[[#This Row],[Column1]]</f>
        <v>#VALUE!</v>
      </c>
      <c r="I207" s="276">
        <f t="shared" si="3"/>
        <v>0</v>
      </c>
    </row>
    <row r="208" spans="7:9" x14ac:dyDescent="0.3">
      <c r="G208" t="e">
        <f>A208=Table6[[#This Row],[Column1]]</f>
        <v>#VALUE!</v>
      </c>
      <c r="I208" s="276">
        <f t="shared" si="3"/>
        <v>0</v>
      </c>
    </row>
    <row r="209" spans="7:9" x14ac:dyDescent="0.3">
      <c r="G209" t="e">
        <f>A209=Table6[[#This Row],[Column1]]</f>
        <v>#VALUE!</v>
      </c>
      <c r="I209" s="276">
        <f t="shared" si="3"/>
        <v>0</v>
      </c>
    </row>
    <row r="210" spans="7:9" x14ac:dyDescent="0.3">
      <c r="G210" t="e">
        <f>A210=Table6[[#This Row],[Column1]]</f>
        <v>#VALUE!</v>
      </c>
      <c r="I210" s="276">
        <f t="shared" si="3"/>
        <v>0</v>
      </c>
    </row>
    <row r="211" spans="7:9" x14ac:dyDescent="0.3">
      <c r="G211" t="e">
        <f>A211=Table6[[#This Row],[Column1]]</f>
        <v>#VALUE!</v>
      </c>
      <c r="I211" s="276">
        <f t="shared" si="3"/>
        <v>0</v>
      </c>
    </row>
    <row r="212" spans="7:9" x14ac:dyDescent="0.3">
      <c r="G212" t="e">
        <f>A212=Table6[[#This Row],[Column1]]</f>
        <v>#VALUE!</v>
      </c>
      <c r="I212" s="276">
        <f t="shared" si="3"/>
        <v>0</v>
      </c>
    </row>
    <row r="213" spans="7:9" x14ac:dyDescent="0.3">
      <c r="G213" t="e">
        <f>A213=Table6[[#This Row],[Column1]]</f>
        <v>#VALUE!</v>
      </c>
      <c r="I213" s="276">
        <f t="shared" si="3"/>
        <v>0</v>
      </c>
    </row>
    <row r="214" spans="7:9" x14ac:dyDescent="0.3">
      <c r="G214" t="e">
        <f>A214=Table6[[#This Row],[Column1]]</f>
        <v>#VALUE!</v>
      </c>
      <c r="I214" s="276">
        <f t="shared" si="3"/>
        <v>0</v>
      </c>
    </row>
    <row r="215" spans="7:9" x14ac:dyDescent="0.3">
      <c r="G215" t="e">
        <f>A215=Table6[[#This Row],[Column1]]</f>
        <v>#VALUE!</v>
      </c>
      <c r="I215" s="276">
        <f t="shared" si="3"/>
        <v>0</v>
      </c>
    </row>
    <row r="216" spans="7:9" x14ac:dyDescent="0.3">
      <c r="G216" t="e">
        <f>A216=Table6[[#This Row],[Column1]]</f>
        <v>#VALUE!</v>
      </c>
      <c r="I216" s="276">
        <f t="shared" si="3"/>
        <v>0</v>
      </c>
    </row>
    <row r="217" spans="7:9" x14ac:dyDescent="0.3">
      <c r="G217" t="e">
        <f>A217=Table6[[#This Row],[Column1]]</f>
        <v>#VALUE!</v>
      </c>
      <c r="I217" s="276">
        <f t="shared" si="3"/>
        <v>0</v>
      </c>
    </row>
    <row r="218" spans="7:9" x14ac:dyDescent="0.3">
      <c r="G218" t="e">
        <f>A218=Table6[[#This Row],[Column1]]</f>
        <v>#VALUE!</v>
      </c>
      <c r="I218" s="276">
        <f t="shared" si="3"/>
        <v>0</v>
      </c>
    </row>
    <row r="219" spans="7:9" x14ac:dyDescent="0.3">
      <c r="G219" t="e">
        <f>A219=Table6[[#This Row],[Column1]]</f>
        <v>#VALUE!</v>
      </c>
      <c r="I219" s="276">
        <f t="shared" si="3"/>
        <v>0</v>
      </c>
    </row>
    <row r="220" spans="7:9" x14ac:dyDescent="0.3">
      <c r="G220" t="e">
        <f>A220=Table6[[#This Row],[Column1]]</f>
        <v>#VALUE!</v>
      </c>
      <c r="I220" s="276">
        <f t="shared" si="3"/>
        <v>0</v>
      </c>
    </row>
    <row r="221" spans="7:9" x14ac:dyDescent="0.3">
      <c r="G221" t="e">
        <f>A221=Table6[[#This Row],[Column1]]</f>
        <v>#VALUE!</v>
      </c>
      <c r="I221" s="276">
        <f t="shared" si="3"/>
        <v>0</v>
      </c>
    </row>
    <row r="222" spans="7:9" x14ac:dyDescent="0.3">
      <c r="G222" t="e">
        <f>A222=Table6[[#This Row],[Column1]]</f>
        <v>#VALUE!</v>
      </c>
      <c r="I222" s="276">
        <f t="shared" si="3"/>
        <v>0</v>
      </c>
    </row>
    <row r="223" spans="7:9" x14ac:dyDescent="0.3">
      <c r="G223" t="e">
        <f>A223=Table6[[#This Row],[Column1]]</f>
        <v>#VALUE!</v>
      </c>
      <c r="I223" s="276">
        <f t="shared" si="3"/>
        <v>0</v>
      </c>
    </row>
    <row r="224" spans="7:9" x14ac:dyDescent="0.3">
      <c r="G224" t="e">
        <f>A224=Table6[[#This Row],[Column1]]</f>
        <v>#VALUE!</v>
      </c>
      <c r="I224" s="276">
        <f t="shared" si="3"/>
        <v>0</v>
      </c>
    </row>
    <row r="225" spans="9:9" x14ac:dyDescent="0.3">
      <c r="I225" s="276">
        <f t="shared" si="3"/>
        <v>0</v>
      </c>
    </row>
    <row r="226" spans="9:9" x14ac:dyDescent="0.3">
      <c r="I226" s="276">
        <f t="shared" si="3"/>
        <v>0</v>
      </c>
    </row>
    <row r="227" spans="9:9" x14ac:dyDescent="0.3">
      <c r="I227" s="276">
        <f t="shared" si="3"/>
        <v>0</v>
      </c>
    </row>
    <row r="228" spans="9:9" x14ac:dyDescent="0.3">
      <c r="I228" s="276">
        <f t="shared" si="3"/>
        <v>0</v>
      </c>
    </row>
    <row r="229" spans="9:9" x14ac:dyDescent="0.3">
      <c r="I229" s="276">
        <f t="shared" si="3"/>
        <v>0</v>
      </c>
    </row>
    <row r="230" spans="9:9" x14ac:dyDescent="0.3">
      <c r="I230" s="276">
        <f t="shared" si="3"/>
        <v>0</v>
      </c>
    </row>
    <row r="231" spans="9:9" x14ac:dyDescent="0.3">
      <c r="I231" s="276">
        <f t="shared" si="3"/>
        <v>0</v>
      </c>
    </row>
    <row r="232" spans="9:9" x14ac:dyDescent="0.3">
      <c r="I232" s="276">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J25" sqref="J25"/>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3" customWidth="1"/>
    <col min="9" max="9" width="29.44140625" style="274" customWidth="1"/>
    <col min="10" max="10" width="24.44140625" customWidth="1"/>
  </cols>
  <sheetData>
    <row r="1" spans="1:10" ht="15.6" x14ac:dyDescent="0.3">
      <c r="A1" s="465" t="s">
        <v>5153</v>
      </c>
      <c r="B1" s="465"/>
      <c r="C1" s="465"/>
      <c r="D1" s="465"/>
      <c r="E1" s="465"/>
      <c r="F1" s="465"/>
      <c r="G1" s="465"/>
    </row>
    <row r="2" spans="1:10" ht="15.6" x14ac:dyDescent="0.3">
      <c r="A2" s="465" t="str">
        <f>'PER BULAN'!B5</f>
        <v>Berdasarkan DIPA Revisi 1 POK 2 TA. 2022 (Tanggal 22 Maret 2022)</v>
      </c>
      <c r="B2" s="465"/>
      <c r="C2" s="465"/>
      <c r="D2" s="465"/>
      <c r="E2" s="465"/>
      <c r="F2" s="465"/>
      <c r="G2" s="465"/>
    </row>
    <row r="3" spans="1:10" ht="15.6" x14ac:dyDescent="0.3">
      <c r="A3" s="465" t="s">
        <v>5427</v>
      </c>
      <c r="B3" s="465"/>
      <c r="C3" s="465"/>
      <c r="D3" s="465"/>
      <c r="E3" s="465"/>
      <c r="F3" s="465"/>
      <c r="G3" s="465"/>
    </row>
    <row r="4" spans="1:10" x14ac:dyDescent="0.3">
      <c r="A4" s="259"/>
      <c r="B4" s="259"/>
      <c r="C4" s="259"/>
      <c r="D4" s="259"/>
      <c r="E4" s="259"/>
      <c r="F4" s="259"/>
      <c r="G4" s="314"/>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66" t="s">
        <v>576</v>
      </c>
      <c r="B7" s="282" t="s">
        <v>560</v>
      </c>
      <c r="C7" s="225">
        <f>SUM('PER BULAN'!F78+'PER BULAN'!F82+'PER BULAN'!F86+'PER BULAN'!F91+'PER BULAN'!F95)</f>
        <v>670684000</v>
      </c>
      <c r="D7" s="225">
        <f>SUM('PER BULAN'!AR78+'PER BULAN'!AR82+'PER BULAN'!AR86+'PER BULAN'!AR91+'PER BULAN'!AR95)</f>
        <v>390447219</v>
      </c>
      <c r="E7" s="224">
        <f>IFERROR(D7/C7*100,0)</f>
        <v>58.216271597354343</v>
      </c>
      <c r="F7" s="225">
        <f t="shared" ref="F7:F13" si="0">C7-D7</f>
        <v>280236781</v>
      </c>
      <c r="G7" s="324">
        <f>IFERROR(F7/C7*100,0)</f>
        <v>41.783728402645657</v>
      </c>
    </row>
    <row r="8" spans="1:10" x14ac:dyDescent="0.3">
      <c r="A8" s="467"/>
      <c r="B8" s="251" t="s">
        <v>4654</v>
      </c>
      <c r="C8" s="225">
        <f>SUM('PER BULAN'!F125+'PER BULAN'!F128+'PER BULAN'!F131+'PER BULAN'!F134)</f>
        <v>2095658000</v>
      </c>
      <c r="D8" s="225">
        <f>SUM('PER BULAN'!AR125+'PER BULAN'!AR128+'PER BULAN'!AR131+'PER BULAN'!AR134+'PER BULAN'!AR137)</f>
        <v>663321641</v>
      </c>
      <c r="E8" s="224">
        <f t="shared" ref="E8:E11" si="1">IFERROR(D8/C8*100,0)</f>
        <v>31.652189479390241</v>
      </c>
      <c r="F8" s="225">
        <f t="shared" si="0"/>
        <v>1432336359</v>
      </c>
      <c r="G8" s="324">
        <f t="shared" ref="G8:G11" si="2">IFERROR(F8/C8*100,0)</f>
        <v>68.347810520609755</v>
      </c>
    </row>
    <row r="9" spans="1:10" x14ac:dyDescent="0.3">
      <c r="A9" s="467"/>
      <c r="B9" s="251" t="s">
        <v>4660</v>
      </c>
      <c r="C9" s="225">
        <f>SUM('PER BULAN'!F137)</f>
        <v>0</v>
      </c>
      <c r="D9" s="225">
        <f>SUM('PER BULAN'!AR137)</f>
        <v>0</v>
      </c>
      <c r="E9" s="221">
        <f t="shared" si="1"/>
        <v>0</v>
      </c>
      <c r="F9" s="225">
        <f t="shared" si="0"/>
        <v>0</v>
      </c>
      <c r="G9" s="418">
        <f t="shared" si="2"/>
        <v>0</v>
      </c>
    </row>
    <row r="10" spans="1:10" x14ac:dyDescent="0.3">
      <c r="A10" s="467"/>
      <c r="B10" s="251" t="s">
        <v>43</v>
      </c>
      <c r="C10" s="225">
        <f>SUM('PER BULAN'!F144+'PER BULAN'!F65)</f>
        <v>654200000</v>
      </c>
      <c r="D10" s="225">
        <f>SUM('PER BULAN'!AR144+'PER BULAN'!AR65)</f>
        <v>654200000</v>
      </c>
      <c r="E10" s="224">
        <f t="shared" si="1"/>
        <v>100</v>
      </c>
      <c r="F10" s="225">
        <f t="shared" si="0"/>
        <v>0</v>
      </c>
      <c r="G10" s="418">
        <f t="shared" si="2"/>
        <v>0</v>
      </c>
    </row>
    <row r="11" spans="1:10" x14ac:dyDescent="0.3">
      <c r="A11" s="467"/>
      <c r="B11" s="282" t="s">
        <v>546</v>
      </c>
      <c r="C11" s="225">
        <f>SUM('PER BULAN'!F184+'PER BULAN'!F187+'PER BULAN'!F190+'PER BULAN'!F193+'PER BULAN'!F197+'PER BULAN'!F200)</f>
        <v>197920000</v>
      </c>
      <c r="D11" s="225">
        <f>SUM('PER BULAN'!AR184+'PER BULAN'!AR187+'PER BULAN'!AR190+'PER BULAN'!AR193+'PER BULAN'!AR197+'PER BULAN'!AR200)</f>
        <v>136548520</v>
      </c>
      <c r="E11" s="224">
        <f t="shared" si="1"/>
        <v>68.991774454324982</v>
      </c>
      <c r="F11" s="225">
        <f t="shared" si="0"/>
        <v>61371480</v>
      </c>
      <c r="G11" s="324">
        <f t="shared" si="2"/>
        <v>31.008225545675021</v>
      </c>
    </row>
    <row r="12" spans="1:10" x14ac:dyDescent="0.3">
      <c r="A12" s="468"/>
      <c r="B12" s="247" t="s">
        <v>4653</v>
      </c>
      <c r="C12" s="250">
        <f>SUM(C7:C11)</f>
        <v>3618462000</v>
      </c>
      <c r="D12" s="250">
        <f>SUM(D7:D11)</f>
        <v>1844517380</v>
      </c>
      <c r="E12" s="249">
        <f t="shared" ref="E12:E13" si="3">D12/C12*100</f>
        <v>50.97517619364249</v>
      </c>
      <c r="F12" s="250">
        <f t="shared" si="0"/>
        <v>1773944620</v>
      </c>
      <c r="G12" s="325">
        <f t="shared" ref="G12:G13" si="4">F12/C12*100</f>
        <v>49.02482380635751</v>
      </c>
      <c r="H12" s="245"/>
    </row>
    <row r="13" spans="1:10" ht="15" customHeight="1" x14ac:dyDescent="0.3">
      <c r="A13" s="466" t="s">
        <v>542</v>
      </c>
      <c r="B13" s="282" t="s">
        <v>543</v>
      </c>
      <c r="C13" s="225">
        <f>SUM('PER BULAN'!F70+'PER BULAN'!F149+'PER BULAN'!F154+'PER BULAN'!F160)</f>
        <v>293918000</v>
      </c>
      <c r="D13" s="225">
        <f>SUM('PER BULAN'!AR70+'PER BULAN'!AR149+'PER BULAN'!AR154+'PER BULAN'!AR160)</f>
        <v>130677295</v>
      </c>
      <c r="E13" s="224">
        <f t="shared" si="3"/>
        <v>44.460460060288924</v>
      </c>
      <c r="F13" s="225">
        <f t="shared" si="0"/>
        <v>163240705</v>
      </c>
      <c r="G13" s="324">
        <f t="shared" si="4"/>
        <v>55.539539939711076</v>
      </c>
    </row>
    <row r="14" spans="1:10" x14ac:dyDescent="0.3">
      <c r="A14" s="467"/>
      <c r="B14" s="251" t="s">
        <v>4728</v>
      </c>
      <c r="C14" s="225">
        <f>SUM('PER BULAN'!F208+'PER BULAN'!F215+'PER BULAN'!F221+'PER BULAN'!F225+'PER BULAN'!F228)</f>
        <v>6082500000</v>
      </c>
      <c r="D14" s="225">
        <f>SUM('PER BULAN'!AR208+'PER BULAN'!AR215+'PER BULAN'!AR221+'PER BULAN'!AR225+'PER BULAN'!AR228)</f>
        <v>3476713912</v>
      </c>
      <c r="E14" s="224">
        <f>D14/C14*100</f>
        <v>57.159291607069463</v>
      </c>
      <c r="F14" s="225">
        <f>C14-D14</f>
        <v>2605786088</v>
      </c>
      <c r="G14" s="324">
        <f>F14/C14*100</f>
        <v>42.840708392930537</v>
      </c>
      <c r="J14" s="276"/>
    </row>
    <row r="15" spans="1:10" x14ac:dyDescent="0.3">
      <c r="A15" s="467"/>
      <c r="B15" s="282" t="s">
        <v>591</v>
      </c>
      <c r="C15" s="225">
        <f>SUM('PER BULAN'!F167+'PER BULAN'!F171+'PER BULAN'!F178)</f>
        <v>169798000</v>
      </c>
      <c r="D15" s="225">
        <f>SUM('PER BULAN'!AR167+'PER BULAN'!AR171+'PER BULAN'!AR178)</f>
        <v>105796297</v>
      </c>
      <c r="E15" s="224">
        <f t="shared" ref="E15:E23" si="5">D15/C15*100</f>
        <v>62.307151438768415</v>
      </c>
      <c r="F15" s="225">
        <f t="shared" ref="F15:F23" si="6">C15-D15</f>
        <v>64001703</v>
      </c>
      <c r="G15" s="324">
        <f t="shared" ref="G15:G23" si="7">F15/C15*100</f>
        <v>37.692848561231578</v>
      </c>
    </row>
    <row r="16" spans="1:10" x14ac:dyDescent="0.3">
      <c r="A16" s="468"/>
      <c r="B16" s="247" t="s">
        <v>4657</v>
      </c>
      <c r="C16" s="250">
        <f>SUM(C13:C15)</f>
        <v>6546216000</v>
      </c>
      <c r="D16" s="250">
        <f>SUM(D13:D15)</f>
        <v>3713187504</v>
      </c>
      <c r="E16" s="249">
        <f t="shared" si="5"/>
        <v>56.722654797825186</v>
      </c>
      <c r="F16" s="250">
        <f t="shared" si="6"/>
        <v>2833028496</v>
      </c>
      <c r="G16" s="325">
        <f t="shared" si="7"/>
        <v>43.277345202174814</v>
      </c>
    </row>
    <row r="17" spans="1:10" ht="15" customHeight="1" x14ac:dyDescent="0.3">
      <c r="A17" s="466" t="s">
        <v>531</v>
      </c>
      <c r="B17" s="282" t="s">
        <v>532</v>
      </c>
      <c r="C17" s="225">
        <f>SUM('PER BULAN'!F20+'PER BULAN'!F24+'PER BULAN'!F108)</f>
        <v>207606000</v>
      </c>
      <c r="D17" s="225">
        <f>SUM('PER BULAN'!AR20+'PER BULAN'!AR24+'PER BULAN'!AR108)</f>
        <v>133815590</v>
      </c>
      <c r="E17" s="224">
        <f t="shared" si="5"/>
        <v>64.456513780911919</v>
      </c>
      <c r="F17" s="225">
        <f t="shared" si="6"/>
        <v>73790410</v>
      </c>
      <c r="G17" s="324">
        <f t="shared" si="7"/>
        <v>35.543486219088081</v>
      </c>
    </row>
    <row r="18" spans="1:10" x14ac:dyDescent="0.3">
      <c r="A18" s="467"/>
      <c r="B18" s="282" t="s">
        <v>534</v>
      </c>
      <c r="C18" s="225">
        <f>SUM('PER BULAN'!F29+'PER BULAN'!F113+'PER BULAN'!F118)</f>
        <v>164763000</v>
      </c>
      <c r="D18" s="225">
        <f>SUM('PER BULAN'!AR29+'PER BULAN'!AR113+'PER BULAN'!AR118)</f>
        <v>73365500</v>
      </c>
      <c r="E18" s="224">
        <f t="shared" si="5"/>
        <v>44.527897646923151</v>
      </c>
      <c r="F18" s="225">
        <f t="shared" si="6"/>
        <v>91397500</v>
      </c>
      <c r="G18" s="324">
        <f t="shared" si="7"/>
        <v>55.472102353076849</v>
      </c>
      <c r="J18" s="276"/>
    </row>
    <row r="19" spans="1:10" x14ac:dyDescent="0.3">
      <c r="A19" s="468"/>
      <c r="B19" s="247" t="s">
        <v>4658</v>
      </c>
      <c r="C19" s="250">
        <f>SUM(C17:C18)</f>
        <v>372369000</v>
      </c>
      <c r="D19" s="250">
        <f>SUM(D17:D18)</f>
        <v>207181090</v>
      </c>
      <c r="E19" s="249">
        <f t="shared" si="5"/>
        <v>55.638651445206236</v>
      </c>
      <c r="F19" s="250">
        <f t="shared" si="6"/>
        <v>165187910</v>
      </c>
      <c r="G19" s="325">
        <f t="shared" si="7"/>
        <v>44.361348554793764</v>
      </c>
    </row>
    <row r="20" spans="1:10" ht="15" customHeight="1" x14ac:dyDescent="0.3">
      <c r="A20" s="466" t="s">
        <v>535</v>
      </c>
      <c r="B20" s="282" t="s">
        <v>536</v>
      </c>
      <c r="C20" s="225">
        <f>SUM('PER BULAN'!F33+'PER BULAN'!F41+'PER BULAN'!F48)</f>
        <v>686300000</v>
      </c>
      <c r="D20" s="225">
        <f>SUM('PER BULAN'!AR33+'PER BULAN'!AR41+'PER BULAN'!AR48)</f>
        <v>214180240</v>
      </c>
      <c r="E20" s="224">
        <f t="shared" si="5"/>
        <v>31.207961532857354</v>
      </c>
      <c r="F20" s="225">
        <f t="shared" si="6"/>
        <v>472119760</v>
      </c>
      <c r="G20" s="324">
        <f t="shared" si="7"/>
        <v>68.792038467142646</v>
      </c>
    </row>
    <row r="21" spans="1:10" x14ac:dyDescent="0.3">
      <c r="A21" s="467"/>
      <c r="B21" s="282" t="s">
        <v>538</v>
      </c>
      <c r="C21" s="225">
        <f>SUM('PER BULAN'!F54+'PER BULAN'!F102)</f>
        <v>152457000</v>
      </c>
      <c r="D21" s="225">
        <f>SUM('PER BULAN'!AR54+'PER BULAN'!AR102)</f>
        <v>88256718</v>
      </c>
      <c r="E21" s="224">
        <f t="shared" si="5"/>
        <v>57.889580668647554</v>
      </c>
      <c r="F21" s="225">
        <f t="shared" si="6"/>
        <v>64200282</v>
      </c>
      <c r="G21" s="324">
        <f t="shared" si="7"/>
        <v>42.110419331352446</v>
      </c>
    </row>
    <row r="22" spans="1:10" x14ac:dyDescent="0.3">
      <c r="A22" s="468"/>
      <c r="B22" s="247" t="s">
        <v>4659</v>
      </c>
      <c r="C22" s="250">
        <f>SUM(C20:C21)</f>
        <v>838757000</v>
      </c>
      <c r="D22" s="250">
        <f>SUM(D20:D21)</f>
        <v>302436958</v>
      </c>
      <c r="E22" s="249">
        <f t="shared" si="5"/>
        <v>36.057756656576338</v>
      </c>
      <c r="F22" s="250">
        <f t="shared" si="6"/>
        <v>536320042</v>
      </c>
      <c r="G22" s="325">
        <f t="shared" si="7"/>
        <v>63.942243343423669</v>
      </c>
    </row>
    <row r="23" spans="1:10" x14ac:dyDescent="0.3">
      <c r="A23" s="463" t="s">
        <v>4655</v>
      </c>
      <c r="B23" s="463"/>
      <c r="C23" s="232">
        <f>C12++C16+C19+C22</f>
        <v>11375804000</v>
      </c>
      <c r="D23" s="232">
        <f>D12++D16+D19+D22</f>
        <v>6067322932</v>
      </c>
      <c r="E23" s="231">
        <f t="shared" si="5"/>
        <v>53.33533288724032</v>
      </c>
      <c r="F23" s="232">
        <f t="shared" si="6"/>
        <v>5308481068</v>
      </c>
      <c r="G23" s="326">
        <f t="shared" si="7"/>
        <v>46.66466711275968</v>
      </c>
      <c r="J23" s="274"/>
    </row>
    <row r="24" spans="1:10" x14ac:dyDescent="0.3">
      <c r="A24" s="463" t="s">
        <v>4656</v>
      </c>
      <c r="B24" s="463"/>
      <c r="C24" s="463"/>
      <c r="D24" s="232">
        <f>D23</f>
        <v>6067322932</v>
      </c>
      <c r="E24" s="231">
        <f>D24/C23*100</f>
        <v>53.33533288724032</v>
      </c>
      <c r="F24" s="232">
        <f>C23-D24</f>
        <v>5308481068</v>
      </c>
      <c r="G24" s="326">
        <f>F24/C23*100</f>
        <v>46.66466711275968</v>
      </c>
      <c r="J24" s="276"/>
    </row>
    <row r="26" spans="1:10" x14ac:dyDescent="0.3">
      <c r="A26" s="260" t="s">
        <v>4815</v>
      </c>
    </row>
    <row r="27" spans="1:10" x14ac:dyDescent="0.3">
      <c r="A27" s="469" t="s">
        <v>4796</v>
      </c>
      <c r="B27" s="469" t="s">
        <v>4797</v>
      </c>
      <c r="C27" s="469" t="s">
        <v>4798</v>
      </c>
      <c r="D27" s="473" t="s">
        <v>4647</v>
      </c>
      <c r="E27" s="473"/>
      <c r="F27" s="473" t="s">
        <v>4799</v>
      </c>
      <c r="G27" s="473"/>
    </row>
    <row r="28" spans="1:10" x14ac:dyDescent="0.3">
      <c r="A28" s="470"/>
      <c r="B28" s="470"/>
      <c r="C28" s="470"/>
      <c r="D28" s="271" t="s">
        <v>4800</v>
      </c>
      <c r="E28" s="281" t="s">
        <v>4648</v>
      </c>
      <c r="F28" s="271" t="s">
        <v>4800</v>
      </c>
      <c r="G28" s="271" t="s">
        <v>4648</v>
      </c>
    </row>
    <row r="29" spans="1:10" x14ac:dyDescent="0.3">
      <c r="A29" s="261">
        <v>1</v>
      </c>
      <c r="B29" s="262" t="s">
        <v>4801</v>
      </c>
      <c r="C29" s="263">
        <f>SUM(C30:C32)</f>
        <v>10721604000</v>
      </c>
      <c r="D29" s="263">
        <f>SUM(D30:D32)</f>
        <v>5413122932</v>
      </c>
      <c r="E29" s="264">
        <f>IFERROR(D29/C29*100,0)</f>
        <v>50.487995378303474</v>
      </c>
      <c r="F29" s="265">
        <f>C29-D29</f>
        <v>5308481068</v>
      </c>
      <c r="G29" s="264">
        <f>IFERROR(F29/C29*100,0)</f>
        <v>49.512004621696533</v>
      </c>
    </row>
    <row r="30" spans="1:10" x14ac:dyDescent="0.3">
      <c r="A30" s="270"/>
      <c r="B30" s="266" t="s">
        <v>4802</v>
      </c>
      <c r="C30" s="267" cm="1">
        <f t="array" ref="C30">SUM(_xlfn._xlws.FILTER(Table7[Pagu],Table7[Jenis Belanja]="Belanja Barang Operasional",0))</f>
        <v>2095658000</v>
      </c>
      <c r="D30" s="267" cm="1">
        <f t="array" ref="D30">SUM(_xlfn._xlws.FILTER(Table7[Realisasi],Table7[Jenis Belanja]="Belanja Barang Operasional",0))</f>
        <v>663321641</v>
      </c>
      <c r="E30" s="268">
        <f t="shared" ref="E30:E33" si="8">IFERROR(D30/C30*100,0)</f>
        <v>31.652189479390241</v>
      </c>
      <c r="F30" s="269">
        <f>C30-D30</f>
        <v>1432336359</v>
      </c>
      <c r="G30" s="268">
        <f t="shared" ref="G30:G33" si="9">IFERROR(F30/C30*100,0)</f>
        <v>68.347810520609755</v>
      </c>
    </row>
    <row r="31" spans="1:10" x14ac:dyDescent="0.3">
      <c r="A31" s="270"/>
      <c r="B31" s="266" t="s">
        <v>4807</v>
      </c>
      <c r="C31" s="267">
        <v>0</v>
      </c>
      <c r="D31" s="267">
        <f>D9</f>
        <v>0</v>
      </c>
      <c r="E31" s="419">
        <f t="shared" si="8"/>
        <v>0</v>
      </c>
      <c r="F31" s="269">
        <f>C31-D31</f>
        <v>0</v>
      </c>
      <c r="G31" s="419">
        <f t="shared" si="9"/>
        <v>0</v>
      </c>
    </row>
    <row r="32" spans="1:10" x14ac:dyDescent="0.3">
      <c r="A32" s="270"/>
      <c r="B32" s="266" t="s">
        <v>4808</v>
      </c>
      <c r="C32" s="267" cm="1">
        <f t="array" ref="C32">SUM(_xlfn._xlws.FILTER(Table7[Pagu],Table7[Jenis Belanja]="Belanja Barang Non Operasional",0))</f>
        <v>8625946000</v>
      </c>
      <c r="D32" s="267">
        <f>D11+D13+D14+D15+D17+D18+D20+D21+D7</f>
        <v>4749801291</v>
      </c>
      <c r="E32" s="268">
        <f t="shared" si="8"/>
        <v>55.064120399084345</v>
      </c>
      <c r="F32" s="269">
        <f>C32-D32</f>
        <v>3876144709</v>
      </c>
      <c r="G32" s="268">
        <f t="shared" si="9"/>
        <v>44.935879600915655</v>
      </c>
    </row>
    <row r="33" spans="1:7" x14ac:dyDescent="0.3">
      <c r="A33" s="261">
        <v>2</v>
      </c>
      <c r="B33" s="262" t="s">
        <v>4803</v>
      </c>
      <c r="C33" s="263" cm="1">
        <f t="array" ref="C33">SUM(_xlfn._xlws.FILTER(Table7[Pagu],Table7[Jenis Belanja]="Belanja Modal",0))</f>
        <v>654200000</v>
      </c>
      <c r="D33" s="263" cm="1">
        <f t="array" ref="D33">SUM(_xlfn._xlws.FILTER(Table7[Realisasi],Table7[Jenis Belanja]="Belanja Modal",0))</f>
        <v>654200000</v>
      </c>
      <c r="E33" s="264">
        <f t="shared" si="8"/>
        <v>100</v>
      </c>
      <c r="F33" s="265">
        <f>C33-D33</f>
        <v>0</v>
      </c>
      <c r="G33" s="264">
        <f t="shared" si="9"/>
        <v>0</v>
      </c>
    </row>
    <row r="34" spans="1:7" x14ac:dyDescent="0.3">
      <c r="A34" s="261"/>
      <c r="B34" s="262"/>
      <c r="C34" s="263"/>
      <c r="D34" s="263"/>
      <c r="E34" s="264"/>
      <c r="F34" s="265"/>
      <c r="G34" s="264"/>
    </row>
    <row r="35" spans="1:7" x14ac:dyDescent="0.3">
      <c r="A35" s="471" t="s">
        <v>611</v>
      </c>
      <c r="B35" s="472"/>
      <c r="C35" s="272">
        <f>SUM(C29,C33)</f>
        <v>11375804000</v>
      </c>
      <c r="D35" s="272">
        <f>SUM(D29,D33)</f>
        <v>6067322932</v>
      </c>
      <c r="E35" s="273">
        <f>D35/C35*100</f>
        <v>53.33533288724032</v>
      </c>
      <c r="F35" s="272">
        <f>SUM(F29,F33)</f>
        <v>5308481068</v>
      </c>
      <c r="G35" s="273">
        <f>F35/C35*100</f>
        <v>46.66466711275968</v>
      </c>
    </row>
    <row r="36" spans="1:7" x14ac:dyDescent="0.3">
      <c r="A36" s="471" t="s">
        <v>4804</v>
      </c>
      <c r="B36" s="472"/>
      <c r="C36" s="272"/>
      <c r="D36" s="272"/>
      <c r="E36" s="273"/>
      <c r="F36" s="272"/>
      <c r="G36" s="273"/>
    </row>
    <row r="37" spans="1:7" x14ac:dyDescent="0.3">
      <c r="A37" s="471" t="s">
        <v>4805</v>
      </c>
      <c r="B37" s="472"/>
      <c r="C37" s="272">
        <f>C35</f>
        <v>11375804000</v>
      </c>
      <c r="D37" s="272">
        <f>D35-D36</f>
        <v>6067322932</v>
      </c>
      <c r="E37" s="273">
        <f>D37/C37*100</f>
        <v>53.33533288724032</v>
      </c>
      <c r="F37" s="272">
        <f>C37-D37</f>
        <v>5308481068</v>
      </c>
      <c r="G37" s="273">
        <f>F37/C37*100</f>
        <v>46.66466711275968</v>
      </c>
    </row>
    <row r="39" spans="1:7" x14ac:dyDescent="0.3">
      <c r="A39" s="280" t="s">
        <v>4813</v>
      </c>
    </row>
    <row r="40" spans="1:7" x14ac:dyDescent="0.3">
      <c r="A40" s="252" t="s">
        <v>592</v>
      </c>
      <c r="B40" s="252" t="s">
        <v>500</v>
      </c>
      <c r="C40" s="252" t="s">
        <v>4650</v>
      </c>
      <c r="D40" s="252" t="s">
        <v>4651</v>
      </c>
      <c r="E40" s="252" t="s">
        <v>4648</v>
      </c>
      <c r="F40" s="252" t="s">
        <v>4652</v>
      </c>
      <c r="G40" s="252" t="s">
        <v>4648</v>
      </c>
    </row>
    <row r="41" spans="1:7" x14ac:dyDescent="0.3">
      <c r="A41" s="464" t="s">
        <v>576</v>
      </c>
      <c r="B41" s="220" t="s">
        <v>560</v>
      </c>
      <c r="C41" s="225" cm="1">
        <f t="array" ref="C41">SUM(_xlfn._xlws.FILTER(Table7[Pagu],(Table7[Subkoordinator]=B41)*(Table7[Status Covid]="COVID"),0))</f>
        <v>88811000</v>
      </c>
      <c r="D41" s="225" cm="1">
        <f t="array" ref="D41">SUM(_xlfn._xlws.FILTER(Table7[Realisasi],(Table7[Subkoordinator]=B41)*(Table7[Status Covid]="COVID"),0))</f>
        <v>73441280</v>
      </c>
      <c r="E41" s="283">
        <f>IFERROR(D41/C41*100,0)</f>
        <v>82.693900530339718</v>
      </c>
      <c r="F41" s="225">
        <f t="shared" ref="F41:F46" si="10">C41-D41</f>
        <v>15369720</v>
      </c>
      <c r="G41" s="324">
        <f>IFERROR(F41/C41*100,0)</f>
        <v>17.306099469660293</v>
      </c>
    </row>
    <row r="42" spans="1:7" x14ac:dyDescent="0.3">
      <c r="A42" s="464"/>
      <c r="B42" s="220" t="s">
        <v>546</v>
      </c>
      <c r="C42" s="225" cm="1">
        <f t="array" ref="C42">SUM(_xlfn._xlws.FILTER(Table7[Pagu],(Table7[Subkoordinator]=B42)*(Table7[Status Covid]="COVID"),0))</f>
        <v>0</v>
      </c>
      <c r="D42" s="225" cm="1">
        <f t="array" ref="D42">SUM(_xlfn._xlws.FILTER(Table7[Realisasi],(Table7[Subkoordinator]=B42)*(Table7[Status Covid]="COVID"),0))</f>
        <v>0</v>
      </c>
      <c r="E42" s="283">
        <f>IFERROR(D42/C42*100,0)</f>
        <v>0</v>
      </c>
      <c r="F42" s="225">
        <f t="shared" si="10"/>
        <v>0</v>
      </c>
      <c r="G42" s="327">
        <f t="shared" ref="G42:G53" si="11">IFERROR(F42/C42*100,0)</f>
        <v>0</v>
      </c>
    </row>
    <row r="43" spans="1:7" x14ac:dyDescent="0.3">
      <c r="A43" s="464"/>
      <c r="B43" s="247" t="s">
        <v>4653</v>
      </c>
      <c r="C43" s="250">
        <v>88811000</v>
      </c>
      <c r="D43" s="250">
        <f>SUM(D41:D42)</f>
        <v>73441280</v>
      </c>
      <c r="E43" s="284">
        <f t="shared" ref="E43:E53" si="12">IFERROR(D43/C43*100,0)</f>
        <v>82.693900530339718</v>
      </c>
      <c r="F43" s="250">
        <f t="shared" si="10"/>
        <v>15369720</v>
      </c>
      <c r="G43" s="325">
        <f t="shared" si="11"/>
        <v>17.306099469660293</v>
      </c>
    </row>
    <row r="44" spans="1:7" x14ac:dyDescent="0.3">
      <c r="A44" s="464" t="s">
        <v>542</v>
      </c>
      <c r="B44" s="220" t="s">
        <v>543</v>
      </c>
      <c r="C44" s="225" cm="1">
        <f t="array" ref="C44">SUM(_xlfn._xlws.FILTER(Table7[Pagu],(Table7[Subkoordinator]=B44)*(Table7[Status Covid]="COVID"),0))</f>
        <v>0</v>
      </c>
      <c r="D44" s="225" cm="1">
        <f t="array" ref="D44">SUM(_xlfn._xlws.FILTER(Table7[Realisasi],(Table7[Subkoordinator]=B44)*(Table7[Status Covid]="COVID"),0))</f>
        <v>0</v>
      </c>
      <c r="E44" s="283">
        <f t="shared" si="12"/>
        <v>0</v>
      </c>
      <c r="F44" s="225">
        <f t="shared" si="10"/>
        <v>0</v>
      </c>
      <c r="G44" s="327">
        <f t="shared" si="11"/>
        <v>0</v>
      </c>
    </row>
    <row r="45" spans="1:7" x14ac:dyDescent="0.3">
      <c r="A45" s="464"/>
      <c r="B45" s="220" t="s">
        <v>591</v>
      </c>
      <c r="C45" s="225" cm="1">
        <f t="array" ref="C45">SUM(_xlfn._xlws.FILTER(Table7[Pagu],(Table7[Subkoordinator]=B45)*(Table7[Status Covid]="COVID"),0))</f>
        <v>0</v>
      </c>
      <c r="D45" s="225" cm="1">
        <f t="array" ref="D45">SUM(_xlfn._xlws.FILTER(Table7[Realisasi],(Table7[Subkoordinator]=B45)*(Table7[Status Covid]="COVID"),0))</f>
        <v>0</v>
      </c>
      <c r="E45" s="283">
        <f t="shared" si="12"/>
        <v>0</v>
      </c>
      <c r="F45" s="225">
        <f t="shared" si="10"/>
        <v>0</v>
      </c>
      <c r="G45" s="327">
        <f t="shared" si="11"/>
        <v>0</v>
      </c>
    </row>
    <row r="46" spans="1:7" x14ac:dyDescent="0.3">
      <c r="A46" s="464"/>
      <c r="B46" s="247" t="s">
        <v>4657</v>
      </c>
      <c r="C46" s="250">
        <f>SUM(C44:C45)</f>
        <v>0</v>
      </c>
      <c r="D46" s="250">
        <f>SUM(D44:D45)</f>
        <v>0</v>
      </c>
      <c r="E46" s="285">
        <f t="shared" si="12"/>
        <v>0</v>
      </c>
      <c r="F46" s="250">
        <f t="shared" si="10"/>
        <v>0</v>
      </c>
      <c r="G46" s="420">
        <f t="shared" si="11"/>
        <v>0</v>
      </c>
    </row>
    <row r="47" spans="1:7" x14ac:dyDescent="0.3">
      <c r="A47" s="464" t="s">
        <v>531</v>
      </c>
      <c r="B47" s="220" t="s">
        <v>532</v>
      </c>
      <c r="C47" s="225" cm="1">
        <f t="array" ref="C47">SUM(_xlfn._xlws.FILTER(Table7[Pagu],(Table7[Subkoordinator]=B47)*(Table7[Status Covid]="COVID"),0))</f>
        <v>0</v>
      </c>
      <c r="D47" s="225" cm="1">
        <f t="array" ref="D47">SUM(_xlfn._xlws.FILTER(Table7[Realisasi],(Table7[Subkoordinator]=B47)*(Table7[Status Covid]="COVID"),0))</f>
        <v>0</v>
      </c>
      <c r="E47" s="283">
        <f t="shared" si="12"/>
        <v>0</v>
      </c>
      <c r="F47" s="225">
        <f t="shared" ref="F47:F53" si="13">C47-D47</f>
        <v>0</v>
      </c>
      <c r="G47" s="327">
        <f t="shared" si="11"/>
        <v>0</v>
      </c>
    </row>
    <row r="48" spans="1:7" x14ac:dyDescent="0.3">
      <c r="A48" s="464"/>
      <c r="B48" s="220" t="s">
        <v>534</v>
      </c>
      <c r="C48" s="225" cm="1">
        <f t="array" ref="C48">SUM(_xlfn._xlws.FILTER(Table7[Pagu],(Table7[Subkoordinator]=B48)*(Table7[Status Covid]="COVID"),0))</f>
        <v>0</v>
      </c>
      <c r="D48" s="225" cm="1">
        <f t="array" ref="D48">SUM(_xlfn._xlws.FILTER(Table7[Realisasi],(Table7[Subkoordinator]=B48)*(Table7[Status Covid]="COVID"),0))</f>
        <v>0</v>
      </c>
      <c r="E48" s="283">
        <f t="shared" si="12"/>
        <v>0</v>
      </c>
      <c r="F48" s="225">
        <f t="shared" si="13"/>
        <v>0</v>
      </c>
      <c r="G48" s="327">
        <f t="shared" si="11"/>
        <v>0</v>
      </c>
    </row>
    <row r="49" spans="1:7" x14ac:dyDescent="0.3">
      <c r="A49" s="464"/>
      <c r="B49" s="247" t="s">
        <v>4658</v>
      </c>
      <c r="C49" s="250">
        <f>SUM(C47:C48)</f>
        <v>0</v>
      </c>
      <c r="D49" s="250">
        <f>SUM(D47:D48)</f>
        <v>0</v>
      </c>
      <c r="E49" s="284">
        <f t="shared" si="12"/>
        <v>0</v>
      </c>
      <c r="F49" s="250">
        <f t="shared" si="13"/>
        <v>0</v>
      </c>
      <c r="G49" s="328">
        <f t="shared" si="11"/>
        <v>0</v>
      </c>
    </row>
    <row r="50" spans="1:7" x14ac:dyDescent="0.3">
      <c r="A50" s="464" t="s">
        <v>535</v>
      </c>
      <c r="B50" s="220" t="s">
        <v>536</v>
      </c>
      <c r="C50" s="225" cm="1">
        <f t="array" ref="C50">SUM(_xlfn._xlws.FILTER(Table7[Pagu],(Table7[Subkoordinator]=B50)*(Table7[Status Covid]="COVID"),0))</f>
        <v>8000000</v>
      </c>
      <c r="D50" s="225" cm="1">
        <f t="array" ref="D50">SUM(_xlfn._xlws.FILTER(Table7[Realisasi],(Table7[Subkoordinator]=B50)*(Table7[Status Covid]="COVID"),0))</f>
        <v>365000</v>
      </c>
      <c r="E50" s="283">
        <f t="shared" si="12"/>
        <v>4.5625</v>
      </c>
      <c r="F50" s="225">
        <f t="shared" si="13"/>
        <v>7635000</v>
      </c>
      <c r="G50" s="324">
        <f t="shared" si="11"/>
        <v>95.4375</v>
      </c>
    </row>
    <row r="51" spans="1:7" x14ac:dyDescent="0.3">
      <c r="A51" s="464"/>
      <c r="B51" s="220" t="s">
        <v>538</v>
      </c>
      <c r="C51" s="225" cm="1">
        <f t="array" ref="C51">SUM(_xlfn._xlws.FILTER(Table7[Pagu],(Table7[Subkoordinator]=B51)*(Table7[Status Covid]="COVID"),0))</f>
        <v>5000000</v>
      </c>
      <c r="D51" s="225" cm="1">
        <f t="array" ref="D51">SUM(_xlfn._xlws.FILTER(Table7[Realisasi],(Table7[Subkoordinator]=B51)*(Table7[Status Covid]="COVID"),0))</f>
        <v>0</v>
      </c>
      <c r="E51" s="283">
        <f t="shared" si="12"/>
        <v>0</v>
      </c>
      <c r="F51" s="225">
        <f t="shared" si="13"/>
        <v>5000000</v>
      </c>
      <c r="G51" s="324">
        <f t="shared" si="11"/>
        <v>100</v>
      </c>
    </row>
    <row r="52" spans="1:7" x14ac:dyDescent="0.3">
      <c r="A52" s="464"/>
      <c r="B52" s="247" t="s">
        <v>4659</v>
      </c>
      <c r="C52" s="250">
        <f>SUM(C50:C51)</f>
        <v>13000000</v>
      </c>
      <c r="D52" s="250">
        <f>SUM(D50:D51)</f>
        <v>365000</v>
      </c>
      <c r="E52" s="285">
        <f t="shared" si="12"/>
        <v>2.8076923076923075</v>
      </c>
      <c r="F52" s="250">
        <f t="shared" si="13"/>
        <v>12635000</v>
      </c>
      <c r="G52" s="325">
        <f t="shared" si="11"/>
        <v>97.192307692307693</v>
      </c>
    </row>
    <row r="53" spans="1:7" x14ac:dyDescent="0.3">
      <c r="A53" s="463" t="s">
        <v>4655</v>
      </c>
      <c r="B53" s="463"/>
      <c r="C53" s="232">
        <f>C43+C46+C49+C52</f>
        <v>101811000</v>
      </c>
      <c r="D53" s="232">
        <f>D43+D46+D49+D52</f>
        <v>73806280</v>
      </c>
      <c r="E53" s="286">
        <f t="shared" si="12"/>
        <v>72.493424089734901</v>
      </c>
      <c r="F53" s="232">
        <f t="shared" si="13"/>
        <v>28004720</v>
      </c>
      <c r="G53" s="326">
        <f t="shared" si="11"/>
        <v>27.506575910265095</v>
      </c>
    </row>
    <row r="54" spans="1:7" x14ac:dyDescent="0.3">
      <c r="A54" s="463" t="s">
        <v>4656</v>
      </c>
      <c r="B54" s="463"/>
      <c r="C54" s="463"/>
      <c r="D54" s="232">
        <f>D53</f>
        <v>73806280</v>
      </c>
      <c r="E54" s="286">
        <f>E53</f>
        <v>72.493424089734901</v>
      </c>
      <c r="F54" s="232">
        <f>F53</f>
        <v>28004720</v>
      </c>
      <c r="G54" s="326">
        <f>G53</f>
        <v>27.506575910265095</v>
      </c>
    </row>
  </sheetData>
  <mergeCells count="23">
    <mergeCell ref="D27:E27"/>
    <mergeCell ref="F27:G27"/>
    <mergeCell ref="A1:G1"/>
    <mergeCell ref="A3:G3"/>
    <mergeCell ref="A50:A52"/>
    <mergeCell ref="A36:B36"/>
    <mergeCell ref="A37:B37"/>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s>
  <pageMargins left="0.7" right="0.7" top="0.75" bottom="0.75" header="0.3" footer="0.3"/>
  <pageSetup paperSize="9" scale="63" fitToHeight="0" orientation="portrait" horizontalDpi="0" verticalDpi="0" r:id="rId1"/>
  <ignoredErrors>
    <ignoredError sqref="E42 E35" formula="1"/>
    <ignoredError sqref="C29" formulaRange="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25" zoomScale="85" zoomScaleNormal="100" zoomScaleSheetLayoutView="85" workbookViewId="0">
      <selection activeCell="AB34" sqref="AB34"/>
    </sheetView>
  </sheetViews>
  <sheetFormatPr defaultRowHeight="14.4" x14ac:dyDescent="0.3"/>
  <sheetData>
    <row r="1" spans="2:16" x14ac:dyDescent="0.3">
      <c r="B1" s="474" t="str">
        <f>PERSUBBID!A1</f>
        <v>REALISASI TANPA GAJI</v>
      </c>
      <c r="C1" s="474"/>
      <c r="D1" s="474"/>
      <c r="E1" s="474"/>
      <c r="F1" s="474"/>
      <c r="G1" s="474"/>
      <c r="H1" s="474"/>
      <c r="I1" s="474"/>
      <c r="J1" s="474"/>
      <c r="K1" s="474"/>
      <c r="L1" s="474"/>
      <c r="M1" s="474"/>
      <c r="N1" s="474"/>
      <c r="O1" s="474"/>
      <c r="P1" s="474"/>
    </row>
    <row r="2" spans="2:16" ht="15.6" x14ac:dyDescent="0.3">
      <c r="B2" s="465" t="str">
        <f>PERSUBBID!A2</f>
        <v>Berdasarkan DIPA Revisi 1 POK 2 TA. 2022 (Tanggal 22 Maret 2022)</v>
      </c>
      <c r="C2" s="465"/>
      <c r="D2" s="465"/>
      <c r="E2" s="465"/>
      <c r="F2" s="465"/>
      <c r="G2" s="465"/>
      <c r="H2" s="465"/>
      <c r="I2" s="465"/>
      <c r="J2" s="465"/>
      <c r="K2" s="465"/>
      <c r="L2" s="465"/>
      <c r="M2" s="465"/>
      <c r="N2" s="465"/>
      <c r="O2" s="465"/>
      <c r="P2" s="465"/>
    </row>
    <row r="3" spans="2:16" ht="15.6" x14ac:dyDescent="0.3">
      <c r="B3" s="465" t="str">
        <f>PERSUBBID!A3</f>
        <v>SAMPAI DENGAN 15 JUNI 2022</v>
      </c>
      <c r="C3" s="465"/>
      <c r="D3" s="465"/>
      <c r="E3" s="465"/>
      <c r="F3" s="465"/>
      <c r="G3" s="465"/>
      <c r="H3" s="465"/>
      <c r="I3" s="465"/>
      <c r="J3" s="465"/>
      <c r="K3" s="465"/>
      <c r="L3" s="465"/>
      <c r="M3" s="465"/>
      <c r="N3" s="465"/>
      <c r="O3" s="465"/>
      <c r="P3" s="465"/>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39"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65" t="s">
        <v>5152</v>
      </c>
      <c r="B1" s="465"/>
      <c r="C1" s="465"/>
      <c r="D1" s="465"/>
      <c r="E1" s="465"/>
      <c r="F1" s="465"/>
      <c r="G1" s="465"/>
    </row>
    <row r="2" spans="1:10" ht="15.6" x14ac:dyDescent="0.3">
      <c r="A2" s="465" t="str">
        <f>'PER BULAN'!B5</f>
        <v>Berdasarkan DIPA Revisi 1 POK 2 TA. 2022 (Tanggal 22 Maret 2022)</v>
      </c>
      <c r="B2" s="465"/>
      <c r="C2" s="465"/>
      <c r="D2" s="465"/>
      <c r="E2" s="465"/>
      <c r="F2" s="465"/>
      <c r="G2" s="465"/>
    </row>
    <row r="3" spans="1:10" ht="15.6" x14ac:dyDescent="0.3">
      <c r="A3" s="465" t="str">
        <f>PERSUBBID!A3</f>
        <v>SAMPAI DENGAN 15 JUNI 2022</v>
      </c>
      <c r="B3" s="465"/>
      <c r="C3" s="465"/>
      <c r="D3" s="465"/>
      <c r="E3" s="465"/>
      <c r="F3" s="465"/>
      <c r="G3" s="465"/>
    </row>
    <row r="4" spans="1:10" ht="15.6" x14ac:dyDescent="0.3">
      <c r="A4" s="465"/>
      <c r="B4" s="465"/>
      <c r="C4" s="465"/>
      <c r="D4" s="465"/>
      <c r="E4" s="465"/>
      <c r="F4" s="465"/>
      <c r="G4" s="465"/>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66" t="s">
        <v>576</v>
      </c>
      <c r="B7" s="282" t="s">
        <v>560</v>
      </c>
      <c r="C7" s="225">
        <f>SUM('PER BULAN'!F78+'PER BULAN'!F82+'PER BULAN'!F86+'PER BULAN'!F91+'PER BULAN'!F95)</f>
        <v>670684000</v>
      </c>
      <c r="D7" s="225">
        <f>SUM('PER BULAN'!AR78+'PER BULAN'!AR82+'PER BULAN'!AR86+'PER BULAN'!AR91+'PER BULAN'!AR95)</f>
        <v>390447219</v>
      </c>
      <c r="E7" s="224">
        <f t="shared" ref="E7:E15" si="0">D7/C7*100</f>
        <v>58.216271597354343</v>
      </c>
      <c r="F7" s="225">
        <f t="shared" ref="F7:F15" si="1">C7-D7</f>
        <v>280236781</v>
      </c>
      <c r="G7" s="324">
        <f t="shared" ref="G7:G15" si="2">F7/C7*100</f>
        <v>41.783728402645657</v>
      </c>
    </row>
    <row r="8" spans="1:10" x14ac:dyDescent="0.3">
      <c r="A8" s="467"/>
      <c r="B8" s="251" t="s">
        <v>4654</v>
      </c>
      <c r="C8" s="225">
        <f>SUM('PER BULAN'!F125+'PER BULAN'!F128+'PER BULAN'!F131+'PER BULAN'!F134)</f>
        <v>2095658000</v>
      </c>
      <c r="D8" s="225">
        <f>SUM('PER BULAN'!AR125+'PER BULAN'!AR128+'PER BULAN'!AR131+'PER BULAN'!AR134+'PER BULAN'!AR137)</f>
        <v>663321641</v>
      </c>
      <c r="E8" s="224">
        <f t="shared" si="0"/>
        <v>31.652189479390241</v>
      </c>
      <c r="F8" s="225">
        <f t="shared" si="1"/>
        <v>1432336359</v>
      </c>
      <c r="G8" s="324">
        <f t="shared" si="2"/>
        <v>68.347810520609755</v>
      </c>
    </row>
    <row r="9" spans="1:10" x14ac:dyDescent="0.3">
      <c r="A9" s="467"/>
      <c r="B9" s="251" t="s">
        <v>4660</v>
      </c>
      <c r="C9" s="225">
        <f>SUM('PER BULAN'!F137)</f>
        <v>0</v>
      </c>
      <c r="D9" s="225">
        <f>SUM('PER BULAN'!AR137)</f>
        <v>0</v>
      </c>
      <c r="E9" s="224" t="e">
        <f t="shared" si="0"/>
        <v>#DIV/0!</v>
      </c>
      <c r="F9" s="225">
        <f t="shared" si="1"/>
        <v>0</v>
      </c>
      <c r="G9" s="324" t="e">
        <f t="shared" si="2"/>
        <v>#DIV/0!</v>
      </c>
    </row>
    <row r="10" spans="1:10" x14ac:dyDescent="0.3">
      <c r="A10" s="467"/>
      <c r="B10" s="251" t="s">
        <v>43</v>
      </c>
      <c r="C10" s="225">
        <f>SUM('PER BULAN'!F144+'PER BULAN'!F65)</f>
        <v>654200000</v>
      </c>
      <c r="D10" s="225">
        <f>SUM('PER BULAN'!AR144+'PER BULAN'!AR65)</f>
        <v>654200000</v>
      </c>
      <c r="E10" s="224">
        <f t="shared" si="0"/>
        <v>100</v>
      </c>
      <c r="F10" s="225">
        <f t="shared" si="1"/>
        <v>0</v>
      </c>
      <c r="G10" s="324">
        <f t="shared" si="2"/>
        <v>0</v>
      </c>
    </row>
    <row r="11" spans="1:10" s="274" customFormat="1" x14ac:dyDescent="0.3">
      <c r="A11" s="467"/>
      <c r="B11" s="282" t="s">
        <v>546</v>
      </c>
      <c r="C11" s="225">
        <f>SUM('PER BULAN'!F184+'PER BULAN'!F187+'PER BULAN'!F190+'PER BULAN'!F193+'PER BULAN'!F197+'PER BULAN'!F200)</f>
        <v>197920000</v>
      </c>
      <c r="D11" s="225">
        <f>SUM('PER BULAN'!AR184+'PER BULAN'!AR187+'PER BULAN'!AR190+'PER BULAN'!AR193+'PER BULAN'!AR197+'PER BULAN'!AR200)</f>
        <v>136548520</v>
      </c>
      <c r="E11" s="224">
        <f t="shared" si="0"/>
        <v>68.991774454324982</v>
      </c>
      <c r="F11" s="225">
        <f t="shared" si="1"/>
        <v>61371480</v>
      </c>
      <c r="G11" s="324">
        <f t="shared" si="2"/>
        <v>31.008225545675021</v>
      </c>
      <c r="H11"/>
      <c r="J11"/>
    </row>
    <row r="12" spans="1:10" s="274" customFormat="1" x14ac:dyDescent="0.3">
      <c r="A12" s="467"/>
      <c r="B12" s="343" t="s">
        <v>5001</v>
      </c>
      <c r="C12" s="253">
        <v>6155047000</v>
      </c>
      <c r="D12" s="225">
        <v>2939763957</v>
      </c>
      <c r="E12" s="224">
        <f t="shared" si="0"/>
        <v>47.761844174382425</v>
      </c>
      <c r="F12" s="225">
        <f t="shared" si="1"/>
        <v>3215283043</v>
      </c>
      <c r="G12" s="324">
        <f t="shared" si="2"/>
        <v>52.238155825617582</v>
      </c>
      <c r="H12"/>
      <c r="J12"/>
    </row>
    <row r="13" spans="1:10" s="274" customFormat="1" x14ac:dyDescent="0.3">
      <c r="A13" s="467"/>
      <c r="B13" s="343" t="s">
        <v>5002</v>
      </c>
      <c r="C13" s="253">
        <v>323949000</v>
      </c>
      <c r="D13" s="225">
        <v>0</v>
      </c>
      <c r="E13" s="224">
        <f t="shared" si="0"/>
        <v>0</v>
      </c>
      <c r="F13" s="225">
        <f t="shared" si="1"/>
        <v>323949000</v>
      </c>
      <c r="G13" s="324">
        <f t="shared" si="2"/>
        <v>100</v>
      </c>
      <c r="H13"/>
      <c r="J13"/>
    </row>
    <row r="14" spans="1:10" s="274" customFormat="1" x14ac:dyDescent="0.3">
      <c r="A14" s="468"/>
      <c r="B14" s="247" t="s">
        <v>4653</v>
      </c>
      <c r="C14" s="250">
        <f>SUM(C7:C13)</f>
        <v>10097458000</v>
      </c>
      <c r="D14" s="250">
        <f>SUM(D7:D12)</f>
        <v>4784281337</v>
      </c>
      <c r="E14" s="249">
        <f t="shared" si="0"/>
        <v>47.381047160582398</v>
      </c>
      <c r="F14" s="250">
        <f t="shared" si="1"/>
        <v>5313176663</v>
      </c>
      <c r="G14" s="325">
        <f t="shared" si="2"/>
        <v>52.618952839417602</v>
      </c>
      <c r="H14" s="245"/>
      <c r="J14"/>
    </row>
    <row r="15" spans="1:10" s="274" customFormat="1" ht="15" customHeight="1" x14ac:dyDescent="0.3">
      <c r="A15" s="466" t="s">
        <v>542</v>
      </c>
      <c r="B15" s="282" t="s">
        <v>543</v>
      </c>
      <c r="C15" s="225">
        <f>SUM('PER BULAN'!F70+'PER BULAN'!F149+'PER BULAN'!F154+'PER BULAN'!F160)</f>
        <v>293918000</v>
      </c>
      <c r="D15" s="225">
        <f>SUM('PER BULAN'!AR70+'PER BULAN'!AR149+'PER BULAN'!AR154+'PER BULAN'!AR160)</f>
        <v>130677295</v>
      </c>
      <c r="E15" s="224">
        <f t="shared" si="0"/>
        <v>44.460460060288924</v>
      </c>
      <c r="F15" s="225">
        <f t="shared" si="1"/>
        <v>163240705</v>
      </c>
      <c r="G15" s="324">
        <f t="shared" si="2"/>
        <v>55.539539939711076</v>
      </c>
      <c r="H15"/>
      <c r="J15"/>
    </row>
    <row r="16" spans="1:10" s="274" customFormat="1" x14ac:dyDescent="0.3">
      <c r="A16" s="467"/>
      <c r="B16" s="251" t="s">
        <v>4728</v>
      </c>
      <c r="C16" s="225">
        <f>SUM('PER BULAN'!F208+'PER BULAN'!F215+'PER BULAN'!F221+'PER BULAN'!F225+'PER BULAN'!F228)</f>
        <v>6082500000</v>
      </c>
      <c r="D16" s="225">
        <f>SUM('PER BULAN'!AR208+'PER BULAN'!AR215+'PER BULAN'!AR221+'PER BULAN'!AR225+'PER BULAN'!AR228)</f>
        <v>3476713912</v>
      </c>
      <c r="E16" s="224">
        <f>D16/C16*100</f>
        <v>57.159291607069463</v>
      </c>
      <c r="F16" s="225">
        <f>C16-D16</f>
        <v>2605786088</v>
      </c>
      <c r="G16" s="324">
        <f>F16/C16*100</f>
        <v>42.840708392930537</v>
      </c>
      <c r="H16"/>
      <c r="J16"/>
    </row>
    <row r="17" spans="1:10" s="274" customFormat="1" x14ac:dyDescent="0.3">
      <c r="A17" s="467"/>
      <c r="B17" s="282" t="s">
        <v>591</v>
      </c>
      <c r="C17" s="225">
        <f>SUM('PER BULAN'!F167+'PER BULAN'!F171+'PER BULAN'!F178)</f>
        <v>169798000</v>
      </c>
      <c r="D17" s="225">
        <f>SUM('PER BULAN'!AR167+'PER BULAN'!AR171+'PER BULAN'!AR178)</f>
        <v>105796297</v>
      </c>
      <c r="E17" s="224">
        <f t="shared" ref="E17:E24" si="3">D17/C17*100</f>
        <v>62.307151438768415</v>
      </c>
      <c r="F17" s="225">
        <f t="shared" ref="F17:F24" si="4">C17-D17</f>
        <v>64001703</v>
      </c>
      <c r="G17" s="324">
        <f t="shared" ref="G17:G24" si="5">F17/C17*100</f>
        <v>37.692848561231578</v>
      </c>
      <c r="H17"/>
      <c r="J17"/>
    </row>
    <row r="18" spans="1:10" s="274" customFormat="1" x14ac:dyDescent="0.3">
      <c r="A18" s="468"/>
      <c r="B18" s="247" t="s">
        <v>4657</v>
      </c>
      <c r="C18" s="250">
        <f>SUM(C15:C17)</f>
        <v>6546216000</v>
      </c>
      <c r="D18" s="250">
        <f>SUM(D15:D17)</f>
        <v>3713187504</v>
      </c>
      <c r="E18" s="249">
        <f t="shared" si="3"/>
        <v>56.722654797825186</v>
      </c>
      <c r="F18" s="250">
        <f t="shared" si="4"/>
        <v>2833028496</v>
      </c>
      <c r="G18" s="325">
        <f t="shared" si="5"/>
        <v>43.277345202174814</v>
      </c>
      <c r="H18"/>
      <c r="I18" s="274" t="s">
        <v>4644</v>
      </c>
      <c r="J18"/>
    </row>
    <row r="19" spans="1:10" ht="15" customHeight="1" x14ac:dyDescent="0.3">
      <c r="A19" s="466" t="s">
        <v>531</v>
      </c>
      <c r="B19" s="282" t="s">
        <v>532</v>
      </c>
      <c r="C19" s="225">
        <f>SUM('PER BULAN'!F20+'PER BULAN'!F24+'PER BULAN'!F108)</f>
        <v>207606000</v>
      </c>
      <c r="D19" s="225">
        <f>SUM('PER BULAN'!AR20+'PER BULAN'!AR24+'PER BULAN'!AR108)</f>
        <v>133815590</v>
      </c>
      <c r="E19" s="224">
        <f t="shared" si="3"/>
        <v>64.456513780911919</v>
      </c>
      <c r="F19" s="225">
        <f t="shared" si="4"/>
        <v>73790410</v>
      </c>
      <c r="G19" s="324">
        <f t="shared" si="5"/>
        <v>35.543486219088081</v>
      </c>
    </row>
    <row r="20" spans="1:10" x14ac:dyDescent="0.3">
      <c r="A20" s="467"/>
      <c r="B20" s="282" t="s">
        <v>534</v>
      </c>
      <c r="C20" s="225">
        <f>SUM('PER BULAN'!F29+'PER BULAN'!F113+'PER BULAN'!F118)</f>
        <v>164763000</v>
      </c>
      <c r="D20" s="225">
        <f>SUM('PER BULAN'!AR29+'PER BULAN'!AR113+'PER BULAN'!AR118)</f>
        <v>73365500</v>
      </c>
      <c r="E20" s="224">
        <f t="shared" si="3"/>
        <v>44.527897646923151</v>
      </c>
      <c r="F20" s="225">
        <f t="shared" si="4"/>
        <v>91397500</v>
      </c>
      <c r="G20" s="324">
        <f t="shared" si="5"/>
        <v>55.472102353076849</v>
      </c>
      <c r="J20" s="276"/>
    </row>
    <row r="21" spans="1:10" x14ac:dyDescent="0.3">
      <c r="A21" s="468"/>
      <c r="B21" s="247" t="s">
        <v>4658</v>
      </c>
      <c r="C21" s="250">
        <f>SUM(C19:C20)</f>
        <v>372369000</v>
      </c>
      <c r="D21" s="250">
        <f>SUM(D19:D20)</f>
        <v>207181090</v>
      </c>
      <c r="E21" s="249">
        <f t="shared" si="3"/>
        <v>55.638651445206236</v>
      </c>
      <c r="F21" s="250">
        <f t="shared" si="4"/>
        <v>165187910</v>
      </c>
      <c r="G21" s="325">
        <f t="shared" si="5"/>
        <v>44.361348554793764</v>
      </c>
    </row>
    <row r="22" spans="1:10" ht="15" customHeight="1" x14ac:dyDescent="0.3">
      <c r="A22" s="466" t="s">
        <v>535</v>
      </c>
      <c r="B22" s="282" t="s">
        <v>536</v>
      </c>
      <c r="C22" s="225">
        <f>SUM('PER BULAN'!F33+'PER BULAN'!F41+'PER BULAN'!F48)</f>
        <v>686300000</v>
      </c>
      <c r="D22" s="225">
        <f>SUM('PER BULAN'!AR33+'PER BULAN'!AR41+'PER BULAN'!AR48)</f>
        <v>214180240</v>
      </c>
      <c r="E22" s="224">
        <f t="shared" si="3"/>
        <v>31.207961532857354</v>
      </c>
      <c r="F22" s="225">
        <f t="shared" si="4"/>
        <v>472119760</v>
      </c>
      <c r="G22" s="324">
        <f t="shared" si="5"/>
        <v>68.792038467142646</v>
      </c>
    </row>
    <row r="23" spans="1:10" x14ac:dyDescent="0.3">
      <c r="A23" s="467"/>
      <c r="B23" s="282" t="s">
        <v>538</v>
      </c>
      <c r="C23" s="225">
        <f>SUM('PER BULAN'!F54+'PER BULAN'!F102)</f>
        <v>152457000</v>
      </c>
      <c r="D23" s="225">
        <f>SUM('PER BULAN'!AR54+'PER BULAN'!AR102)</f>
        <v>88256718</v>
      </c>
      <c r="E23" s="224">
        <f t="shared" si="3"/>
        <v>57.889580668647554</v>
      </c>
      <c r="F23" s="225">
        <f t="shared" si="4"/>
        <v>64200282</v>
      </c>
      <c r="G23" s="324">
        <f t="shared" si="5"/>
        <v>42.110419331352446</v>
      </c>
    </row>
    <row r="24" spans="1:10" x14ac:dyDescent="0.3">
      <c r="A24" s="468"/>
      <c r="B24" s="247" t="s">
        <v>4659</v>
      </c>
      <c r="C24" s="250">
        <f>SUM(C22:C23)</f>
        <v>838757000</v>
      </c>
      <c r="D24" s="250">
        <f>SUM(D22:D23)</f>
        <v>302436958</v>
      </c>
      <c r="E24" s="249">
        <f t="shared" si="3"/>
        <v>36.057756656576338</v>
      </c>
      <c r="F24" s="250">
        <f t="shared" si="4"/>
        <v>536320042</v>
      </c>
      <c r="G24" s="325">
        <f t="shared" si="5"/>
        <v>63.942243343423669</v>
      </c>
    </row>
    <row r="25" spans="1:10" x14ac:dyDescent="0.3">
      <c r="A25" s="463" t="s">
        <v>4655</v>
      </c>
      <c r="B25" s="463"/>
      <c r="C25" s="232">
        <f>C14++C18+C21+C24</f>
        <v>17854800000</v>
      </c>
      <c r="D25" s="232">
        <f>D14++D18+D21+D24</f>
        <v>9007086889</v>
      </c>
      <c r="E25" s="231">
        <f>D25/C25*100</f>
        <v>50.44630513363353</v>
      </c>
      <c r="F25" s="232">
        <f>C25-D25</f>
        <v>8847713111</v>
      </c>
      <c r="G25" s="326">
        <f>F25/C25*100</f>
        <v>49.553694866366463</v>
      </c>
    </row>
    <row r="26" spans="1:10" x14ac:dyDescent="0.3">
      <c r="A26" s="463" t="s">
        <v>4656</v>
      </c>
      <c r="B26" s="463"/>
      <c r="C26" s="463"/>
      <c r="D26" s="232">
        <f>D25</f>
        <v>9007086889</v>
      </c>
      <c r="E26" s="231">
        <f>D26/C25*100</f>
        <v>50.44630513363353</v>
      </c>
      <c r="F26" s="232">
        <f>C25-D26</f>
        <v>8847713111</v>
      </c>
      <c r="G26" s="326">
        <f>F26/C25*100</f>
        <v>49.553694866366463</v>
      </c>
    </row>
    <row r="28" spans="1:10" x14ac:dyDescent="0.3">
      <c r="A28" s="260" t="s">
        <v>5151</v>
      </c>
    </row>
    <row r="29" spans="1:10" x14ac:dyDescent="0.3">
      <c r="A29" s="469" t="s">
        <v>4796</v>
      </c>
      <c r="B29" s="469" t="s">
        <v>4797</v>
      </c>
      <c r="C29" s="469" t="s">
        <v>4798</v>
      </c>
      <c r="D29" s="473" t="s">
        <v>4647</v>
      </c>
      <c r="E29" s="473"/>
      <c r="F29" s="473" t="s">
        <v>4799</v>
      </c>
      <c r="G29" s="473"/>
    </row>
    <row r="30" spans="1:10" x14ac:dyDescent="0.3">
      <c r="A30" s="470"/>
      <c r="B30" s="470"/>
      <c r="C30" s="470"/>
      <c r="D30" s="271" t="s">
        <v>4800</v>
      </c>
      <c r="E30" s="340" t="s">
        <v>4648</v>
      </c>
      <c r="F30" s="271" t="s">
        <v>4800</v>
      </c>
      <c r="G30" s="271" t="s">
        <v>4648</v>
      </c>
    </row>
    <row r="31" spans="1:10" x14ac:dyDescent="0.3">
      <c r="A31" s="261">
        <v>1</v>
      </c>
      <c r="B31" s="262" t="s">
        <v>4801</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4802</v>
      </c>
      <c r="C32" s="267">
        <v>2095658000</v>
      </c>
      <c r="D32" s="267">
        <f>D8</f>
        <v>663321641</v>
      </c>
      <c r="E32" s="268">
        <f>D32/C32*100</f>
        <v>31.652189479390241</v>
      </c>
      <c r="F32" s="269">
        <f>C32-D32</f>
        <v>1432336359</v>
      </c>
      <c r="G32" s="268">
        <f>F32/C32*100</f>
        <v>68.347810520609755</v>
      </c>
      <c r="J32" s="402">
        <f>D31</f>
        <v>5413122932</v>
      </c>
    </row>
    <row r="33" spans="1:13" x14ac:dyDescent="0.3">
      <c r="A33" s="270"/>
      <c r="B33" s="266" t="s">
        <v>4807</v>
      </c>
      <c r="C33" s="267">
        <v>100000000</v>
      </c>
      <c r="D33" s="267">
        <f>D9</f>
        <v>0</v>
      </c>
      <c r="E33" s="268">
        <f>D33/C33*100</f>
        <v>0</v>
      </c>
      <c r="F33" s="269">
        <f>C33-D33</f>
        <v>100000000</v>
      </c>
      <c r="G33" s="268">
        <f>F33/C33*100</f>
        <v>100</v>
      </c>
      <c r="J33" s="403">
        <f>J31-J32</f>
        <v>0</v>
      </c>
    </row>
    <row r="34" spans="1:13" x14ac:dyDescent="0.3">
      <c r="A34" s="270"/>
      <c r="B34" s="266" t="s">
        <v>4808</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4" t="s">
        <v>5003</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5004</v>
      </c>
      <c r="C36" s="267">
        <f>C12</f>
        <v>6155047000</v>
      </c>
      <c r="D36" s="267">
        <f>D12</f>
        <v>2939763957</v>
      </c>
      <c r="E36" s="268">
        <f t="shared" si="6"/>
        <v>47.761844174382425</v>
      </c>
      <c r="F36" s="269">
        <f t="shared" si="7"/>
        <v>3215283043</v>
      </c>
      <c r="G36" s="268">
        <f t="shared" si="8"/>
        <v>52.238155825617582</v>
      </c>
      <c r="J36" s="403">
        <f>J34-J35</f>
        <v>0</v>
      </c>
      <c r="M36" s="276"/>
    </row>
    <row r="37" spans="1:13" x14ac:dyDescent="0.3">
      <c r="A37" s="270"/>
      <c r="B37" s="266" t="s">
        <v>5005</v>
      </c>
      <c r="C37" s="267">
        <f>C13</f>
        <v>323949000</v>
      </c>
      <c r="D37" s="267"/>
      <c r="E37" s="268">
        <f t="shared" si="6"/>
        <v>0</v>
      </c>
      <c r="F37" s="269">
        <f t="shared" si="7"/>
        <v>323949000</v>
      </c>
      <c r="G37" s="268">
        <f t="shared" si="8"/>
        <v>100</v>
      </c>
      <c r="J37" s="225">
        <f>'SP2D ON'!O9</f>
        <v>654200000</v>
      </c>
    </row>
    <row r="38" spans="1:13" x14ac:dyDescent="0.3">
      <c r="A38" s="261">
        <v>2</v>
      </c>
      <c r="B38" s="262" t="s">
        <v>4803</v>
      </c>
      <c r="C38" s="263">
        <v>655934000</v>
      </c>
      <c r="D38" s="263">
        <f>D10</f>
        <v>654200000</v>
      </c>
      <c r="E38" s="264">
        <f>IFERROR(D38/C38*100,0)</f>
        <v>99.735644134928208</v>
      </c>
      <c r="F38" s="265">
        <f>C38-D38</f>
        <v>1734000</v>
      </c>
      <c r="G38" s="264">
        <f>IFERROR(F38/C38*100,0)</f>
        <v>0.26435586507179076</v>
      </c>
      <c r="J38" s="402">
        <f>D38</f>
        <v>654200000</v>
      </c>
    </row>
    <row r="39" spans="1:13" x14ac:dyDescent="0.3">
      <c r="A39" s="261"/>
      <c r="B39" s="262"/>
      <c r="C39" s="263"/>
      <c r="D39" s="263"/>
      <c r="E39" s="264"/>
      <c r="F39" s="265"/>
      <c r="G39" s="264"/>
      <c r="J39" s="403">
        <f>J37-J38</f>
        <v>0</v>
      </c>
    </row>
    <row r="40" spans="1:13" x14ac:dyDescent="0.3">
      <c r="A40" s="471" t="s">
        <v>611</v>
      </c>
      <c r="B40" s="472"/>
      <c r="C40" s="272">
        <f>SUM(C31,C38,C35)</f>
        <v>23342160000</v>
      </c>
      <c r="D40" s="272">
        <f>SUM(D31,D38,D35)</f>
        <v>9007086889</v>
      </c>
      <c r="E40" s="273">
        <f>D40/C40*100</f>
        <v>38.587203964843013</v>
      </c>
      <c r="F40" s="272">
        <f>SUM(F31,F38)</f>
        <v>10795841068</v>
      </c>
      <c r="G40" s="273">
        <f>F40/C40*100</f>
        <v>46.250394427936406</v>
      </c>
    </row>
    <row r="41" spans="1:13" x14ac:dyDescent="0.3">
      <c r="A41" s="471" t="s">
        <v>4804</v>
      </c>
      <c r="B41" s="472"/>
      <c r="C41" s="272"/>
      <c r="D41" s="272"/>
      <c r="E41" s="273"/>
      <c r="F41" s="272"/>
      <c r="G41" s="273"/>
      <c r="J41" s="276"/>
    </row>
    <row r="42" spans="1:13" x14ac:dyDescent="0.3">
      <c r="A42" s="471" t="s">
        <v>4805</v>
      </c>
      <c r="B42" s="472"/>
      <c r="C42" s="272">
        <f>C40</f>
        <v>23342160000</v>
      </c>
      <c r="D42" s="272">
        <f>D40-D41</f>
        <v>9007086889</v>
      </c>
      <c r="E42" s="273">
        <f>D42/C42*100</f>
        <v>38.587203964843013</v>
      </c>
      <c r="F42" s="272">
        <f>C42-D42</f>
        <v>14335073111</v>
      </c>
      <c r="G42" s="273">
        <f>F42/C42*100</f>
        <v>61.412796035156994</v>
      </c>
      <c r="J42" s="386"/>
    </row>
    <row r="43" spans="1:13" x14ac:dyDescent="0.3">
      <c r="J43" s="276"/>
    </row>
    <row r="44" spans="1:13" x14ac:dyDescent="0.3">
      <c r="A44" s="280" t="s">
        <v>4813</v>
      </c>
    </row>
    <row r="45" spans="1:13" x14ac:dyDescent="0.3">
      <c r="A45" s="252" t="s">
        <v>592</v>
      </c>
      <c r="B45" s="252" t="s">
        <v>500</v>
      </c>
      <c r="C45" s="252" t="s">
        <v>4650</v>
      </c>
      <c r="D45" s="252" t="s">
        <v>4651</v>
      </c>
      <c r="E45" s="252" t="s">
        <v>4648</v>
      </c>
      <c r="F45" s="252" t="s">
        <v>4652</v>
      </c>
      <c r="G45" s="252" t="s">
        <v>4648</v>
      </c>
    </row>
    <row r="46" spans="1:13" x14ac:dyDescent="0.3">
      <c r="A46" s="464" t="s">
        <v>576</v>
      </c>
      <c r="B46" s="220" t="s">
        <v>560</v>
      </c>
      <c r="C46" s="225">
        <f>SUM('PER BULAN'!F84+'PER BULAN'!F97+'PER BULAN'!F99)</f>
        <v>88811000</v>
      </c>
      <c r="D46" s="225">
        <f>SUM('PER BULAN'!AR84+'PER BULAN'!AR97+'PER BULAN'!AR99)</f>
        <v>73441280</v>
      </c>
      <c r="E46" s="283">
        <f>D46/C46*100</f>
        <v>82.693900530339718</v>
      </c>
      <c r="F46" s="225">
        <f t="shared" ref="F46:F58" si="9">C46-D46</f>
        <v>15369720</v>
      </c>
      <c r="G46" s="324">
        <f>F46/C46*100</f>
        <v>17.306099469660293</v>
      </c>
      <c r="J46" s="386"/>
    </row>
    <row r="47" spans="1:13" x14ac:dyDescent="0.3">
      <c r="A47" s="464"/>
      <c r="B47" s="220" t="s">
        <v>546</v>
      </c>
      <c r="C47" s="225">
        <v>0</v>
      </c>
      <c r="D47" s="225">
        <v>0</v>
      </c>
      <c r="E47" s="283">
        <f>IFERROR(D47/C47*100,0)</f>
        <v>0</v>
      </c>
      <c r="F47" s="225">
        <f t="shared" si="9"/>
        <v>0</v>
      </c>
      <c r="G47" s="327">
        <v>0</v>
      </c>
    </row>
    <row r="48" spans="1:13" x14ac:dyDescent="0.3">
      <c r="A48" s="464"/>
      <c r="B48" s="247" t="s">
        <v>4653</v>
      </c>
      <c r="C48" s="250">
        <f>SUM(C46:C47)</f>
        <v>88811000</v>
      </c>
      <c r="D48" s="250">
        <f>SUM(D46:D47)</f>
        <v>73441280</v>
      </c>
      <c r="E48" s="284">
        <f>D48/C48*100</f>
        <v>82.693900530339718</v>
      </c>
      <c r="F48" s="250">
        <f t="shared" si="9"/>
        <v>15369720</v>
      </c>
      <c r="G48" s="325">
        <f>F48/C48*100</f>
        <v>17.306099469660293</v>
      </c>
    </row>
    <row r="49" spans="1:7" x14ac:dyDescent="0.3">
      <c r="A49" s="464" t="s">
        <v>542</v>
      </c>
      <c r="B49" s="220" t="s">
        <v>543</v>
      </c>
      <c r="C49" s="225">
        <f>SUM('PER BULAN'!F226)</f>
        <v>0</v>
      </c>
      <c r="D49" s="225">
        <v>0</v>
      </c>
      <c r="E49" s="283" t="e">
        <f>D49/C49*100</f>
        <v>#DIV/0!</v>
      </c>
      <c r="F49" s="225">
        <f t="shared" si="9"/>
        <v>0</v>
      </c>
      <c r="G49" s="327">
        <v>0</v>
      </c>
    </row>
    <row r="50" spans="1:7" x14ac:dyDescent="0.3">
      <c r="A50" s="464"/>
      <c r="B50" s="220" t="s">
        <v>591</v>
      </c>
      <c r="C50" s="225">
        <v>0</v>
      </c>
      <c r="D50" s="225">
        <v>0</v>
      </c>
      <c r="E50" s="283">
        <f>IFERROR(D50/C50*100,0)</f>
        <v>0</v>
      </c>
      <c r="F50" s="225">
        <f t="shared" si="9"/>
        <v>0</v>
      </c>
      <c r="G50" s="327">
        <v>0</v>
      </c>
    </row>
    <row r="51" spans="1:7" x14ac:dyDescent="0.3">
      <c r="A51" s="464"/>
      <c r="B51" s="247" t="s">
        <v>4657</v>
      </c>
      <c r="C51" s="250">
        <f>SUM(C49:C50)</f>
        <v>0</v>
      </c>
      <c r="D51" s="250">
        <f>SUM(D49:D50)</f>
        <v>0</v>
      </c>
      <c r="E51" s="285" t="e">
        <f>D51/C51*100</f>
        <v>#DIV/0!</v>
      </c>
      <c r="F51" s="250">
        <f t="shared" si="9"/>
        <v>0</v>
      </c>
      <c r="G51" s="325" t="e">
        <f>F51/C51*100</f>
        <v>#DIV/0!</v>
      </c>
    </row>
    <row r="52" spans="1:7" x14ac:dyDescent="0.3">
      <c r="A52" s="464" t="s">
        <v>531</v>
      </c>
      <c r="B52" s="220" t="s">
        <v>532</v>
      </c>
      <c r="C52" s="253">
        <v>0</v>
      </c>
      <c r="D52" s="225">
        <v>0</v>
      </c>
      <c r="E52" s="283">
        <f>IFERROR(D52/C52*100,0)</f>
        <v>0</v>
      </c>
      <c r="F52" s="225">
        <f t="shared" si="9"/>
        <v>0</v>
      </c>
      <c r="G52" s="327">
        <f>IFERROR(F52/C52*100,0)</f>
        <v>0</v>
      </c>
    </row>
    <row r="53" spans="1:7" x14ac:dyDescent="0.3">
      <c r="A53" s="464"/>
      <c r="B53" s="220" t="s">
        <v>534</v>
      </c>
      <c r="C53" s="225">
        <v>0</v>
      </c>
      <c r="D53" s="225">
        <v>0</v>
      </c>
      <c r="E53" s="283">
        <f>IFERROR(D53/C53*100,0)</f>
        <v>0</v>
      </c>
      <c r="F53" s="225">
        <f t="shared" si="9"/>
        <v>0</v>
      </c>
      <c r="G53" s="327">
        <f>IFERROR(F53/C53*100,0)</f>
        <v>0</v>
      </c>
    </row>
    <row r="54" spans="1:7" x14ac:dyDescent="0.3">
      <c r="A54" s="464"/>
      <c r="B54" s="247" t="s">
        <v>4658</v>
      </c>
      <c r="C54" s="250">
        <f>SUM(C52:C53)</f>
        <v>0</v>
      </c>
      <c r="D54" s="250">
        <f>SUM(D52:D53)</f>
        <v>0</v>
      </c>
      <c r="E54" s="284">
        <v>0</v>
      </c>
      <c r="F54" s="250">
        <f t="shared" si="9"/>
        <v>0</v>
      </c>
      <c r="G54" s="328">
        <f>IFERROR(F54/C54*100,0)</f>
        <v>0</v>
      </c>
    </row>
    <row r="55" spans="1:7" x14ac:dyDescent="0.3">
      <c r="A55" s="464" t="s">
        <v>535</v>
      </c>
      <c r="B55" s="220" t="s">
        <v>536</v>
      </c>
      <c r="C55" s="225">
        <f>SUM('PER BULAN'!F38+'PER BULAN'!F46)</f>
        <v>8000000</v>
      </c>
      <c r="D55" s="225">
        <v>0</v>
      </c>
      <c r="E55" s="283">
        <f>D55/C55*100</f>
        <v>0</v>
      </c>
      <c r="F55" s="225">
        <f t="shared" si="9"/>
        <v>8000000</v>
      </c>
      <c r="G55" s="324">
        <f>F55/C55*100</f>
        <v>100</v>
      </c>
    </row>
    <row r="56" spans="1:7" x14ac:dyDescent="0.3">
      <c r="A56" s="464"/>
      <c r="B56" s="220" t="s">
        <v>538</v>
      </c>
      <c r="C56" s="225">
        <f>SUM('PER BULAN'!F58+'PER BULAN'!F106)</f>
        <v>5000000</v>
      </c>
      <c r="D56" s="225">
        <v>0</v>
      </c>
      <c r="E56" s="283">
        <f>D56/C56*100</f>
        <v>0</v>
      </c>
      <c r="F56" s="225">
        <f t="shared" si="9"/>
        <v>5000000</v>
      </c>
      <c r="G56" s="324">
        <f>F56/C56*100</f>
        <v>100</v>
      </c>
    </row>
    <row r="57" spans="1:7" x14ac:dyDescent="0.3">
      <c r="A57" s="464"/>
      <c r="B57" s="247" t="s">
        <v>4659</v>
      </c>
      <c r="C57" s="250">
        <f>SUM(C55:C56)</f>
        <v>13000000</v>
      </c>
      <c r="D57" s="250">
        <f>SUM(D55:D56)</f>
        <v>0</v>
      </c>
      <c r="E57" s="285">
        <f>D57/C57*100</f>
        <v>0</v>
      </c>
      <c r="F57" s="250">
        <f t="shared" si="9"/>
        <v>13000000</v>
      </c>
      <c r="G57" s="325">
        <f>F57/C57*100</f>
        <v>100</v>
      </c>
    </row>
    <row r="58" spans="1:7" x14ac:dyDescent="0.3">
      <c r="A58" s="463" t="s">
        <v>4655</v>
      </c>
      <c r="B58" s="463"/>
      <c r="C58" s="232">
        <f>C48+C51+C54+C57</f>
        <v>101811000</v>
      </c>
      <c r="D58" s="232">
        <f>D48+D51+D54+D57</f>
        <v>73441280</v>
      </c>
      <c r="E58" s="286">
        <f>D58/C58*100</f>
        <v>72.134916659300075</v>
      </c>
      <c r="F58" s="232">
        <f t="shared" si="9"/>
        <v>28369720</v>
      </c>
      <c r="G58" s="326">
        <f>F58/C58*100</f>
        <v>27.865083340699925</v>
      </c>
    </row>
    <row r="59" spans="1:7" x14ac:dyDescent="0.3">
      <c r="A59" s="463" t="s">
        <v>4656</v>
      </c>
      <c r="B59" s="463"/>
      <c r="C59" s="463"/>
      <c r="D59" s="232">
        <f>D58</f>
        <v>73441280</v>
      </c>
      <c r="E59" s="286">
        <f>E58</f>
        <v>72.134916659300075</v>
      </c>
      <c r="F59" s="232">
        <f>F58</f>
        <v>28369720</v>
      </c>
      <c r="G59" s="326">
        <f>G58</f>
        <v>27.865083340699925</v>
      </c>
    </row>
  </sheetData>
  <mergeCells count="24">
    <mergeCell ref="A49:A51"/>
    <mergeCell ref="A52:A54"/>
    <mergeCell ref="A55:A57"/>
    <mergeCell ref="A58:B58"/>
    <mergeCell ref="A59:C59"/>
    <mergeCell ref="D29:E29"/>
    <mergeCell ref="F29:G29"/>
    <mergeCell ref="A40:B40"/>
    <mergeCell ref="A41:B41"/>
    <mergeCell ref="A42:B42"/>
    <mergeCell ref="A46:A48"/>
    <mergeCell ref="A22:A24"/>
    <mergeCell ref="A25:B25"/>
    <mergeCell ref="A26:C26"/>
    <mergeCell ref="A29:A30"/>
    <mergeCell ref="B29:B30"/>
    <mergeCell ref="C29:C30"/>
    <mergeCell ref="A19:A21"/>
    <mergeCell ref="A1:G1"/>
    <mergeCell ref="A2:G2"/>
    <mergeCell ref="A3:G3"/>
    <mergeCell ref="A7:A14"/>
    <mergeCell ref="A15:A18"/>
    <mergeCell ref="A4:G4"/>
  </mergeCells>
  <pageMargins left="0.7" right="0.7" top="0.75" bottom="0.75" header="0.3" footer="0.3"/>
  <pageSetup paperSize="9" scale="62" fitToHeight="0" orientation="portrait" horizontalDpi="0" verticalDpi="0" r:id="rId1"/>
  <ignoredErrors>
    <ignoredError sqref="E47:E51" formula="1"/>
  </ignoredError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dimension ref="A1:Q249"/>
  <sheetViews>
    <sheetView topLeftCell="J1" workbookViewId="0">
      <selection activeCell="N11" sqref="N11"/>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21875" bestFit="1" customWidth="1"/>
    <col min="6" max="6" width="80.88671875" bestFit="1" customWidth="1"/>
    <col min="7" max="7" width="16.88671875" bestFit="1" customWidth="1"/>
    <col min="8" max="8" width="17.77734375" bestFit="1" customWidth="1"/>
    <col min="9" max="9" width="16.44140625" bestFit="1" customWidth="1"/>
    <col min="10" max="10" width="16.2187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5428</v>
      </c>
      <c r="B1" t="s">
        <v>5429</v>
      </c>
      <c r="C1" t="s">
        <v>5430</v>
      </c>
      <c r="D1" t="s">
        <v>5431</v>
      </c>
      <c r="E1" t="s">
        <v>5432</v>
      </c>
      <c r="F1" t="s">
        <v>5433</v>
      </c>
      <c r="G1" t="s">
        <v>5434</v>
      </c>
      <c r="H1" t="s">
        <v>5435</v>
      </c>
      <c r="I1" t="s">
        <v>5436</v>
      </c>
      <c r="J1" t="s">
        <v>5437</v>
      </c>
      <c r="K1" t="s">
        <v>5438</v>
      </c>
      <c r="L1" t="s">
        <v>4652</v>
      </c>
      <c r="M1" t="s">
        <v>5439</v>
      </c>
      <c r="N1" t="s">
        <v>5440</v>
      </c>
      <c r="O1" t="s">
        <v>5441</v>
      </c>
      <c r="P1" t="s">
        <v>499</v>
      </c>
      <c r="Q1" t="s">
        <v>5442</v>
      </c>
    </row>
    <row r="2" spans="1:17" x14ac:dyDescent="0.3">
      <c r="A2" t="s">
        <v>495</v>
      </c>
      <c r="B2" t="s">
        <v>3476</v>
      </c>
      <c r="C2" t="s">
        <v>833</v>
      </c>
      <c r="D2" t="s">
        <v>5443</v>
      </c>
      <c r="E2" t="s">
        <v>537</v>
      </c>
      <c r="F2" t="s">
        <v>5444</v>
      </c>
      <c r="G2">
        <v>18000000</v>
      </c>
      <c r="H2">
        <v>1454000</v>
      </c>
      <c r="I2">
        <v>1447000</v>
      </c>
      <c r="J2">
        <v>2901000</v>
      </c>
      <c r="K2" t="s">
        <v>5445</v>
      </c>
      <c r="L2">
        <v>15099000</v>
      </c>
      <c r="M2" t="s">
        <v>5446</v>
      </c>
      <c r="N2" t="s">
        <v>5447</v>
      </c>
      <c r="O2" t="s">
        <v>3505</v>
      </c>
      <c r="P2" t="s">
        <v>3514</v>
      </c>
    </row>
    <row r="3" spans="1:17" x14ac:dyDescent="0.3">
      <c r="A3" t="s">
        <v>495</v>
      </c>
      <c r="B3" t="s">
        <v>3476</v>
      </c>
      <c r="C3" t="s">
        <v>833</v>
      </c>
      <c r="D3" t="s">
        <v>5443</v>
      </c>
      <c r="E3" t="s">
        <v>533</v>
      </c>
      <c r="F3" t="s">
        <v>5448</v>
      </c>
      <c r="G3">
        <v>3800445000</v>
      </c>
      <c r="H3">
        <v>3643075356</v>
      </c>
      <c r="I3">
        <v>154545850</v>
      </c>
      <c r="J3">
        <v>3797621206</v>
      </c>
      <c r="K3" t="s">
        <v>5449</v>
      </c>
      <c r="L3">
        <v>2823794</v>
      </c>
      <c r="M3" t="s">
        <v>5450</v>
      </c>
      <c r="N3" t="s">
        <v>5451</v>
      </c>
      <c r="O3" t="s">
        <v>3505</v>
      </c>
      <c r="P3" t="s">
        <v>3509</v>
      </c>
    </row>
    <row r="4" spans="1:17" x14ac:dyDescent="0.3">
      <c r="A4" t="s">
        <v>495</v>
      </c>
      <c r="B4" t="s">
        <v>3476</v>
      </c>
      <c r="C4" t="s">
        <v>833</v>
      </c>
      <c r="D4" t="s">
        <v>5443</v>
      </c>
      <c r="E4" t="s">
        <v>503</v>
      </c>
      <c r="F4" t="s">
        <v>5452</v>
      </c>
      <c r="G4">
        <v>18000000</v>
      </c>
      <c r="H4">
        <v>1475000</v>
      </c>
      <c r="I4">
        <v>1442500</v>
      </c>
      <c r="J4">
        <v>2917500</v>
      </c>
      <c r="K4" t="s">
        <v>5453</v>
      </c>
      <c r="L4">
        <v>15082500</v>
      </c>
      <c r="M4" t="s">
        <v>5454</v>
      </c>
      <c r="N4" t="s">
        <v>5455</v>
      </c>
      <c r="O4" t="s">
        <v>3505</v>
      </c>
      <c r="P4" t="s">
        <v>3506</v>
      </c>
    </row>
    <row r="5" spans="1:17" x14ac:dyDescent="0.3">
      <c r="A5" t="s">
        <v>495</v>
      </c>
      <c r="B5" t="s">
        <v>3476</v>
      </c>
      <c r="C5" t="s">
        <v>833</v>
      </c>
      <c r="D5" t="s">
        <v>5456</v>
      </c>
      <c r="E5" t="s">
        <v>513</v>
      </c>
      <c r="F5" t="s">
        <v>5457</v>
      </c>
      <c r="G5">
        <v>78000000</v>
      </c>
      <c r="H5">
        <v>5900000</v>
      </c>
      <c r="I5">
        <v>14635000</v>
      </c>
      <c r="J5">
        <v>20535000</v>
      </c>
      <c r="K5" t="s">
        <v>5458</v>
      </c>
      <c r="L5">
        <v>57465000</v>
      </c>
      <c r="M5" t="s">
        <v>5459</v>
      </c>
      <c r="N5" t="s">
        <v>5460</v>
      </c>
      <c r="O5" t="s">
        <v>3479</v>
      </c>
      <c r="P5" t="s">
        <v>3500</v>
      </c>
    </row>
    <row r="6" spans="1:17" x14ac:dyDescent="0.3">
      <c r="A6" t="s">
        <v>494</v>
      </c>
      <c r="B6" t="s">
        <v>3105</v>
      </c>
      <c r="C6" t="s">
        <v>833</v>
      </c>
      <c r="D6" t="s">
        <v>5461</v>
      </c>
      <c r="E6" t="s">
        <v>513</v>
      </c>
      <c r="F6" t="s">
        <v>5462</v>
      </c>
      <c r="G6">
        <v>76033000</v>
      </c>
      <c r="H6">
        <v>52700000</v>
      </c>
      <c r="I6">
        <v>2030000</v>
      </c>
      <c r="J6">
        <v>54730000</v>
      </c>
      <c r="K6" t="s">
        <v>5463</v>
      </c>
      <c r="L6">
        <v>21303000</v>
      </c>
      <c r="M6" t="s">
        <v>5464</v>
      </c>
      <c r="N6" t="s">
        <v>5465</v>
      </c>
      <c r="O6" t="s">
        <v>3377</v>
      </c>
      <c r="P6" t="s">
        <v>3384</v>
      </c>
    </row>
    <row r="7" spans="1:17" x14ac:dyDescent="0.3">
      <c r="A7" t="s">
        <v>494</v>
      </c>
      <c r="B7" t="s">
        <v>2785</v>
      </c>
      <c r="C7" t="s">
        <v>833</v>
      </c>
      <c r="D7" t="s">
        <v>5443</v>
      </c>
      <c r="E7" t="s">
        <v>513</v>
      </c>
      <c r="F7" t="s">
        <v>5466</v>
      </c>
      <c r="G7">
        <v>60415000</v>
      </c>
      <c r="H7">
        <v>26021155</v>
      </c>
      <c r="I7">
        <v>34393100</v>
      </c>
      <c r="J7">
        <v>60414255</v>
      </c>
      <c r="K7" t="s">
        <v>5467</v>
      </c>
      <c r="L7">
        <v>745</v>
      </c>
      <c r="M7" t="s">
        <v>5468</v>
      </c>
      <c r="N7" t="s">
        <v>5469</v>
      </c>
      <c r="O7" t="s">
        <v>3067</v>
      </c>
      <c r="P7" t="s">
        <v>3084</v>
      </c>
    </row>
    <row r="8" spans="1:17" x14ac:dyDescent="0.3">
      <c r="A8" t="s">
        <v>494</v>
      </c>
      <c r="B8" t="s">
        <v>2785</v>
      </c>
      <c r="C8" t="s">
        <v>833</v>
      </c>
      <c r="D8" t="s">
        <v>5443</v>
      </c>
      <c r="E8" t="s">
        <v>503</v>
      </c>
      <c r="F8" t="s">
        <v>5470</v>
      </c>
      <c r="G8">
        <v>3525000</v>
      </c>
      <c r="H8">
        <v>880000</v>
      </c>
      <c r="I8">
        <v>2640000</v>
      </c>
      <c r="J8">
        <v>3520000</v>
      </c>
      <c r="K8" t="s">
        <v>5471</v>
      </c>
      <c r="L8">
        <v>5000</v>
      </c>
      <c r="M8" t="s">
        <v>5472</v>
      </c>
      <c r="N8" t="s">
        <v>5473</v>
      </c>
      <c r="O8" t="s">
        <v>3067</v>
      </c>
      <c r="P8" t="s">
        <v>3068</v>
      </c>
    </row>
    <row r="9" spans="1:17" x14ac:dyDescent="0.3">
      <c r="A9" t="s">
        <v>494</v>
      </c>
      <c r="B9" t="s">
        <v>1269</v>
      </c>
      <c r="C9" t="s">
        <v>833</v>
      </c>
      <c r="D9" t="s">
        <v>5474</v>
      </c>
      <c r="E9" t="s">
        <v>513</v>
      </c>
      <c r="F9" t="s">
        <v>5475</v>
      </c>
      <c r="G9">
        <v>60764000</v>
      </c>
      <c r="H9">
        <v>58653672</v>
      </c>
      <c r="I9">
        <v>2110000</v>
      </c>
      <c r="J9">
        <v>60763672</v>
      </c>
      <c r="K9" t="s">
        <v>5476</v>
      </c>
      <c r="L9">
        <v>328</v>
      </c>
      <c r="M9" t="s">
        <v>5477</v>
      </c>
      <c r="N9" t="s">
        <v>5478</v>
      </c>
      <c r="O9" t="s">
        <v>1490</v>
      </c>
      <c r="P9" t="s">
        <v>1501</v>
      </c>
    </row>
    <row r="10" spans="1:17" x14ac:dyDescent="0.3">
      <c r="A10" t="s">
        <v>494</v>
      </c>
      <c r="B10" t="s">
        <v>1269</v>
      </c>
      <c r="C10" t="s">
        <v>833</v>
      </c>
      <c r="D10" t="s">
        <v>5461</v>
      </c>
      <c r="E10" t="s">
        <v>513</v>
      </c>
      <c r="F10" t="s">
        <v>5479</v>
      </c>
      <c r="G10">
        <v>9059000</v>
      </c>
      <c r="H10">
        <v>1650000</v>
      </c>
      <c r="I10">
        <v>3700700</v>
      </c>
      <c r="J10">
        <v>5350700</v>
      </c>
      <c r="K10" t="s">
        <v>5480</v>
      </c>
      <c r="L10">
        <v>3708300</v>
      </c>
      <c r="M10" t="s">
        <v>5481</v>
      </c>
      <c r="N10" t="s">
        <v>5482</v>
      </c>
      <c r="O10" t="s">
        <v>1469</v>
      </c>
      <c r="P10" t="s">
        <v>1487</v>
      </c>
    </row>
    <row r="11" spans="1:17" x14ac:dyDescent="0.3">
      <c r="A11" t="s">
        <v>419</v>
      </c>
      <c r="B11" t="s">
        <v>616</v>
      </c>
      <c r="C11" t="s">
        <v>523</v>
      </c>
      <c r="D11" t="s">
        <v>5483</v>
      </c>
      <c r="E11" t="s">
        <v>513</v>
      </c>
      <c r="F11" t="s">
        <v>5484</v>
      </c>
      <c r="G11">
        <v>138160000</v>
      </c>
      <c r="H11">
        <v>82621650</v>
      </c>
      <c r="I11">
        <v>48815040</v>
      </c>
      <c r="J11">
        <v>131436690</v>
      </c>
      <c r="K11" t="s">
        <v>5485</v>
      </c>
      <c r="L11">
        <v>6723310</v>
      </c>
      <c r="M11" t="s">
        <v>5486</v>
      </c>
      <c r="N11" t="s">
        <v>5487</v>
      </c>
      <c r="O11" t="s">
        <v>469</v>
      </c>
      <c r="P11" t="s">
        <v>482</v>
      </c>
    </row>
    <row r="12" spans="1:17" x14ac:dyDescent="0.3">
      <c r="A12" t="s">
        <v>419</v>
      </c>
      <c r="B12" t="s">
        <v>616</v>
      </c>
      <c r="C12" t="s">
        <v>520</v>
      </c>
      <c r="D12" t="s">
        <v>5488</v>
      </c>
      <c r="E12" t="s">
        <v>513</v>
      </c>
      <c r="F12" t="s">
        <v>5489</v>
      </c>
      <c r="G12">
        <v>33250000</v>
      </c>
      <c r="H12">
        <v>20734500</v>
      </c>
      <c r="I12">
        <v>360000</v>
      </c>
      <c r="J12">
        <v>21094500</v>
      </c>
      <c r="K12" t="s">
        <v>5490</v>
      </c>
      <c r="L12">
        <v>12155500</v>
      </c>
      <c r="M12" t="s">
        <v>5491</v>
      </c>
      <c r="N12" t="s">
        <v>59</v>
      </c>
      <c r="O12" t="s">
        <v>440</v>
      </c>
      <c r="P12" t="s">
        <v>448</v>
      </c>
    </row>
    <row r="13" spans="1:17" x14ac:dyDescent="0.3">
      <c r="A13" t="s">
        <v>494</v>
      </c>
      <c r="B13" t="s">
        <v>3105</v>
      </c>
      <c r="C13" t="s">
        <v>833</v>
      </c>
      <c r="D13" t="s">
        <v>5492</v>
      </c>
      <c r="E13" t="s">
        <v>503</v>
      </c>
      <c r="F13" t="s">
        <v>5493</v>
      </c>
      <c r="G13">
        <v>3000000</v>
      </c>
      <c r="H13">
        <v>1994000</v>
      </c>
      <c r="I13">
        <v>0</v>
      </c>
      <c r="J13">
        <v>1994000</v>
      </c>
      <c r="K13" t="s">
        <v>5494</v>
      </c>
      <c r="L13">
        <v>1006000</v>
      </c>
      <c r="M13" t="s">
        <v>5495</v>
      </c>
      <c r="N13" t="s">
        <v>5447</v>
      </c>
      <c r="O13" t="s">
        <v>3367</v>
      </c>
      <c r="P13" t="s">
        <v>3368</v>
      </c>
    </row>
    <row r="14" spans="1:17" x14ac:dyDescent="0.3">
      <c r="A14" t="s">
        <v>494</v>
      </c>
      <c r="B14" t="s">
        <v>3105</v>
      </c>
      <c r="C14" t="s">
        <v>833</v>
      </c>
      <c r="D14" t="s">
        <v>5492</v>
      </c>
      <c r="E14" t="s">
        <v>503</v>
      </c>
      <c r="F14" t="s">
        <v>5496</v>
      </c>
      <c r="G14">
        <v>4500000</v>
      </c>
      <c r="H14">
        <v>2950000</v>
      </c>
      <c r="I14">
        <v>0</v>
      </c>
      <c r="J14">
        <v>2950000</v>
      </c>
      <c r="K14" t="s">
        <v>5497</v>
      </c>
      <c r="L14">
        <v>1550000</v>
      </c>
      <c r="M14" t="s">
        <v>5498</v>
      </c>
      <c r="N14" t="s">
        <v>5499</v>
      </c>
      <c r="O14" t="s">
        <v>3367</v>
      </c>
      <c r="P14" t="s">
        <v>3368</v>
      </c>
    </row>
    <row r="15" spans="1:17" x14ac:dyDescent="0.3">
      <c r="A15" t="s">
        <v>494</v>
      </c>
      <c r="B15" t="s">
        <v>3105</v>
      </c>
      <c r="C15" t="s">
        <v>833</v>
      </c>
      <c r="D15" t="s">
        <v>5500</v>
      </c>
      <c r="E15" t="s">
        <v>503</v>
      </c>
      <c r="F15" t="s">
        <v>5501</v>
      </c>
      <c r="G15">
        <v>3000000</v>
      </c>
      <c r="H15">
        <v>2000000</v>
      </c>
      <c r="I15">
        <v>0</v>
      </c>
      <c r="J15">
        <v>2000000</v>
      </c>
      <c r="K15" t="s">
        <v>5502</v>
      </c>
      <c r="L15">
        <v>1000000</v>
      </c>
      <c r="M15" t="s">
        <v>5503</v>
      </c>
      <c r="N15" t="s">
        <v>5447</v>
      </c>
      <c r="O15" t="s">
        <v>3349</v>
      </c>
      <c r="P15" t="s">
        <v>3351</v>
      </c>
    </row>
    <row r="16" spans="1:17" x14ac:dyDescent="0.3">
      <c r="A16" t="s">
        <v>494</v>
      </c>
      <c r="B16" t="s">
        <v>3105</v>
      </c>
      <c r="C16" t="s">
        <v>833</v>
      </c>
      <c r="D16" t="s">
        <v>5500</v>
      </c>
      <c r="E16" t="s">
        <v>503</v>
      </c>
      <c r="F16" t="s">
        <v>5504</v>
      </c>
      <c r="G16">
        <v>3500000</v>
      </c>
      <c r="H16">
        <v>3490000</v>
      </c>
      <c r="I16">
        <v>0</v>
      </c>
      <c r="J16">
        <v>3490000</v>
      </c>
      <c r="K16" t="s">
        <v>5505</v>
      </c>
      <c r="L16">
        <v>10000</v>
      </c>
      <c r="M16" t="s">
        <v>5506</v>
      </c>
      <c r="N16" t="s">
        <v>5507</v>
      </c>
      <c r="O16" t="s">
        <v>3349</v>
      </c>
      <c r="P16" t="s">
        <v>3351</v>
      </c>
    </row>
    <row r="17" spans="1:16" x14ac:dyDescent="0.3">
      <c r="A17" t="s">
        <v>494</v>
      </c>
      <c r="B17" t="s">
        <v>3105</v>
      </c>
      <c r="C17" t="s">
        <v>833</v>
      </c>
      <c r="D17" t="s">
        <v>5500</v>
      </c>
      <c r="E17" t="s">
        <v>503</v>
      </c>
      <c r="F17" t="s">
        <v>5508</v>
      </c>
      <c r="G17">
        <v>7500000</v>
      </c>
      <c r="H17">
        <v>5495000</v>
      </c>
      <c r="I17">
        <v>0</v>
      </c>
      <c r="J17">
        <v>5495000</v>
      </c>
      <c r="K17" t="s">
        <v>5509</v>
      </c>
      <c r="L17">
        <v>2005000</v>
      </c>
      <c r="M17" t="s">
        <v>5510</v>
      </c>
      <c r="N17" t="s">
        <v>5499</v>
      </c>
      <c r="O17" t="s">
        <v>3349</v>
      </c>
      <c r="P17" t="s">
        <v>3351</v>
      </c>
    </row>
    <row r="18" spans="1:16" x14ac:dyDescent="0.3">
      <c r="A18" t="s">
        <v>494</v>
      </c>
      <c r="B18" t="s">
        <v>3105</v>
      </c>
      <c r="C18" t="s">
        <v>833</v>
      </c>
      <c r="D18" t="s">
        <v>5511</v>
      </c>
      <c r="E18" t="s">
        <v>503</v>
      </c>
      <c r="F18" t="s">
        <v>5512</v>
      </c>
      <c r="G18">
        <v>3000000</v>
      </c>
      <c r="H18">
        <v>1998500</v>
      </c>
      <c r="I18">
        <v>0</v>
      </c>
      <c r="J18">
        <v>1998500</v>
      </c>
      <c r="K18" t="s">
        <v>5513</v>
      </c>
      <c r="L18">
        <v>1001500</v>
      </c>
      <c r="M18" t="s">
        <v>5514</v>
      </c>
      <c r="N18" t="s">
        <v>5447</v>
      </c>
      <c r="O18" t="s">
        <v>3340</v>
      </c>
      <c r="P18" t="s">
        <v>3341</v>
      </c>
    </row>
    <row r="19" spans="1:16" x14ac:dyDescent="0.3">
      <c r="A19" t="s">
        <v>494</v>
      </c>
      <c r="B19" t="s">
        <v>3105</v>
      </c>
      <c r="C19" t="s">
        <v>833</v>
      </c>
      <c r="D19" t="s">
        <v>5511</v>
      </c>
      <c r="E19" t="s">
        <v>503</v>
      </c>
      <c r="F19" t="s">
        <v>5515</v>
      </c>
      <c r="G19">
        <v>4500000</v>
      </c>
      <c r="H19">
        <v>2970000</v>
      </c>
      <c r="I19">
        <v>0</v>
      </c>
      <c r="J19">
        <v>2970000</v>
      </c>
      <c r="K19" t="s">
        <v>5516</v>
      </c>
      <c r="L19">
        <v>1530000</v>
      </c>
      <c r="M19" t="s">
        <v>5517</v>
      </c>
      <c r="N19" t="s">
        <v>5499</v>
      </c>
      <c r="O19" t="s">
        <v>3340</v>
      </c>
      <c r="P19" t="s">
        <v>3341</v>
      </c>
    </row>
    <row r="20" spans="1:16" x14ac:dyDescent="0.3">
      <c r="A20" t="s">
        <v>494</v>
      </c>
      <c r="B20" t="s">
        <v>3105</v>
      </c>
      <c r="C20" t="s">
        <v>833</v>
      </c>
      <c r="D20" t="s">
        <v>5443</v>
      </c>
      <c r="E20" t="s">
        <v>503</v>
      </c>
      <c r="F20" t="s">
        <v>5518</v>
      </c>
      <c r="G20">
        <v>3000000</v>
      </c>
      <c r="H20">
        <v>1994000</v>
      </c>
      <c r="I20">
        <v>0</v>
      </c>
      <c r="J20">
        <v>1994000</v>
      </c>
      <c r="K20" t="s">
        <v>5494</v>
      </c>
      <c r="L20">
        <v>1006000</v>
      </c>
      <c r="M20" t="s">
        <v>5519</v>
      </c>
      <c r="N20" t="s">
        <v>5447</v>
      </c>
      <c r="O20" t="s">
        <v>3331</v>
      </c>
      <c r="P20" t="s">
        <v>3332</v>
      </c>
    </row>
    <row r="21" spans="1:16" x14ac:dyDescent="0.3">
      <c r="A21" t="s">
        <v>494</v>
      </c>
      <c r="B21" t="s">
        <v>3105</v>
      </c>
      <c r="C21" t="s">
        <v>833</v>
      </c>
      <c r="D21" t="s">
        <v>5443</v>
      </c>
      <c r="E21" t="s">
        <v>503</v>
      </c>
      <c r="F21" t="s">
        <v>5520</v>
      </c>
      <c r="G21">
        <v>4500000</v>
      </c>
      <c r="H21">
        <v>2950000</v>
      </c>
      <c r="I21">
        <v>0</v>
      </c>
      <c r="J21">
        <v>2950000</v>
      </c>
      <c r="K21" t="s">
        <v>5497</v>
      </c>
      <c r="L21">
        <v>1550000</v>
      </c>
      <c r="M21" t="s">
        <v>5521</v>
      </c>
      <c r="N21" t="s">
        <v>5499</v>
      </c>
      <c r="O21" t="s">
        <v>3331</v>
      </c>
      <c r="P21" t="s">
        <v>3332</v>
      </c>
    </row>
    <row r="22" spans="1:16" x14ac:dyDescent="0.3">
      <c r="A22" t="s">
        <v>494</v>
      </c>
      <c r="B22" t="s">
        <v>3105</v>
      </c>
      <c r="C22" t="s">
        <v>833</v>
      </c>
      <c r="D22" t="s">
        <v>5456</v>
      </c>
      <c r="E22" t="s">
        <v>503</v>
      </c>
      <c r="F22" t="s">
        <v>5522</v>
      </c>
      <c r="G22">
        <v>9000000</v>
      </c>
      <c r="H22">
        <v>7710000</v>
      </c>
      <c r="I22">
        <v>0</v>
      </c>
      <c r="J22">
        <v>7710000</v>
      </c>
      <c r="K22" t="s">
        <v>5523</v>
      </c>
      <c r="L22">
        <v>1290000</v>
      </c>
      <c r="M22" t="s">
        <v>5524</v>
      </c>
      <c r="N22" t="s">
        <v>5499</v>
      </c>
      <c r="O22" t="s">
        <v>3320</v>
      </c>
      <c r="P22" t="s">
        <v>3321</v>
      </c>
    </row>
    <row r="23" spans="1:16" x14ac:dyDescent="0.3">
      <c r="A23" t="s">
        <v>494</v>
      </c>
      <c r="B23" t="s">
        <v>3105</v>
      </c>
      <c r="C23" t="s">
        <v>833</v>
      </c>
      <c r="D23" t="s">
        <v>5456</v>
      </c>
      <c r="E23" t="s">
        <v>503</v>
      </c>
      <c r="F23" t="s">
        <v>5525</v>
      </c>
      <c r="G23">
        <v>5000000</v>
      </c>
      <c r="H23">
        <v>3996000</v>
      </c>
      <c r="I23">
        <v>0</v>
      </c>
      <c r="J23">
        <v>3996000</v>
      </c>
      <c r="K23" t="s">
        <v>5526</v>
      </c>
      <c r="L23">
        <v>1004000</v>
      </c>
      <c r="M23" t="s">
        <v>5527</v>
      </c>
      <c r="N23" t="s">
        <v>5447</v>
      </c>
      <c r="O23" t="s">
        <v>3320</v>
      </c>
      <c r="P23" t="s">
        <v>3321</v>
      </c>
    </row>
    <row r="24" spans="1:16" x14ac:dyDescent="0.3">
      <c r="A24" t="s">
        <v>494</v>
      </c>
      <c r="B24" t="s">
        <v>3105</v>
      </c>
      <c r="C24" t="s">
        <v>833</v>
      </c>
      <c r="D24" t="s">
        <v>5456</v>
      </c>
      <c r="E24" t="s">
        <v>503</v>
      </c>
      <c r="F24" t="s">
        <v>5528</v>
      </c>
      <c r="G24">
        <v>1400000</v>
      </c>
      <c r="H24">
        <v>1350000</v>
      </c>
      <c r="I24">
        <v>0</v>
      </c>
      <c r="J24">
        <v>1350000</v>
      </c>
      <c r="K24" t="s">
        <v>5529</v>
      </c>
      <c r="L24">
        <v>50000</v>
      </c>
      <c r="M24" t="s">
        <v>5530</v>
      </c>
      <c r="N24" t="s">
        <v>5473</v>
      </c>
      <c r="O24" t="s">
        <v>3320</v>
      </c>
      <c r="P24" t="s">
        <v>3321</v>
      </c>
    </row>
    <row r="25" spans="1:16" x14ac:dyDescent="0.3">
      <c r="A25" t="s">
        <v>494</v>
      </c>
      <c r="B25" t="s">
        <v>3105</v>
      </c>
      <c r="C25" t="s">
        <v>833</v>
      </c>
      <c r="D25" t="s">
        <v>5456</v>
      </c>
      <c r="E25" t="s">
        <v>503</v>
      </c>
      <c r="F25" t="s">
        <v>5531</v>
      </c>
      <c r="G25">
        <v>3000000</v>
      </c>
      <c r="H25">
        <v>775000</v>
      </c>
      <c r="I25">
        <v>0</v>
      </c>
      <c r="J25">
        <v>775000</v>
      </c>
      <c r="K25" t="s">
        <v>5532</v>
      </c>
      <c r="L25">
        <v>2225000</v>
      </c>
      <c r="M25" t="s">
        <v>5533</v>
      </c>
      <c r="N25" t="s">
        <v>5534</v>
      </c>
      <c r="O25" t="s">
        <v>3320</v>
      </c>
      <c r="P25" t="s">
        <v>3321</v>
      </c>
    </row>
    <row r="26" spans="1:16" x14ac:dyDescent="0.3">
      <c r="A26" t="s">
        <v>494</v>
      </c>
      <c r="B26" t="s">
        <v>2785</v>
      </c>
      <c r="C26" t="s">
        <v>3090</v>
      </c>
      <c r="D26" t="s">
        <v>5535</v>
      </c>
      <c r="E26" t="s">
        <v>503</v>
      </c>
      <c r="F26" t="s">
        <v>5536</v>
      </c>
      <c r="G26">
        <v>1000000</v>
      </c>
      <c r="H26">
        <v>1000000</v>
      </c>
      <c r="I26">
        <v>0</v>
      </c>
      <c r="J26">
        <v>1000000</v>
      </c>
      <c r="K26" t="s">
        <v>5537</v>
      </c>
      <c r="L26">
        <v>0</v>
      </c>
      <c r="M26" t="s">
        <v>5538</v>
      </c>
      <c r="N26" t="s">
        <v>5539</v>
      </c>
      <c r="O26" t="s">
        <v>3092</v>
      </c>
      <c r="P26" t="s">
        <v>3093</v>
      </c>
    </row>
    <row r="27" spans="1:16" x14ac:dyDescent="0.3">
      <c r="A27" t="s">
        <v>494</v>
      </c>
      <c r="B27" t="s">
        <v>2785</v>
      </c>
      <c r="C27" t="s">
        <v>3090</v>
      </c>
      <c r="D27" t="s">
        <v>5535</v>
      </c>
      <c r="E27" t="s">
        <v>503</v>
      </c>
      <c r="F27" t="s">
        <v>5540</v>
      </c>
      <c r="G27">
        <v>6000000</v>
      </c>
      <c r="H27">
        <v>3000000</v>
      </c>
      <c r="I27">
        <v>0</v>
      </c>
      <c r="J27">
        <v>3000000</v>
      </c>
      <c r="K27" t="s">
        <v>5541</v>
      </c>
      <c r="L27">
        <v>3000000</v>
      </c>
      <c r="M27" t="s">
        <v>5542</v>
      </c>
      <c r="N27" t="s">
        <v>5499</v>
      </c>
      <c r="O27" t="s">
        <v>3092</v>
      </c>
      <c r="P27" t="s">
        <v>3093</v>
      </c>
    </row>
    <row r="28" spans="1:16" x14ac:dyDescent="0.3">
      <c r="A28" t="s">
        <v>494</v>
      </c>
      <c r="B28" t="s">
        <v>2785</v>
      </c>
      <c r="C28" t="s">
        <v>3090</v>
      </c>
      <c r="D28" t="s">
        <v>5535</v>
      </c>
      <c r="E28" t="s">
        <v>503</v>
      </c>
      <c r="F28" t="s">
        <v>5543</v>
      </c>
      <c r="G28">
        <v>4000000</v>
      </c>
      <c r="H28">
        <v>1984000</v>
      </c>
      <c r="I28">
        <v>0</v>
      </c>
      <c r="J28">
        <v>1984000</v>
      </c>
      <c r="K28" t="s">
        <v>5544</v>
      </c>
      <c r="L28">
        <v>2016000</v>
      </c>
      <c r="M28" t="s">
        <v>5545</v>
      </c>
      <c r="N28" t="s">
        <v>5447</v>
      </c>
      <c r="O28" t="s">
        <v>3092</v>
      </c>
      <c r="P28" t="s">
        <v>3093</v>
      </c>
    </row>
    <row r="29" spans="1:16" x14ac:dyDescent="0.3">
      <c r="A29" t="s">
        <v>494</v>
      </c>
      <c r="B29" t="s">
        <v>2785</v>
      </c>
      <c r="C29" t="s">
        <v>3090</v>
      </c>
      <c r="D29" t="s">
        <v>5535</v>
      </c>
      <c r="E29" t="s">
        <v>503</v>
      </c>
      <c r="F29" t="s">
        <v>5546</v>
      </c>
      <c r="G29">
        <v>900000</v>
      </c>
      <c r="H29">
        <v>860000</v>
      </c>
      <c r="I29">
        <v>0</v>
      </c>
      <c r="J29">
        <v>860000</v>
      </c>
      <c r="K29" t="s">
        <v>5547</v>
      </c>
      <c r="L29">
        <v>40000</v>
      </c>
      <c r="M29" t="s">
        <v>5548</v>
      </c>
      <c r="N29" t="s">
        <v>5473</v>
      </c>
      <c r="O29" t="s">
        <v>3092</v>
      </c>
      <c r="P29" t="s">
        <v>3093</v>
      </c>
    </row>
    <row r="30" spans="1:16" x14ac:dyDescent="0.3">
      <c r="A30" t="s">
        <v>494</v>
      </c>
      <c r="B30" t="s">
        <v>2785</v>
      </c>
      <c r="C30" t="s">
        <v>3090</v>
      </c>
      <c r="D30" t="s">
        <v>5535</v>
      </c>
      <c r="E30" t="s">
        <v>503</v>
      </c>
      <c r="F30" t="s">
        <v>5549</v>
      </c>
      <c r="G30">
        <v>6000000</v>
      </c>
      <c r="H30">
        <v>1500000</v>
      </c>
      <c r="I30">
        <v>0</v>
      </c>
      <c r="J30">
        <v>1500000</v>
      </c>
      <c r="K30" t="s">
        <v>5550</v>
      </c>
      <c r="L30">
        <v>4500000</v>
      </c>
      <c r="M30" t="s">
        <v>5551</v>
      </c>
      <c r="N30" t="s">
        <v>5534</v>
      </c>
      <c r="O30" t="s">
        <v>3092</v>
      </c>
      <c r="P30" t="s">
        <v>3093</v>
      </c>
    </row>
    <row r="31" spans="1:16" x14ac:dyDescent="0.3">
      <c r="A31" t="s">
        <v>494</v>
      </c>
      <c r="B31" t="s">
        <v>2785</v>
      </c>
      <c r="C31" t="s">
        <v>833</v>
      </c>
      <c r="D31" t="s">
        <v>5443</v>
      </c>
      <c r="E31" t="s">
        <v>503</v>
      </c>
      <c r="F31" t="s">
        <v>5552</v>
      </c>
      <c r="G31">
        <v>3000000</v>
      </c>
      <c r="H31">
        <v>1500000</v>
      </c>
      <c r="I31">
        <v>0</v>
      </c>
      <c r="J31">
        <v>1500000</v>
      </c>
      <c r="K31" t="s">
        <v>5541</v>
      </c>
      <c r="L31">
        <v>1500000</v>
      </c>
      <c r="M31" t="s">
        <v>5553</v>
      </c>
      <c r="N31" t="s">
        <v>5499</v>
      </c>
      <c r="O31" t="s">
        <v>3067</v>
      </c>
      <c r="P31" t="s">
        <v>3068</v>
      </c>
    </row>
    <row r="32" spans="1:16" x14ac:dyDescent="0.3">
      <c r="A32" t="s">
        <v>494</v>
      </c>
      <c r="B32" t="s">
        <v>2785</v>
      </c>
      <c r="C32" t="s">
        <v>833</v>
      </c>
      <c r="D32" t="s">
        <v>5443</v>
      </c>
      <c r="E32" t="s">
        <v>503</v>
      </c>
      <c r="F32" t="s">
        <v>5554</v>
      </c>
      <c r="G32">
        <v>2000000</v>
      </c>
      <c r="H32">
        <v>999000</v>
      </c>
      <c r="I32">
        <v>0</v>
      </c>
      <c r="J32">
        <v>999000</v>
      </c>
      <c r="K32" t="s">
        <v>5555</v>
      </c>
      <c r="L32">
        <v>1001000</v>
      </c>
      <c r="M32" t="s">
        <v>5556</v>
      </c>
      <c r="N32" t="s">
        <v>5447</v>
      </c>
      <c r="O32" t="s">
        <v>3067</v>
      </c>
      <c r="P32" t="s">
        <v>3068</v>
      </c>
    </row>
    <row r="33" spans="1:16" x14ac:dyDescent="0.3">
      <c r="A33" t="s">
        <v>494</v>
      </c>
      <c r="B33" t="s">
        <v>2785</v>
      </c>
      <c r="C33" t="s">
        <v>833</v>
      </c>
      <c r="D33" t="s">
        <v>5443</v>
      </c>
      <c r="E33" t="s">
        <v>503</v>
      </c>
      <c r="F33" t="s">
        <v>5557</v>
      </c>
      <c r="G33">
        <v>2000000</v>
      </c>
      <c r="H33">
        <v>2000000</v>
      </c>
      <c r="I33">
        <v>0</v>
      </c>
      <c r="J33">
        <v>2000000</v>
      </c>
      <c r="K33" t="s">
        <v>5537</v>
      </c>
      <c r="L33">
        <v>0</v>
      </c>
      <c r="M33" t="s">
        <v>5558</v>
      </c>
      <c r="N33" t="s">
        <v>5559</v>
      </c>
      <c r="O33" t="s">
        <v>3067</v>
      </c>
      <c r="P33" t="s">
        <v>3068</v>
      </c>
    </row>
    <row r="34" spans="1:16" x14ac:dyDescent="0.3">
      <c r="A34" t="s">
        <v>494</v>
      </c>
      <c r="B34" t="s">
        <v>2785</v>
      </c>
      <c r="C34" t="s">
        <v>833</v>
      </c>
      <c r="D34" t="s">
        <v>5443</v>
      </c>
      <c r="E34" t="s">
        <v>503</v>
      </c>
      <c r="F34" t="s">
        <v>5560</v>
      </c>
      <c r="G34">
        <v>3000000</v>
      </c>
      <c r="H34">
        <v>1500000</v>
      </c>
      <c r="I34">
        <v>0</v>
      </c>
      <c r="J34">
        <v>1500000</v>
      </c>
      <c r="K34" t="s">
        <v>5541</v>
      </c>
      <c r="L34">
        <v>1500000</v>
      </c>
      <c r="M34" t="s">
        <v>5561</v>
      </c>
      <c r="N34" t="s">
        <v>5534</v>
      </c>
      <c r="O34" t="s">
        <v>3067</v>
      </c>
      <c r="P34" t="s">
        <v>3068</v>
      </c>
    </row>
    <row r="35" spans="1:16" x14ac:dyDescent="0.3">
      <c r="A35" t="s">
        <v>494</v>
      </c>
      <c r="B35" t="s">
        <v>2785</v>
      </c>
      <c r="C35" t="s">
        <v>833</v>
      </c>
      <c r="D35" t="s">
        <v>5456</v>
      </c>
      <c r="E35" t="s">
        <v>503</v>
      </c>
      <c r="F35" t="s">
        <v>5562</v>
      </c>
      <c r="G35">
        <v>4500000</v>
      </c>
      <c r="H35">
        <v>2990000</v>
      </c>
      <c r="I35">
        <v>0</v>
      </c>
      <c r="J35">
        <v>2990000</v>
      </c>
      <c r="K35" t="s">
        <v>5563</v>
      </c>
      <c r="L35">
        <v>1510000</v>
      </c>
      <c r="M35" t="s">
        <v>5564</v>
      </c>
      <c r="N35" t="s">
        <v>5499</v>
      </c>
      <c r="O35" t="s">
        <v>3054</v>
      </c>
      <c r="P35" t="s">
        <v>3055</v>
      </c>
    </row>
    <row r="36" spans="1:16" x14ac:dyDescent="0.3">
      <c r="A36" t="s">
        <v>494</v>
      </c>
      <c r="B36" t="s">
        <v>2785</v>
      </c>
      <c r="C36" t="s">
        <v>833</v>
      </c>
      <c r="D36" t="s">
        <v>5456</v>
      </c>
      <c r="E36" t="s">
        <v>503</v>
      </c>
      <c r="F36" t="s">
        <v>5565</v>
      </c>
      <c r="G36">
        <v>3000000</v>
      </c>
      <c r="H36">
        <v>1968500</v>
      </c>
      <c r="I36">
        <v>0</v>
      </c>
      <c r="J36">
        <v>1968500</v>
      </c>
      <c r="K36" t="s">
        <v>5566</v>
      </c>
      <c r="L36">
        <v>1031500</v>
      </c>
      <c r="M36" t="s">
        <v>5567</v>
      </c>
      <c r="N36" t="s">
        <v>5447</v>
      </c>
      <c r="O36" t="s">
        <v>3054</v>
      </c>
      <c r="P36" t="s">
        <v>3055</v>
      </c>
    </row>
    <row r="37" spans="1:16" x14ac:dyDescent="0.3">
      <c r="A37" t="s">
        <v>494</v>
      </c>
      <c r="B37" t="s">
        <v>2785</v>
      </c>
      <c r="C37" t="s">
        <v>833</v>
      </c>
      <c r="D37" t="s">
        <v>5456</v>
      </c>
      <c r="E37" t="s">
        <v>503</v>
      </c>
      <c r="F37" t="s">
        <v>5568</v>
      </c>
      <c r="G37">
        <v>11250000</v>
      </c>
      <c r="H37">
        <v>1320000</v>
      </c>
      <c r="I37">
        <v>0</v>
      </c>
      <c r="J37">
        <v>1320000</v>
      </c>
      <c r="K37" t="s">
        <v>5569</v>
      </c>
      <c r="L37">
        <v>9930000</v>
      </c>
      <c r="M37" t="s">
        <v>5570</v>
      </c>
      <c r="N37" t="s">
        <v>5473</v>
      </c>
      <c r="O37" t="s">
        <v>3054</v>
      </c>
      <c r="P37" t="s">
        <v>3055</v>
      </c>
    </row>
    <row r="38" spans="1:16" x14ac:dyDescent="0.3">
      <c r="A38" t="s">
        <v>494</v>
      </c>
      <c r="B38" t="s">
        <v>2469</v>
      </c>
      <c r="C38" t="s">
        <v>833</v>
      </c>
      <c r="D38" t="s">
        <v>5511</v>
      </c>
      <c r="E38" t="s">
        <v>503</v>
      </c>
      <c r="F38" t="s">
        <v>5571</v>
      </c>
      <c r="G38">
        <v>10500000</v>
      </c>
      <c r="H38">
        <v>10500000</v>
      </c>
      <c r="I38">
        <v>0</v>
      </c>
      <c r="J38">
        <v>10500000</v>
      </c>
      <c r="K38" t="s">
        <v>5537</v>
      </c>
      <c r="L38">
        <v>0</v>
      </c>
      <c r="M38" t="s">
        <v>5572</v>
      </c>
      <c r="N38" t="s">
        <v>5473</v>
      </c>
      <c r="O38" t="s">
        <v>2771</v>
      </c>
      <c r="P38" t="s">
        <v>2772</v>
      </c>
    </row>
    <row r="39" spans="1:16" x14ac:dyDescent="0.3">
      <c r="A39" t="s">
        <v>494</v>
      </c>
      <c r="B39" t="s">
        <v>2469</v>
      </c>
      <c r="C39" t="s">
        <v>833</v>
      </c>
      <c r="D39" t="s">
        <v>5511</v>
      </c>
      <c r="E39" t="s">
        <v>503</v>
      </c>
      <c r="F39" t="s">
        <v>5573</v>
      </c>
      <c r="G39">
        <v>10500000</v>
      </c>
      <c r="H39">
        <v>5888500</v>
      </c>
      <c r="I39">
        <v>0</v>
      </c>
      <c r="J39">
        <v>5888500</v>
      </c>
      <c r="K39" t="s">
        <v>5574</v>
      </c>
      <c r="L39">
        <v>4611500</v>
      </c>
      <c r="M39" t="s">
        <v>5575</v>
      </c>
      <c r="N39" t="s">
        <v>5534</v>
      </c>
      <c r="O39" t="s">
        <v>2771</v>
      </c>
      <c r="P39" t="s">
        <v>2772</v>
      </c>
    </row>
    <row r="40" spans="1:16" x14ac:dyDescent="0.3">
      <c r="A40" t="s">
        <v>494</v>
      </c>
      <c r="B40" t="s">
        <v>2469</v>
      </c>
      <c r="C40" t="s">
        <v>833</v>
      </c>
      <c r="D40" t="s">
        <v>5443</v>
      </c>
      <c r="E40" t="s">
        <v>503</v>
      </c>
      <c r="F40" t="s">
        <v>5576</v>
      </c>
      <c r="G40">
        <v>12000000</v>
      </c>
      <c r="H40">
        <v>5939000</v>
      </c>
      <c r="I40">
        <v>0</v>
      </c>
      <c r="J40">
        <v>5939000</v>
      </c>
      <c r="K40" t="s">
        <v>5577</v>
      </c>
      <c r="L40">
        <v>6061000</v>
      </c>
      <c r="M40" t="s">
        <v>5578</v>
      </c>
      <c r="N40" t="s">
        <v>5534</v>
      </c>
      <c r="O40" t="s">
        <v>2756</v>
      </c>
      <c r="P40" t="s">
        <v>2757</v>
      </c>
    </row>
    <row r="41" spans="1:16" x14ac:dyDescent="0.3">
      <c r="A41" t="s">
        <v>494</v>
      </c>
      <c r="B41" t="s">
        <v>2469</v>
      </c>
      <c r="C41" t="s">
        <v>833</v>
      </c>
      <c r="D41" t="s">
        <v>5456</v>
      </c>
      <c r="E41" t="s">
        <v>503</v>
      </c>
      <c r="F41" t="s">
        <v>5579</v>
      </c>
      <c r="G41">
        <v>6000000</v>
      </c>
      <c r="H41">
        <v>2991000</v>
      </c>
      <c r="I41">
        <v>0</v>
      </c>
      <c r="J41">
        <v>2991000</v>
      </c>
      <c r="K41" t="s">
        <v>5580</v>
      </c>
      <c r="L41">
        <v>3009000</v>
      </c>
      <c r="M41" t="s">
        <v>5581</v>
      </c>
      <c r="N41" t="s">
        <v>5534</v>
      </c>
      <c r="O41" t="s">
        <v>2741</v>
      </c>
      <c r="P41" t="s">
        <v>2742</v>
      </c>
    </row>
    <row r="42" spans="1:16" x14ac:dyDescent="0.3">
      <c r="A42" t="s">
        <v>494</v>
      </c>
      <c r="B42" t="s">
        <v>1269</v>
      </c>
      <c r="C42" t="s">
        <v>833</v>
      </c>
      <c r="D42" t="s">
        <v>5582</v>
      </c>
      <c r="E42" t="s">
        <v>503</v>
      </c>
      <c r="F42" t="s">
        <v>5583</v>
      </c>
      <c r="G42">
        <v>3550000</v>
      </c>
      <c r="H42">
        <v>3547000</v>
      </c>
      <c r="I42">
        <v>0</v>
      </c>
      <c r="J42">
        <v>3547000</v>
      </c>
      <c r="K42" t="s">
        <v>5584</v>
      </c>
      <c r="L42">
        <v>3000</v>
      </c>
      <c r="M42" t="s">
        <v>5585</v>
      </c>
      <c r="N42" t="s">
        <v>5586</v>
      </c>
      <c r="O42" t="s">
        <v>1536</v>
      </c>
      <c r="P42" t="s">
        <v>1538</v>
      </c>
    </row>
    <row r="43" spans="1:16" x14ac:dyDescent="0.3">
      <c r="A43" t="s">
        <v>494</v>
      </c>
      <c r="B43" t="s">
        <v>1269</v>
      </c>
      <c r="C43" t="s">
        <v>833</v>
      </c>
      <c r="D43" t="s">
        <v>5582</v>
      </c>
      <c r="E43" t="s">
        <v>503</v>
      </c>
      <c r="F43" t="s">
        <v>5587</v>
      </c>
      <c r="G43">
        <v>3000000</v>
      </c>
      <c r="H43">
        <v>2950000</v>
      </c>
      <c r="I43">
        <v>0</v>
      </c>
      <c r="J43">
        <v>2950000</v>
      </c>
      <c r="K43" t="s">
        <v>5588</v>
      </c>
      <c r="L43">
        <v>50000</v>
      </c>
      <c r="M43" t="s">
        <v>5589</v>
      </c>
      <c r="N43" t="s">
        <v>5590</v>
      </c>
      <c r="O43" t="s">
        <v>1536</v>
      </c>
      <c r="P43" t="s">
        <v>1538</v>
      </c>
    </row>
    <row r="44" spans="1:16" x14ac:dyDescent="0.3">
      <c r="A44" t="s">
        <v>494</v>
      </c>
      <c r="B44" t="s">
        <v>1269</v>
      </c>
      <c r="C44" t="s">
        <v>833</v>
      </c>
      <c r="D44" t="s">
        <v>5582</v>
      </c>
      <c r="E44" t="s">
        <v>503</v>
      </c>
      <c r="F44" t="s">
        <v>5591</v>
      </c>
      <c r="G44">
        <v>3000000</v>
      </c>
      <c r="H44">
        <v>1459000</v>
      </c>
      <c r="I44">
        <v>0</v>
      </c>
      <c r="J44">
        <v>1459000</v>
      </c>
      <c r="K44" t="s">
        <v>5592</v>
      </c>
      <c r="L44">
        <v>1541000</v>
      </c>
      <c r="M44" t="s">
        <v>5593</v>
      </c>
      <c r="N44" t="s">
        <v>5499</v>
      </c>
      <c r="O44" t="s">
        <v>1536</v>
      </c>
      <c r="P44" t="s">
        <v>1538</v>
      </c>
    </row>
    <row r="45" spans="1:16" x14ac:dyDescent="0.3">
      <c r="A45" t="s">
        <v>494</v>
      </c>
      <c r="B45" t="s">
        <v>1269</v>
      </c>
      <c r="C45" t="s">
        <v>833</v>
      </c>
      <c r="D45" t="s">
        <v>5582</v>
      </c>
      <c r="E45" t="s">
        <v>503</v>
      </c>
      <c r="F45" t="s">
        <v>5594</v>
      </c>
      <c r="G45">
        <v>2000000</v>
      </c>
      <c r="H45">
        <v>985000</v>
      </c>
      <c r="I45">
        <v>0</v>
      </c>
      <c r="J45">
        <v>985000</v>
      </c>
      <c r="K45" t="s">
        <v>5595</v>
      </c>
      <c r="L45">
        <v>1015000</v>
      </c>
      <c r="M45" t="s">
        <v>5596</v>
      </c>
      <c r="N45" t="s">
        <v>5447</v>
      </c>
      <c r="O45" t="s">
        <v>1536</v>
      </c>
      <c r="P45" t="s">
        <v>1538</v>
      </c>
    </row>
    <row r="46" spans="1:16" x14ac:dyDescent="0.3">
      <c r="A46" t="s">
        <v>494</v>
      </c>
      <c r="B46" t="s">
        <v>1269</v>
      </c>
      <c r="C46" t="s">
        <v>833</v>
      </c>
      <c r="D46" t="s">
        <v>5582</v>
      </c>
      <c r="E46" t="s">
        <v>503</v>
      </c>
      <c r="F46" t="s">
        <v>5597</v>
      </c>
      <c r="G46">
        <v>1500000</v>
      </c>
      <c r="H46">
        <v>528000</v>
      </c>
      <c r="I46">
        <v>0</v>
      </c>
      <c r="J46">
        <v>528000</v>
      </c>
      <c r="K46" t="s">
        <v>5598</v>
      </c>
      <c r="L46">
        <v>972000</v>
      </c>
      <c r="M46" t="s">
        <v>5599</v>
      </c>
      <c r="N46" t="s">
        <v>5473</v>
      </c>
      <c r="O46" t="s">
        <v>1536</v>
      </c>
      <c r="P46" t="s">
        <v>1538</v>
      </c>
    </row>
    <row r="47" spans="1:16" x14ac:dyDescent="0.3">
      <c r="A47" t="s">
        <v>494</v>
      </c>
      <c r="B47" t="s">
        <v>1269</v>
      </c>
      <c r="C47" t="s">
        <v>833</v>
      </c>
      <c r="D47" t="s">
        <v>5474</v>
      </c>
      <c r="E47" t="s">
        <v>503</v>
      </c>
      <c r="F47" t="s">
        <v>5600</v>
      </c>
      <c r="G47">
        <v>1500000</v>
      </c>
      <c r="H47">
        <v>1495000</v>
      </c>
      <c r="I47">
        <v>0</v>
      </c>
      <c r="J47">
        <v>1495000</v>
      </c>
      <c r="K47" t="s">
        <v>5601</v>
      </c>
      <c r="L47">
        <v>5000</v>
      </c>
      <c r="M47" t="s">
        <v>5602</v>
      </c>
      <c r="N47" t="s">
        <v>5499</v>
      </c>
      <c r="O47" t="s">
        <v>1490</v>
      </c>
      <c r="P47" t="s">
        <v>1491</v>
      </c>
    </row>
    <row r="48" spans="1:16" x14ac:dyDescent="0.3">
      <c r="A48" t="s">
        <v>494</v>
      </c>
      <c r="B48" t="s">
        <v>1269</v>
      </c>
      <c r="C48" t="s">
        <v>833</v>
      </c>
      <c r="D48" t="s">
        <v>5474</v>
      </c>
      <c r="E48" t="s">
        <v>503</v>
      </c>
      <c r="F48" t="s">
        <v>5603</v>
      </c>
      <c r="G48">
        <v>1000000</v>
      </c>
      <c r="H48">
        <v>993500</v>
      </c>
      <c r="I48">
        <v>0</v>
      </c>
      <c r="J48">
        <v>993500</v>
      </c>
      <c r="K48" t="s">
        <v>5604</v>
      </c>
      <c r="L48">
        <v>6500</v>
      </c>
      <c r="M48" t="s">
        <v>5605</v>
      </c>
      <c r="N48" t="s">
        <v>5447</v>
      </c>
      <c r="O48" t="s">
        <v>1490</v>
      </c>
      <c r="P48" t="s">
        <v>1491</v>
      </c>
    </row>
    <row r="49" spans="1:16" x14ac:dyDescent="0.3">
      <c r="A49" t="s">
        <v>494</v>
      </c>
      <c r="B49" t="s">
        <v>1269</v>
      </c>
      <c r="C49" t="s">
        <v>833</v>
      </c>
      <c r="D49" t="s">
        <v>5474</v>
      </c>
      <c r="E49" t="s">
        <v>503</v>
      </c>
      <c r="F49" t="s">
        <v>5606</v>
      </c>
      <c r="G49">
        <v>10050000</v>
      </c>
      <c r="H49">
        <v>9054000</v>
      </c>
      <c r="I49">
        <v>0</v>
      </c>
      <c r="J49">
        <v>9054000</v>
      </c>
      <c r="K49" t="s">
        <v>5607</v>
      </c>
      <c r="L49">
        <v>996000</v>
      </c>
      <c r="M49" t="s">
        <v>5608</v>
      </c>
      <c r="N49" t="s">
        <v>5473</v>
      </c>
      <c r="O49" t="s">
        <v>1490</v>
      </c>
      <c r="P49" t="s">
        <v>1491</v>
      </c>
    </row>
    <row r="50" spans="1:16" x14ac:dyDescent="0.3">
      <c r="A50" t="s">
        <v>494</v>
      </c>
      <c r="B50" t="s">
        <v>1269</v>
      </c>
      <c r="C50" t="s">
        <v>833</v>
      </c>
      <c r="D50" t="s">
        <v>5461</v>
      </c>
      <c r="E50" t="s">
        <v>503</v>
      </c>
      <c r="F50" t="s">
        <v>5609</v>
      </c>
      <c r="G50">
        <v>1500000</v>
      </c>
      <c r="H50">
        <v>1500000</v>
      </c>
      <c r="I50">
        <v>0</v>
      </c>
      <c r="J50">
        <v>1500000</v>
      </c>
      <c r="K50" t="s">
        <v>5537</v>
      </c>
      <c r="L50">
        <v>0</v>
      </c>
      <c r="M50" t="s">
        <v>5610</v>
      </c>
      <c r="N50" t="s">
        <v>5499</v>
      </c>
      <c r="O50" t="s">
        <v>1469</v>
      </c>
      <c r="P50" t="s">
        <v>1470</v>
      </c>
    </row>
    <row r="51" spans="1:16" x14ac:dyDescent="0.3">
      <c r="A51" t="s">
        <v>494</v>
      </c>
      <c r="B51" t="s">
        <v>1269</v>
      </c>
      <c r="C51" t="s">
        <v>833</v>
      </c>
      <c r="D51" t="s">
        <v>5461</v>
      </c>
      <c r="E51" t="s">
        <v>503</v>
      </c>
      <c r="F51" t="s">
        <v>5611</v>
      </c>
      <c r="G51">
        <v>1000000</v>
      </c>
      <c r="H51">
        <v>999500</v>
      </c>
      <c r="I51">
        <v>0</v>
      </c>
      <c r="J51">
        <v>999500</v>
      </c>
      <c r="K51" t="s">
        <v>5612</v>
      </c>
      <c r="L51">
        <v>500</v>
      </c>
      <c r="M51" t="s">
        <v>5613</v>
      </c>
      <c r="N51" t="s">
        <v>5447</v>
      </c>
      <c r="O51" t="s">
        <v>1469</v>
      </c>
      <c r="P51" t="s">
        <v>1470</v>
      </c>
    </row>
    <row r="52" spans="1:16" x14ac:dyDescent="0.3">
      <c r="A52" t="s">
        <v>494</v>
      </c>
      <c r="B52" t="s">
        <v>1269</v>
      </c>
      <c r="C52" t="s">
        <v>833</v>
      </c>
      <c r="D52" t="s">
        <v>5461</v>
      </c>
      <c r="E52" t="s">
        <v>503</v>
      </c>
      <c r="F52" t="s">
        <v>5614</v>
      </c>
      <c r="G52">
        <v>1500000</v>
      </c>
      <c r="H52">
        <v>1499700</v>
      </c>
      <c r="I52">
        <v>0</v>
      </c>
      <c r="J52">
        <v>1499700</v>
      </c>
      <c r="K52" t="s">
        <v>5615</v>
      </c>
      <c r="L52">
        <v>300</v>
      </c>
      <c r="M52" t="s">
        <v>5616</v>
      </c>
      <c r="N52" t="s">
        <v>5534</v>
      </c>
      <c r="O52" t="s">
        <v>1469</v>
      </c>
      <c r="P52" t="s">
        <v>1470</v>
      </c>
    </row>
    <row r="53" spans="1:16" x14ac:dyDescent="0.3">
      <c r="A53" t="s">
        <v>494</v>
      </c>
      <c r="B53" t="s">
        <v>1269</v>
      </c>
      <c r="C53" t="s">
        <v>833</v>
      </c>
      <c r="D53" t="s">
        <v>5492</v>
      </c>
      <c r="E53" t="s">
        <v>503</v>
      </c>
      <c r="F53" t="s">
        <v>5617</v>
      </c>
      <c r="G53">
        <v>34100000</v>
      </c>
      <c r="H53">
        <v>34100000</v>
      </c>
      <c r="I53">
        <v>0</v>
      </c>
      <c r="J53">
        <v>34100000</v>
      </c>
      <c r="K53" t="s">
        <v>5537</v>
      </c>
      <c r="L53">
        <v>0</v>
      </c>
      <c r="M53" t="s">
        <v>5618</v>
      </c>
      <c r="N53" t="s">
        <v>5619</v>
      </c>
      <c r="O53" t="s">
        <v>1448</v>
      </c>
      <c r="P53" t="s">
        <v>1449</v>
      </c>
    </row>
    <row r="54" spans="1:16" x14ac:dyDescent="0.3">
      <c r="A54" t="s">
        <v>494</v>
      </c>
      <c r="B54" t="s">
        <v>1269</v>
      </c>
      <c r="C54" t="s">
        <v>833</v>
      </c>
      <c r="D54" t="s">
        <v>5492</v>
      </c>
      <c r="E54" t="s">
        <v>503</v>
      </c>
      <c r="F54" t="s">
        <v>5620</v>
      </c>
      <c r="G54">
        <v>1500000</v>
      </c>
      <c r="H54">
        <v>1500000</v>
      </c>
      <c r="I54">
        <v>0</v>
      </c>
      <c r="J54">
        <v>1500000</v>
      </c>
      <c r="K54" t="s">
        <v>5537</v>
      </c>
      <c r="L54">
        <v>0</v>
      </c>
      <c r="M54" t="s">
        <v>5621</v>
      </c>
      <c r="N54" t="s">
        <v>5499</v>
      </c>
      <c r="O54" t="s">
        <v>1448</v>
      </c>
      <c r="P54" t="s">
        <v>1449</v>
      </c>
    </row>
    <row r="55" spans="1:16" x14ac:dyDescent="0.3">
      <c r="A55" t="s">
        <v>494</v>
      </c>
      <c r="B55" t="s">
        <v>1269</v>
      </c>
      <c r="C55" t="s">
        <v>833</v>
      </c>
      <c r="D55" t="s">
        <v>5492</v>
      </c>
      <c r="E55" t="s">
        <v>503</v>
      </c>
      <c r="F55" t="s">
        <v>5622</v>
      </c>
      <c r="G55">
        <v>1000000</v>
      </c>
      <c r="H55">
        <v>997000</v>
      </c>
      <c r="I55">
        <v>0</v>
      </c>
      <c r="J55">
        <v>997000</v>
      </c>
      <c r="K55" t="s">
        <v>5623</v>
      </c>
      <c r="L55">
        <v>3000</v>
      </c>
      <c r="M55" t="s">
        <v>5624</v>
      </c>
      <c r="N55" t="s">
        <v>5447</v>
      </c>
      <c r="O55" t="s">
        <v>1448</v>
      </c>
      <c r="P55" t="s">
        <v>1449</v>
      </c>
    </row>
    <row r="56" spans="1:16" x14ac:dyDescent="0.3">
      <c r="A56" t="s">
        <v>494</v>
      </c>
      <c r="B56" t="s">
        <v>1269</v>
      </c>
      <c r="C56" t="s">
        <v>833</v>
      </c>
      <c r="D56" t="s">
        <v>5492</v>
      </c>
      <c r="E56" t="s">
        <v>503</v>
      </c>
      <c r="F56" t="s">
        <v>5625</v>
      </c>
      <c r="G56">
        <v>1500000</v>
      </c>
      <c r="H56">
        <v>1498000</v>
      </c>
      <c r="I56">
        <v>0</v>
      </c>
      <c r="J56">
        <v>1498000</v>
      </c>
      <c r="K56" t="s">
        <v>5626</v>
      </c>
      <c r="L56">
        <v>2000</v>
      </c>
      <c r="M56" t="s">
        <v>5627</v>
      </c>
      <c r="N56" t="s">
        <v>5534</v>
      </c>
      <c r="O56" t="s">
        <v>1448</v>
      </c>
      <c r="P56" t="s">
        <v>1449</v>
      </c>
    </row>
    <row r="57" spans="1:16" x14ac:dyDescent="0.3">
      <c r="A57" t="s">
        <v>494</v>
      </c>
      <c r="B57" t="s">
        <v>1269</v>
      </c>
      <c r="C57" t="s">
        <v>833</v>
      </c>
      <c r="D57" t="s">
        <v>5500</v>
      </c>
      <c r="E57" t="s">
        <v>503</v>
      </c>
      <c r="F57" t="s">
        <v>5628</v>
      </c>
      <c r="G57">
        <v>1500000</v>
      </c>
      <c r="H57">
        <v>1499000</v>
      </c>
      <c r="I57">
        <v>0</v>
      </c>
      <c r="J57">
        <v>1499000</v>
      </c>
      <c r="K57" t="s">
        <v>5629</v>
      </c>
      <c r="L57">
        <v>1000</v>
      </c>
      <c r="M57" t="s">
        <v>5630</v>
      </c>
      <c r="N57" t="s">
        <v>5631</v>
      </c>
      <c r="O57" t="s">
        <v>1437</v>
      </c>
      <c r="P57" t="s">
        <v>1438</v>
      </c>
    </row>
    <row r="58" spans="1:16" x14ac:dyDescent="0.3">
      <c r="A58" t="s">
        <v>494</v>
      </c>
      <c r="B58" t="s">
        <v>1269</v>
      </c>
      <c r="C58" t="s">
        <v>833</v>
      </c>
      <c r="D58" t="s">
        <v>5500</v>
      </c>
      <c r="E58" t="s">
        <v>503</v>
      </c>
      <c r="F58" t="s">
        <v>5632</v>
      </c>
      <c r="G58">
        <v>4500000</v>
      </c>
      <c r="H58">
        <v>1498000</v>
      </c>
      <c r="I58">
        <v>0</v>
      </c>
      <c r="J58">
        <v>1498000</v>
      </c>
      <c r="K58" t="s">
        <v>5633</v>
      </c>
      <c r="L58">
        <v>3002000</v>
      </c>
      <c r="M58" t="s">
        <v>5634</v>
      </c>
      <c r="N58" t="s">
        <v>5534</v>
      </c>
      <c r="O58" t="s">
        <v>1437</v>
      </c>
      <c r="P58" t="s">
        <v>1438</v>
      </c>
    </row>
    <row r="59" spans="1:16" x14ac:dyDescent="0.3">
      <c r="A59" t="s">
        <v>494</v>
      </c>
      <c r="B59" t="s">
        <v>1269</v>
      </c>
      <c r="C59" t="s">
        <v>833</v>
      </c>
      <c r="D59" t="s">
        <v>5500</v>
      </c>
      <c r="E59" t="s">
        <v>503</v>
      </c>
      <c r="F59" t="s">
        <v>5635</v>
      </c>
      <c r="G59">
        <v>4500000</v>
      </c>
      <c r="H59">
        <v>1500000</v>
      </c>
      <c r="I59">
        <v>0</v>
      </c>
      <c r="J59">
        <v>1500000</v>
      </c>
      <c r="K59" t="s">
        <v>5636</v>
      </c>
      <c r="L59">
        <v>3000000</v>
      </c>
      <c r="M59" t="s">
        <v>5637</v>
      </c>
      <c r="N59" t="s">
        <v>5499</v>
      </c>
      <c r="O59" t="s">
        <v>1437</v>
      </c>
      <c r="P59" t="s">
        <v>1438</v>
      </c>
    </row>
    <row r="60" spans="1:16" x14ac:dyDescent="0.3">
      <c r="A60" t="s">
        <v>494</v>
      </c>
      <c r="B60" t="s">
        <v>1269</v>
      </c>
      <c r="C60" t="s">
        <v>833</v>
      </c>
      <c r="D60" t="s">
        <v>5500</v>
      </c>
      <c r="E60" t="s">
        <v>503</v>
      </c>
      <c r="F60" t="s">
        <v>5638</v>
      </c>
      <c r="G60">
        <v>3000000</v>
      </c>
      <c r="H60">
        <v>962000</v>
      </c>
      <c r="I60">
        <v>0</v>
      </c>
      <c r="J60">
        <v>962000</v>
      </c>
      <c r="K60" t="s">
        <v>5639</v>
      </c>
      <c r="L60">
        <v>2038000</v>
      </c>
      <c r="M60" t="s">
        <v>5640</v>
      </c>
      <c r="N60" t="s">
        <v>5447</v>
      </c>
      <c r="O60" t="s">
        <v>1437</v>
      </c>
      <c r="P60" t="s">
        <v>1438</v>
      </c>
    </row>
    <row r="61" spans="1:16" x14ac:dyDescent="0.3">
      <c r="A61" t="s">
        <v>494</v>
      </c>
      <c r="B61" t="s">
        <v>1269</v>
      </c>
      <c r="C61" t="s">
        <v>833</v>
      </c>
      <c r="D61" t="s">
        <v>5511</v>
      </c>
      <c r="E61" t="s">
        <v>503</v>
      </c>
      <c r="F61" t="s">
        <v>5641</v>
      </c>
      <c r="G61">
        <v>1500000</v>
      </c>
      <c r="H61">
        <v>1500000</v>
      </c>
      <c r="I61">
        <v>0</v>
      </c>
      <c r="J61">
        <v>1500000</v>
      </c>
      <c r="K61" t="s">
        <v>5537</v>
      </c>
      <c r="L61">
        <v>0</v>
      </c>
      <c r="M61" t="s">
        <v>5642</v>
      </c>
      <c r="N61" t="s">
        <v>5631</v>
      </c>
      <c r="O61" t="s">
        <v>1417</v>
      </c>
      <c r="P61" t="s">
        <v>1419</v>
      </c>
    </row>
    <row r="62" spans="1:16" x14ac:dyDescent="0.3">
      <c r="A62" t="s">
        <v>494</v>
      </c>
      <c r="B62" t="s">
        <v>1269</v>
      </c>
      <c r="C62" t="s">
        <v>833</v>
      </c>
      <c r="D62" t="s">
        <v>5511</v>
      </c>
      <c r="E62" t="s">
        <v>503</v>
      </c>
      <c r="F62" t="s">
        <v>5643</v>
      </c>
      <c r="G62">
        <v>3000000</v>
      </c>
      <c r="H62">
        <v>2980000</v>
      </c>
      <c r="I62">
        <v>0</v>
      </c>
      <c r="J62">
        <v>2980000</v>
      </c>
      <c r="K62" t="s">
        <v>5644</v>
      </c>
      <c r="L62">
        <v>20000</v>
      </c>
      <c r="M62" t="s">
        <v>5645</v>
      </c>
      <c r="N62" t="s">
        <v>5499</v>
      </c>
      <c r="O62" t="s">
        <v>1417</v>
      </c>
      <c r="P62" t="s">
        <v>1419</v>
      </c>
    </row>
    <row r="63" spans="1:16" x14ac:dyDescent="0.3">
      <c r="A63" t="s">
        <v>494</v>
      </c>
      <c r="B63" t="s">
        <v>1269</v>
      </c>
      <c r="C63" t="s">
        <v>833</v>
      </c>
      <c r="D63" t="s">
        <v>5511</v>
      </c>
      <c r="E63" t="s">
        <v>503</v>
      </c>
      <c r="F63" t="s">
        <v>5646</v>
      </c>
      <c r="G63">
        <v>2000000</v>
      </c>
      <c r="H63">
        <v>1989000</v>
      </c>
      <c r="I63">
        <v>0</v>
      </c>
      <c r="J63">
        <v>1989000</v>
      </c>
      <c r="K63" t="s">
        <v>5647</v>
      </c>
      <c r="L63">
        <v>11000</v>
      </c>
      <c r="M63" t="s">
        <v>5648</v>
      </c>
      <c r="N63" t="s">
        <v>5447</v>
      </c>
      <c r="O63" t="s">
        <v>1417</v>
      </c>
      <c r="P63" t="s">
        <v>1419</v>
      </c>
    </row>
    <row r="64" spans="1:16" x14ac:dyDescent="0.3">
      <c r="A64" t="s">
        <v>494</v>
      </c>
      <c r="B64" t="s">
        <v>1269</v>
      </c>
      <c r="C64" t="s">
        <v>833</v>
      </c>
      <c r="D64" t="s">
        <v>5511</v>
      </c>
      <c r="E64" t="s">
        <v>503</v>
      </c>
      <c r="F64" t="s">
        <v>5649</v>
      </c>
      <c r="G64">
        <v>3000000</v>
      </c>
      <c r="H64">
        <v>3000000</v>
      </c>
      <c r="I64">
        <v>0</v>
      </c>
      <c r="J64">
        <v>3000000</v>
      </c>
      <c r="K64" t="s">
        <v>5537</v>
      </c>
      <c r="L64">
        <v>0</v>
      </c>
      <c r="M64" t="s">
        <v>5650</v>
      </c>
      <c r="N64" t="s">
        <v>5534</v>
      </c>
      <c r="O64" t="s">
        <v>1417</v>
      </c>
      <c r="P64" t="s">
        <v>1419</v>
      </c>
    </row>
    <row r="65" spans="1:16" x14ac:dyDescent="0.3">
      <c r="A65" t="s">
        <v>494</v>
      </c>
      <c r="B65" t="s">
        <v>1269</v>
      </c>
      <c r="C65" t="s">
        <v>833</v>
      </c>
      <c r="D65" t="s">
        <v>5511</v>
      </c>
      <c r="E65" t="s">
        <v>503</v>
      </c>
      <c r="F65" t="s">
        <v>5651</v>
      </c>
      <c r="G65">
        <v>24000000</v>
      </c>
      <c r="H65">
        <v>23902740</v>
      </c>
      <c r="I65">
        <v>0</v>
      </c>
      <c r="J65">
        <v>23902740</v>
      </c>
      <c r="K65" t="s">
        <v>5652</v>
      </c>
      <c r="L65">
        <v>97260</v>
      </c>
      <c r="M65" t="s">
        <v>5653</v>
      </c>
      <c r="N65" t="s">
        <v>5654</v>
      </c>
      <c r="O65" t="s">
        <v>1417</v>
      </c>
      <c r="P65" t="s">
        <v>1419</v>
      </c>
    </row>
    <row r="66" spans="1:16" x14ac:dyDescent="0.3">
      <c r="A66" t="s">
        <v>494</v>
      </c>
      <c r="B66" t="s">
        <v>1269</v>
      </c>
      <c r="C66" t="s">
        <v>833</v>
      </c>
      <c r="D66" t="s">
        <v>5443</v>
      </c>
      <c r="E66" t="s">
        <v>503</v>
      </c>
      <c r="F66" t="s">
        <v>5655</v>
      </c>
      <c r="G66">
        <v>4000000</v>
      </c>
      <c r="H66">
        <v>2970000</v>
      </c>
      <c r="I66">
        <v>0</v>
      </c>
      <c r="J66">
        <v>2970000</v>
      </c>
      <c r="K66" t="s">
        <v>5656</v>
      </c>
      <c r="L66">
        <v>1030000</v>
      </c>
      <c r="M66" t="s">
        <v>5657</v>
      </c>
      <c r="N66" t="s">
        <v>5499</v>
      </c>
      <c r="O66" t="s">
        <v>1403</v>
      </c>
      <c r="P66" t="s">
        <v>1404</v>
      </c>
    </row>
    <row r="67" spans="1:16" x14ac:dyDescent="0.3">
      <c r="A67" t="s">
        <v>494</v>
      </c>
      <c r="B67" t="s">
        <v>1269</v>
      </c>
      <c r="C67" t="s">
        <v>833</v>
      </c>
      <c r="D67" t="s">
        <v>5443</v>
      </c>
      <c r="E67" t="s">
        <v>503</v>
      </c>
      <c r="F67" t="s">
        <v>5658</v>
      </c>
      <c r="G67">
        <v>6000000</v>
      </c>
      <c r="H67">
        <v>2000000</v>
      </c>
      <c r="I67">
        <v>0</v>
      </c>
      <c r="J67">
        <v>2000000</v>
      </c>
      <c r="K67" t="s">
        <v>5636</v>
      </c>
      <c r="L67">
        <v>4000000</v>
      </c>
      <c r="M67" t="s">
        <v>5659</v>
      </c>
      <c r="N67" t="s">
        <v>5447</v>
      </c>
      <c r="O67" t="s">
        <v>1403</v>
      </c>
      <c r="P67" t="s">
        <v>1404</v>
      </c>
    </row>
    <row r="68" spans="1:16" x14ac:dyDescent="0.3">
      <c r="A68" t="s">
        <v>494</v>
      </c>
      <c r="B68" t="s">
        <v>1269</v>
      </c>
      <c r="C68" t="s">
        <v>833</v>
      </c>
      <c r="D68" t="s">
        <v>5456</v>
      </c>
      <c r="E68" t="s">
        <v>503</v>
      </c>
      <c r="F68" t="s">
        <v>5660</v>
      </c>
      <c r="G68">
        <v>1500000</v>
      </c>
      <c r="H68">
        <v>1499000</v>
      </c>
      <c r="I68">
        <v>0</v>
      </c>
      <c r="J68">
        <v>1499000</v>
      </c>
      <c r="K68" t="s">
        <v>5629</v>
      </c>
      <c r="L68">
        <v>1000</v>
      </c>
      <c r="M68" t="s">
        <v>5661</v>
      </c>
      <c r="N68" t="s">
        <v>5534</v>
      </c>
      <c r="O68" t="s">
        <v>1390</v>
      </c>
      <c r="P68" t="s">
        <v>1391</v>
      </c>
    </row>
    <row r="69" spans="1:16" x14ac:dyDescent="0.3">
      <c r="A69" t="s">
        <v>494</v>
      </c>
      <c r="B69" t="s">
        <v>1269</v>
      </c>
      <c r="C69" t="s">
        <v>833</v>
      </c>
      <c r="D69" t="s">
        <v>5456</v>
      </c>
      <c r="E69" t="s">
        <v>503</v>
      </c>
      <c r="F69" t="s">
        <v>5662</v>
      </c>
      <c r="G69">
        <v>2000000</v>
      </c>
      <c r="H69">
        <v>1500000</v>
      </c>
      <c r="I69">
        <v>0</v>
      </c>
      <c r="J69">
        <v>1500000</v>
      </c>
      <c r="K69" t="s">
        <v>5663</v>
      </c>
      <c r="L69">
        <v>500000</v>
      </c>
      <c r="M69" t="s">
        <v>5664</v>
      </c>
      <c r="N69" t="s">
        <v>5499</v>
      </c>
      <c r="O69" t="s">
        <v>1390</v>
      </c>
      <c r="P69" t="s">
        <v>1391</v>
      </c>
    </row>
    <row r="70" spans="1:16" x14ac:dyDescent="0.3">
      <c r="A70" t="s">
        <v>494</v>
      </c>
      <c r="B70" t="s">
        <v>1269</v>
      </c>
      <c r="C70" t="s">
        <v>833</v>
      </c>
      <c r="D70" t="s">
        <v>5456</v>
      </c>
      <c r="E70" t="s">
        <v>503</v>
      </c>
      <c r="F70" t="s">
        <v>5665</v>
      </c>
      <c r="G70">
        <v>1500000</v>
      </c>
      <c r="H70">
        <v>999800</v>
      </c>
      <c r="I70">
        <v>0</v>
      </c>
      <c r="J70">
        <v>999800</v>
      </c>
      <c r="K70" t="s">
        <v>5666</v>
      </c>
      <c r="L70">
        <v>500200</v>
      </c>
      <c r="M70" t="s">
        <v>5667</v>
      </c>
      <c r="N70" t="s">
        <v>5447</v>
      </c>
      <c r="O70" t="s">
        <v>1390</v>
      </c>
      <c r="P70" t="s">
        <v>1391</v>
      </c>
    </row>
    <row r="71" spans="1:16" x14ac:dyDescent="0.3">
      <c r="A71" t="s">
        <v>494</v>
      </c>
      <c r="B71" t="s">
        <v>1036</v>
      </c>
      <c r="C71" t="s">
        <v>1185</v>
      </c>
      <c r="D71" t="s">
        <v>5668</v>
      </c>
      <c r="E71" t="s">
        <v>503</v>
      </c>
      <c r="F71" t="s">
        <v>5669</v>
      </c>
      <c r="G71">
        <v>8400000</v>
      </c>
      <c r="H71">
        <v>3990000</v>
      </c>
      <c r="I71">
        <v>0</v>
      </c>
      <c r="J71">
        <v>3990000</v>
      </c>
      <c r="K71" t="s">
        <v>5670</v>
      </c>
      <c r="L71">
        <v>4410000</v>
      </c>
      <c r="M71" t="s">
        <v>5671</v>
      </c>
      <c r="N71" t="s">
        <v>5672</v>
      </c>
      <c r="O71" t="s">
        <v>1187</v>
      </c>
      <c r="P71" t="s">
        <v>1188</v>
      </c>
    </row>
    <row r="72" spans="1:16" x14ac:dyDescent="0.3">
      <c r="A72" t="s">
        <v>494</v>
      </c>
      <c r="B72" t="s">
        <v>1036</v>
      </c>
      <c r="C72" t="s">
        <v>1185</v>
      </c>
      <c r="D72" t="s">
        <v>5668</v>
      </c>
      <c r="E72" t="s">
        <v>503</v>
      </c>
      <c r="F72" t="s">
        <v>5673</v>
      </c>
      <c r="G72">
        <v>4000000</v>
      </c>
      <c r="H72">
        <v>1957500</v>
      </c>
      <c r="I72">
        <v>0</v>
      </c>
      <c r="J72">
        <v>1957500</v>
      </c>
      <c r="K72" t="s">
        <v>5674</v>
      </c>
      <c r="L72">
        <v>2042500</v>
      </c>
      <c r="M72" t="s">
        <v>5675</v>
      </c>
      <c r="N72" t="s">
        <v>5534</v>
      </c>
      <c r="O72" t="s">
        <v>1187</v>
      </c>
      <c r="P72" t="s">
        <v>1188</v>
      </c>
    </row>
    <row r="73" spans="1:16" x14ac:dyDescent="0.3">
      <c r="A73" t="s">
        <v>494</v>
      </c>
      <c r="B73" t="s">
        <v>3105</v>
      </c>
      <c r="C73" t="s">
        <v>833</v>
      </c>
      <c r="D73" t="s">
        <v>5461</v>
      </c>
      <c r="E73" t="s">
        <v>537</v>
      </c>
      <c r="F73" t="s">
        <v>5676</v>
      </c>
      <c r="G73">
        <v>11000000</v>
      </c>
      <c r="H73">
        <v>4000000</v>
      </c>
      <c r="I73">
        <v>0</v>
      </c>
      <c r="J73">
        <v>4000000</v>
      </c>
      <c r="K73" t="s">
        <v>5677</v>
      </c>
      <c r="L73">
        <v>7000000</v>
      </c>
      <c r="M73" t="s">
        <v>5678</v>
      </c>
      <c r="N73" t="s">
        <v>5447</v>
      </c>
      <c r="O73" t="s">
        <v>3377</v>
      </c>
      <c r="P73" t="s">
        <v>3381</v>
      </c>
    </row>
    <row r="74" spans="1:16" x14ac:dyDescent="0.3">
      <c r="A74" t="s">
        <v>494</v>
      </c>
      <c r="B74" t="s">
        <v>3105</v>
      </c>
      <c r="C74" t="s">
        <v>833</v>
      </c>
      <c r="D74" t="s">
        <v>5461</v>
      </c>
      <c r="E74" t="s">
        <v>537</v>
      </c>
      <c r="F74" t="s">
        <v>5679</v>
      </c>
      <c r="G74">
        <v>16500000</v>
      </c>
      <c r="H74">
        <v>5960000</v>
      </c>
      <c r="I74">
        <v>0</v>
      </c>
      <c r="J74">
        <v>5960000</v>
      </c>
      <c r="K74" t="s">
        <v>5680</v>
      </c>
      <c r="L74">
        <v>10540000</v>
      </c>
      <c r="M74" t="s">
        <v>5681</v>
      </c>
      <c r="N74" t="s">
        <v>5499</v>
      </c>
      <c r="O74" t="s">
        <v>3377</v>
      </c>
      <c r="P74" t="s">
        <v>3381</v>
      </c>
    </row>
    <row r="75" spans="1:16" x14ac:dyDescent="0.3">
      <c r="A75" t="s">
        <v>494</v>
      </c>
      <c r="B75" t="s">
        <v>2469</v>
      </c>
      <c r="C75" t="s">
        <v>833</v>
      </c>
      <c r="D75" t="s">
        <v>5511</v>
      </c>
      <c r="E75" t="s">
        <v>537</v>
      </c>
      <c r="F75" t="s">
        <v>5682</v>
      </c>
      <c r="G75">
        <v>10500000</v>
      </c>
      <c r="H75">
        <v>5848750</v>
      </c>
      <c r="I75">
        <v>0</v>
      </c>
      <c r="J75">
        <v>5848750</v>
      </c>
      <c r="K75" t="s">
        <v>5683</v>
      </c>
      <c r="L75">
        <v>4651250</v>
      </c>
      <c r="M75" t="s">
        <v>5684</v>
      </c>
      <c r="N75" t="s">
        <v>5499</v>
      </c>
      <c r="O75" t="s">
        <v>2771</v>
      </c>
      <c r="P75" t="s">
        <v>2776</v>
      </c>
    </row>
    <row r="76" spans="1:16" x14ac:dyDescent="0.3">
      <c r="A76" t="s">
        <v>494</v>
      </c>
      <c r="B76" t="s">
        <v>2469</v>
      </c>
      <c r="C76" t="s">
        <v>833</v>
      </c>
      <c r="D76" t="s">
        <v>5511</v>
      </c>
      <c r="E76" t="s">
        <v>537</v>
      </c>
      <c r="F76" t="s">
        <v>5685</v>
      </c>
      <c r="G76">
        <v>7000000</v>
      </c>
      <c r="H76">
        <v>3977000</v>
      </c>
      <c r="I76">
        <v>0</v>
      </c>
      <c r="J76">
        <v>3977000</v>
      </c>
      <c r="K76" t="s">
        <v>5686</v>
      </c>
      <c r="L76">
        <v>3023000</v>
      </c>
      <c r="M76" t="s">
        <v>5687</v>
      </c>
      <c r="N76" t="s">
        <v>5447</v>
      </c>
      <c r="O76" t="s">
        <v>2771</v>
      </c>
      <c r="P76" t="s">
        <v>2776</v>
      </c>
    </row>
    <row r="77" spans="1:16" x14ac:dyDescent="0.3">
      <c r="A77" t="s">
        <v>494</v>
      </c>
      <c r="B77" t="s">
        <v>2469</v>
      </c>
      <c r="C77" t="s">
        <v>833</v>
      </c>
      <c r="D77" t="s">
        <v>5443</v>
      </c>
      <c r="E77" t="s">
        <v>537</v>
      </c>
      <c r="F77" t="s">
        <v>5688</v>
      </c>
      <c r="G77">
        <v>12000000</v>
      </c>
      <c r="H77">
        <v>5885000</v>
      </c>
      <c r="I77">
        <v>0</v>
      </c>
      <c r="J77">
        <v>5885000</v>
      </c>
      <c r="K77" t="s">
        <v>5689</v>
      </c>
      <c r="L77">
        <v>6115000</v>
      </c>
      <c r="M77" t="s">
        <v>5690</v>
      </c>
      <c r="N77" t="s">
        <v>5499</v>
      </c>
      <c r="O77" t="s">
        <v>2756</v>
      </c>
      <c r="P77" t="s">
        <v>2763</v>
      </c>
    </row>
    <row r="78" spans="1:16" x14ac:dyDescent="0.3">
      <c r="A78" t="s">
        <v>494</v>
      </c>
      <c r="B78" t="s">
        <v>2469</v>
      </c>
      <c r="C78" t="s">
        <v>833</v>
      </c>
      <c r="D78" t="s">
        <v>5443</v>
      </c>
      <c r="E78" t="s">
        <v>537</v>
      </c>
      <c r="F78" t="s">
        <v>5691</v>
      </c>
      <c r="G78">
        <v>8000000</v>
      </c>
      <c r="H78">
        <v>3898000</v>
      </c>
      <c r="I78">
        <v>0</v>
      </c>
      <c r="J78">
        <v>3898000</v>
      </c>
      <c r="K78" t="s">
        <v>5692</v>
      </c>
      <c r="L78">
        <v>4102000</v>
      </c>
      <c r="M78" t="s">
        <v>5693</v>
      </c>
      <c r="N78" t="s">
        <v>5447</v>
      </c>
      <c r="O78" t="s">
        <v>2756</v>
      </c>
      <c r="P78" t="s">
        <v>2763</v>
      </c>
    </row>
    <row r="79" spans="1:16" x14ac:dyDescent="0.3">
      <c r="A79" t="s">
        <v>494</v>
      </c>
      <c r="B79" t="s">
        <v>2469</v>
      </c>
      <c r="C79" t="s">
        <v>833</v>
      </c>
      <c r="D79" t="s">
        <v>5456</v>
      </c>
      <c r="E79" t="s">
        <v>537</v>
      </c>
      <c r="F79" t="s">
        <v>5694</v>
      </c>
      <c r="G79">
        <v>6000000</v>
      </c>
      <c r="H79">
        <v>2910000</v>
      </c>
      <c r="I79">
        <v>0</v>
      </c>
      <c r="J79">
        <v>2910000</v>
      </c>
      <c r="K79" t="s">
        <v>5695</v>
      </c>
      <c r="L79">
        <v>3090000</v>
      </c>
      <c r="M79" t="s">
        <v>5696</v>
      </c>
      <c r="N79" t="s">
        <v>5499</v>
      </c>
      <c r="O79" t="s">
        <v>2741</v>
      </c>
      <c r="P79" t="s">
        <v>2750</v>
      </c>
    </row>
    <row r="80" spans="1:16" x14ac:dyDescent="0.3">
      <c r="A80" t="s">
        <v>494</v>
      </c>
      <c r="B80" t="s">
        <v>2469</v>
      </c>
      <c r="C80" t="s">
        <v>833</v>
      </c>
      <c r="D80" t="s">
        <v>5456</v>
      </c>
      <c r="E80" t="s">
        <v>537</v>
      </c>
      <c r="F80" t="s">
        <v>5697</v>
      </c>
      <c r="G80">
        <v>4000000</v>
      </c>
      <c r="H80">
        <v>1939000</v>
      </c>
      <c r="I80">
        <v>0</v>
      </c>
      <c r="J80">
        <v>1939000</v>
      </c>
      <c r="K80" t="s">
        <v>5698</v>
      </c>
      <c r="L80">
        <v>2061000</v>
      </c>
      <c r="M80" t="s">
        <v>5699</v>
      </c>
      <c r="N80" t="s">
        <v>5447</v>
      </c>
      <c r="O80" t="s">
        <v>2741</v>
      </c>
      <c r="P80" t="s">
        <v>2750</v>
      </c>
    </row>
    <row r="81" spans="1:16" x14ac:dyDescent="0.3">
      <c r="A81" t="s">
        <v>494</v>
      </c>
      <c r="B81" t="s">
        <v>1700</v>
      </c>
      <c r="C81" t="s">
        <v>557</v>
      </c>
      <c r="D81" t="s">
        <v>5700</v>
      </c>
      <c r="E81" t="s">
        <v>537</v>
      </c>
      <c r="F81" t="s">
        <v>5701</v>
      </c>
      <c r="G81">
        <v>11000000</v>
      </c>
      <c r="H81">
        <v>5500000</v>
      </c>
      <c r="I81">
        <v>0</v>
      </c>
      <c r="J81">
        <v>5500000</v>
      </c>
      <c r="K81" t="s">
        <v>5541</v>
      </c>
      <c r="L81">
        <v>5500000</v>
      </c>
      <c r="M81" t="s">
        <v>5702</v>
      </c>
      <c r="N81" t="s">
        <v>5703</v>
      </c>
      <c r="O81" t="s">
        <v>2170</v>
      </c>
      <c r="P81" t="s">
        <v>2189</v>
      </c>
    </row>
    <row r="82" spans="1:16" x14ac:dyDescent="0.3">
      <c r="A82" t="s">
        <v>494</v>
      </c>
      <c r="B82" t="s">
        <v>1700</v>
      </c>
      <c r="C82" t="s">
        <v>557</v>
      </c>
      <c r="D82" t="s">
        <v>5700</v>
      </c>
      <c r="E82" t="s">
        <v>537</v>
      </c>
      <c r="F82" t="s">
        <v>5704</v>
      </c>
      <c r="G82">
        <v>4000000</v>
      </c>
      <c r="H82">
        <v>4000000</v>
      </c>
      <c r="I82">
        <v>0</v>
      </c>
      <c r="J82">
        <v>4000000</v>
      </c>
      <c r="K82" t="s">
        <v>5537</v>
      </c>
      <c r="L82">
        <v>0</v>
      </c>
      <c r="M82" t="s">
        <v>5705</v>
      </c>
      <c r="N82" t="s">
        <v>5706</v>
      </c>
      <c r="O82" t="s">
        <v>2170</v>
      </c>
      <c r="P82" t="s">
        <v>2189</v>
      </c>
    </row>
    <row r="83" spans="1:16" x14ac:dyDescent="0.3">
      <c r="A83" t="s">
        <v>494</v>
      </c>
      <c r="B83" t="s">
        <v>1700</v>
      </c>
      <c r="C83" t="s">
        <v>557</v>
      </c>
      <c r="D83" t="s">
        <v>5700</v>
      </c>
      <c r="E83" t="s">
        <v>537</v>
      </c>
      <c r="F83" t="s">
        <v>5707</v>
      </c>
      <c r="G83">
        <v>12000000</v>
      </c>
      <c r="H83">
        <v>5995000</v>
      </c>
      <c r="I83">
        <v>0</v>
      </c>
      <c r="J83">
        <v>5995000</v>
      </c>
      <c r="K83" t="s">
        <v>5708</v>
      </c>
      <c r="L83">
        <v>6005000</v>
      </c>
      <c r="M83" t="s">
        <v>5709</v>
      </c>
      <c r="N83" t="s">
        <v>5710</v>
      </c>
      <c r="O83" t="s">
        <v>2170</v>
      </c>
      <c r="P83" t="s">
        <v>2189</v>
      </c>
    </row>
    <row r="84" spans="1:16" x14ac:dyDescent="0.3">
      <c r="A84" t="s">
        <v>494</v>
      </c>
      <c r="B84" t="s">
        <v>1700</v>
      </c>
      <c r="C84" t="s">
        <v>557</v>
      </c>
      <c r="D84" t="s">
        <v>5700</v>
      </c>
      <c r="E84" t="s">
        <v>537</v>
      </c>
      <c r="F84" t="s">
        <v>5711</v>
      </c>
      <c r="G84">
        <v>11000000</v>
      </c>
      <c r="H84">
        <v>5500000</v>
      </c>
      <c r="I84">
        <v>0</v>
      </c>
      <c r="J84">
        <v>5500000</v>
      </c>
      <c r="K84" t="s">
        <v>5541</v>
      </c>
      <c r="L84">
        <v>5500000</v>
      </c>
      <c r="M84" t="s">
        <v>5712</v>
      </c>
      <c r="N84" t="s">
        <v>5713</v>
      </c>
      <c r="O84" t="s">
        <v>2170</v>
      </c>
      <c r="P84" t="s">
        <v>2189</v>
      </c>
    </row>
    <row r="85" spans="1:16" x14ac:dyDescent="0.3">
      <c r="A85" t="s">
        <v>494</v>
      </c>
      <c r="B85" t="s">
        <v>1700</v>
      </c>
      <c r="C85" t="s">
        <v>557</v>
      </c>
      <c r="D85" t="s">
        <v>5700</v>
      </c>
      <c r="E85" t="s">
        <v>537</v>
      </c>
      <c r="F85" t="s">
        <v>5714</v>
      </c>
      <c r="G85">
        <v>10560000</v>
      </c>
      <c r="H85">
        <v>4400000</v>
      </c>
      <c r="I85">
        <v>0</v>
      </c>
      <c r="J85">
        <v>4400000</v>
      </c>
      <c r="K85" t="s">
        <v>5715</v>
      </c>
      <c r="L85">
        <v>6160000</v>
      </c>
      <c r="M85" t="s">
        <v>5716</v>
      </c>
      <c r="N85" t="s">
        <v>5717</v>
      </c>
      <c r="O85" t="s">
        <v>2170</v>
      </c>
      <c r="P85" t="s">
        <v>2189</v>
      </c>
    </row>
    <row r="86" spans="1:16" x14ac:dyDescent="0.3">
      <c r="A86" t="s">
        <v>494</v>
      </c>
      <c r="B86" t="s">
        <v>1700</v>
      </c>
      <c r="C86" t="s">
        <v>557</v>
      </c>
      <c r="D86" t="s">
        <v>5700</v>
      </c>
      <c r="E86" t="s">
        <v>537</v>
      </c>
      <c r="F86" t="s">
        <v>5718</v>
      </c>
      <c r="G86">
        <v>9600000</v>
      </c>
      <c r="H86">
        <v>4000000</v>
      </c>
      <c r="I86">
        <v>0</v>
      </c>
      <c r="J86">
        <v>4000000</v>
      </c>
      <c r="K86" t="s">
        <v>5715</v>
      </c>
      <c r="L86">
        <v>5600000</v>
      </c>
      <c r="M86" t="s">
        <v>5719</v>
      </c>
      <c r="N86" t="s">
        <v>5720</v>
      </c>
      <c r="O86" t="s">
        <v>2170</v>
      </c>
      <c r="P86" t="s">
        <v>2189</v>
      </c>
    </row>
    <row r="87" spans="1:16" x14ac:dyDescent="0.3">
      <c r="A87" t="s">
        <v>494</v>
      </c>
      <c r="B87" t="s">
        <v>1700</v>
      </c>
      <c r="C87" t="s">
        <v>557</v>
      </c>
      <c r="D87" t="s">
        <v>5700</v>
      </c>
      <c r="E87" t="s">
        <v>537</v>
      </c>
      <c r="F87" t="s">
        <v>5721</v>
      </c>
      <c r="G87">
        <v>60000000</v>
      </c>
      <c r="H87">
        <v>19370000</v>
      </c>
      <c r="I87">
        <v>0</v>
      </c>
      <c r="J87">
        <v>19370000</v>
      </c>
      <c r="K87" t="s">
        <v>5722</v>
      </c>
      <c r="L87">
        <v>40630000</v>
      </c>
      <c r="M87" t="s">
        <v>5723</v>
      </c>
      <c r="N87" t="s">
        <v>5499</v>
      </c>
      <c r="O87" t="s">
        <v>2170</v>
      </c>
      <c r="P87" t="s">
        <v>2189</v>
      </c>
    </row>
    <row r="88" spans="1:16" x14ac:dyDescent="0.3">
      <c r="A88" t="s">
        <v>494</v>
      </c>
      <c r="B88" t="s">
        <v>1700</v>
      </c>
      <c r="C88" t="s">
        <v>557</v>
      </c>
      <c r="D88" t="s">
        <v>5700</v>
      </c>
      <c r="E88" t="s">
        <v>537</v>
      </c>
      <c r="F88" t="s">
        <v>5724</v>
      </c>
      <c r="G88">
        <v>40000000</v>
      </c>
      <c r="H88">
        <v>15943000</v>
      </c>
      <c r="I88">
        <v>0</v>
      </c>
      <c r="J88">
        <v>15943000</v>
      </c>
      <c r="K88" t="s">
        <v>5725</v>
      </c>
      <c r="L88">
        <v>24057000</v>
      </c>
      <c r="M88" t="s">
        <v>5726</v>
      </c>
      <c r="N88" t="s">
        <v>5447</v>
      </c>
      <c r="O88" t="s">
        <v>2170</v>
      </c>
      <c r="P88" t="s">
        <v>2189</v>
      </c>
    </row>
    <row r="89" spans="1:16" x14ac:dyDescent="0.3">
      <c r="A89" t="s">
        <v>494</v>
      </c>
      <c r="B89" t="s">
        <v>1036</v>
      </c>
      <c r="C89" t="s">
        <v>1185</v>
      </c>
      <c r="D89" t="s">
        <v>5668</v>
      </c>
      <c r="E89" t="s">
        <v>537</v>
      </c>
      <c r="F89" t="s">
        <v>5727</v>
      </c>
      <c r="G89">
        <v>6000000</v>
      </c>
      <c r="H89">
        <v>2403750</v>
      </c>
      <c r="I89">
        <v>0</v>
      </c>
      <c r="J89">
        <v>2403750</v>
      </c>
      <c r="K89" t="s">
        <v>5728</v>
      </c>
      <c r="L89">
        <v>3596250</v>
      </c>
      <c r="M89" t="s">
        <v>5729</v>
      </c>
      <c r="N89" t="s">
        <v>5730</v>
      </c>
      <c r="O89" t="s">
        <v>1187</v>
      </c>
      <c r="P89" t="s">
        <v>1194</v>
      </c>
    </row>
    <row r="90" spans="1:16" x14ac:dyDescent="0.3">
      <c r="A90" t="s">
        <v>494</v>
      </c>
      <c r="B90" t="s">
        <v>1036</v>
      </c>
      <c r="C90" t="s">
        <v>1185</v>
      </c>
      <c r="D90" t="s">
        <v>5668</v>
      </c>
      <c r="E90" t="s">
        <v>537</v>
      </c>
      <c r="F90" t="s">
        <v>5731</v>
      </c>
      <c r="G90">
        <v>4000000</v>
      </c>
      <c r="H90">
        <v>1976000</v>
      </c>
      <c r="I90">
        <v>0</v>
      </c>
      <c r="J90">
        <v>1976000</v>
      </c>
      <c r="K90" t="s">
        <v>5732</v>
      </c>
      <c r="L90">
        <v>2024000</v>
      </c>
      <c r="M90" t="s">
        <v>5733</v>
      </c>
      <c r="N90" t="s">
        <v>5447</v>
      </c>
      <c r="O90" t="s">
        <v>1187</v>
      </c>
      <c r="P90" t="s">
        <v>1194</v>
      </c>
    </row>
    <row r="91" spans="1:16" x14ac:dyDescent="0.3">
      <c r="A91" t="s">
        <v>494</v>
      </c>
      <c r="B91" t="s">
        <v>1700</v>
      </c>
      <c r="C91" t="s">
        <v>557</v>
      </c>
      <c r="D91" t="s">
        <v>5734</v>
      </c>
      <c r="E91" t="s">
        <v>570</v>
      </c>
      <c r="F91" t="s">
        <v>5735</v>
      </c>
      <c r="G91">
        <v>2400000</v>
      </c>
      <c r="H91">
        <v>600000</v>
      </c>
      <c r="I91">
        <v>0</v>
      </c>
      <c r="J91">
        <v>600000</v>
      </c>
      <c r="K91" t="s">
        <v>5550</v>
      </c>
      <c r="L91">
        <v>1800000</v>
      </c>
      <c r="M91" t="s">
        <v>5736</v>
      </c>
      <c r="N91" t="s">
        <v>5737</v>
      </c>
      <c r="O91" t="s">
        <v>2238</v>
      </c>
      <c r="P91" t="s">
        <v>2247</v>
      </c>
    </row>
    <row r="92" spans="1:16" x14ac:dyDescent="0.3">
      <c r="A92" t="s">
        <v>494</v>
      </c>
      <c r="B92" t="s">
        <v>1700</v>
      </c>
      <c r="C92" t="s">
        <v>557</v>
      </c>
      <c r="D92" t="s">
        <v>5734</v>
      </c>
      <c r="E92" t="s">
        <v>570</v>
      </c>
      <c r="F92" t="s">
        <v>5738</v>
      </c>
      <c r="G92">
        <v>960000</v>
      </c>
      <c r="H92">
        <v>240000</v>
      </c>
      <c r="I92">
        <v>0</v>
      </c>
      <c r="J92">
        <v>240000</v>
      </c>
      <c r="K92" t="s">
        <v>5550</v>
      </c>
      <c r="L92">
        <v>720000</v>
      </c>
      <c r="M92" t="s">
        <v>5739</v>
      </c>
      <c r="N92" t="s">
        <v>5740</v>
      </c>
      <c r="O92" t="s">
        <v>2238</v>
      </c>
      <c r="P92" t="s">
        <v>2247</v>
      </c>
    </row>
    <row r="93" spans="1:16" x14ac:dyDescent="0.3">
      <c r="A93" t="s">
        <v>494</v>
      </c>
      <c r="B93" t="s">
        <v>1700</v>
      </c>
      <c r="C93" t="s">
        <v>557</v>
      </c>
      <c r="D93" t="s">
        <v>5734</v>
      </c>
      <c r="E93" t="s">
        <v>570</v>
      </c>
      <c r="F93" t="s">
        <v>5741</v>
      </c>
      <c r="G93">
        <v>2400000</v>
      </c>
      <c r="H93">
        <v>600000</v>
      </c>
      <c r="I93">
        <v>0</v>
      </c>
      <c r="J93">
        <v>600000</v>
      </c>
      <c r="K93" t="s">
        <v>5550</v>
      </c>
      <c r="L93">
        <v>1800000</v>
      </c>
      <c r="M93" t="s">
        <v>5742</v>
      </c>
      <c r="N93" t="s">
        <v>5743</v>
      </c>
      <c r="O93" t="s">
        <v>2238</v>
      </c>
      <c r="P93" t="s">
        <v>2247</v>
      </c>
    </row>
    <row r="94" spans="1:16" x14ac:dyDescent="0.3">
      <c r="A94" t="s">
        <v>494</v>
      </c>
      <c r="B94" t="s">
        <v>1700</v>
      </c>
      <c r="C94" t="s">
        <v>557</v>
      </c>
      <c r="D94" t="s">
        <v>5734</v>
      </c>
      <c r="E94" t="s">
        <v>570</v>
      </c>
      <c r="F94" t="s">
        <v>5744</v>
      </c>
      <c r="G94">
        <v>8160000</v>
      </c>
      <c r="H94">
        <v>2040000</v>
      </c>
      <c r="I94">
        <v>0</v>
      </c>
      <c r="J94">
        <v>2040000</v>
      </c>
      <c r="K94" t="s">
        <v>5550</v>
      </c>
      <c r="L94">
        <v>6120000</v>
      </c>
      <c r="M94" t="s">
        <v>5745</v>
      </c>
      <c r="N94" t="s">
        <v>5746</v>
      </c>
      <c r="O94" t="s">
        <v>2238</v>
      </c>
      <c r="P94" t="s">
        <v>2247</v>
      </c>
    </row>
    <row r="95" spans="1:16" x14ac:dyDescent="0.3">
      <c r="A95" t="s">
        <v>494</v>
      </c>
      <c r="B95" t="s">
        <v>1700</v>
      </c>
      <c r="C95" t="s">
        <v>557</v>
      </c>
      <c r="D95" t="s">
        <v>5734</v>
      </c>
      <c r="E95" t="s">
        <v>570</v>
      </c>
      <c r="F95" t="s">
        <v>5747</v>
      </c>
      <c r="G95">
        <v>3888000</v>
      </c>
      <c r="H95">
        <v>972000</v>
      </c>
      <c r="I95">
        <v>0</v>
      </c>
      <c r="J95">
        <v>972000</v>
      </c>
      <c r="K95" t="s">
        <v>5550</v>
      </c>
      <c r="L95">
        <v>2916000</v>
      </c>
      <c r="M95" t="s">
        <v>5748</v>
      </c>
      <c r="N95" t="s">
        <v>5749</v>
      </c>
      <c r="O95" t="s">
        <v>2238</v>
      </c>
      <c r="P95" t="s">
        <v>2247</v>
      </c>
    </row>
    <row r="96" spans="1:16" x14ac:dyDescent="0.3">
      <c r="A96" t="s">
        <v>494</v>
      </c>
      <c r="B96" t="s">
        <v>1700</v>
      </c>
      <c r="C96" t="s">
        <v>557</v>
      </c>
      <c r="D96" t="s">
        <v>5734</v>
      </c>
      <c r="E96" t="s">
        <v>570</v>
      </c>
      <c r="F96" t="s">
        <v>5750</v>
      </c>
      <c r="G96">
        <v>3888000</v>
      </c>
      <c r="H96">
        <v>2932000</v>
      </c>
      <c r="I96">
        <v>0</v>
      </c>
      <c r="J96">
        <v>2932000</v>
      </c>
      <c r="K96" t="s">
        <v>5751</v>
      </c>
      <c r="L96">
        <v>956000</v>
      </c>
      <c r="M96" t="s">
        <v>5752</v>
      </c>
      <c r="N96" t="s">
        <v>5753</v>
      </c>
      <c r="O96" t="s">
        <v>2238</v>
      </c>
      <c r="P96" t="s">
        <v>2247</v>
      </c>
    </row>
    <row r="97" spans="1:16" x14ac:dyDescent="0.3">
      <c r="A97" t="s">
        <v>494</v>
      </c>
      <c r="B97" t="s">
        <v>1700</v>
      </c>
      <c r="C97" t="s">
        <v>557</v>
      </c>
      <c r="D97" t="s">
        <v>5734</v>
      </c>
      <c r="E97" t="s">
        <v>570</v>
      </c>
      <c r="F97" t="s">
        <v>5754</v>
      </c>
      <c r="G97">
        <v>35040000</v>
      </c>
      <c r="H97">
        <v>8760000</v>
      </c>
      <c r="I97">
        <v>0</v>
      </c>
      <c r="J97">
        <v>8760000</v>
      </c>
      <c r="K97" t="s">
        <v>5550</v>
      </c>
      <c r="L97">
        <v>26280000</v>
      </c>
      <c r="M97" t="s">
        <v>5755</v>
      </c>
      <c r="N97" t="s">
        <v>5756</v>
      </c>
      <c r="O97" t="s">
        <v>2238</v>
      </c>
      <c r="P97" t="s">
        <v>2247</v>
      </c>
    </row>
    <row r="98" spans="1:16" x14ac:dyDescent="0.3">
      <c r="A98" t="s">
        <v>494</v>
      </c>
      <c r="B98" t="s">
        <v>1700</v>
      </c>
      <c r="C98" t="s">
        <v>557</v>
      </c>
      <c r="D98" t="s">
        <v>5734</v>
      </c>
      <c r="E98" t="s">
        <v>559</v>
      </c>
      <c r="F98" t="s">
        <v>5757</v>
      </c>
      <c r="G98">
        <v>85700000</v>
      </c>
      <c r="H98">
        <v>44410000</v>
      </c>
      <c r="I98">
        <v>0</v>
      </c>
      <c r="J98">
        <v>44410000</v>
      </c>
      <c r="K98" t="s">
        <v>5758</v>
      </c>
      <c r="L98">
        <v>41290000</v>
      </c>
      <c r="M98" t="s">
        <v>5759</v>
      </c>
      <c r="N98" t="s">
        <v>5760</v>
      </c>
      <c r="O98" t="s">
        <v>2238</v>
      </c>
      <c r="P98" t="s">
        <v>2241</v>
      </c>
    </row>
    <row r="99" spans="1:16" x14ac:dyDescent="0.3">
      <c r="A99" t="s">
        <v>494</v>
      </c>
      <c r="B99" t="s">
        <v>1700</v>
      </c>
      <c r="C99" t="s">
        <v>557</v>
      </c>
      <c r="D99" t="s">
        <v>5761</v>
      </c>
      <c r="E99" t="s">
        <v>568</v>
      </c>
      <c r="F99" t="s">
        <v>5762</v>
      </c>
      <c r="G99">
        <v>36000000</v>
      </c>
      <c r="H99">
        <v>9000000</v>
      </c>
      <c r="I99">
        <v>0</v>
      </c>
      <c r="J99">
        <v>9000000</v>
      </c>
      <c r="K99" t="s">
        <v>5550</v>
      </c>
      <c r="L99">
        <v>27000000</v>
      </c>
      <c r="M99" t="s">
        <v>5763</v>
      </c>
      <c r="N99" t="s">
        <v>5764</v>
      </c>
      <c r="O99" t="s">
        <v>2218</v>
      </c>
      <c r="P99" t="s">
        <v>2235</v>
      </c>
    </row>
    <row r="100" spans="1:16" x14ac:dyDescent="0.3">
      <c r="A100" t="s">
        <v>494</v>
      </c>
      <c r="B100" t="s">
        <v>1700</v>
      </c>
      <c r="C100" t="s">
        <v>557</v>
      </c>
      <c r="D100" t="s">
        <v>5761</v>
      </c>
      <c r="E100" t="s">
        <v>567</v>
      </c>
      <c r="F100" t="s">
        <v>5765</v>
      </c>
      <c r="G100">
        <v>2820000</v>
      </c>
      <c r="H100">
        <v>935000</v>
      </c>
      <c r="I100">
        <v>0</v>
      </c>
      <c r="J100">
        <v>935000</v>
      </c>
      <c r="K100" t="s">
        <v>5766</v>
      </c>
      <c r="L100">
        <v>1885000</v>
      </c>
      <c r="M100" t="s">
        <v>5767</v>
      </c>
      <c r="N100" t="s">
        <v>5768</v>
      </c>
      <c r="O100" t="s">
        <v>2218</v>
      </c>
      <c r="P100" t="s">
        <v>2221</v>
      </c>
    </row>
    <row r="101" spans="1:16" x14ac:dyDescent="0.3">
      <c r="A101" t="s">
        <v>494</v>
      </c>
      <c r="B101" t="s">
        <v>1700</v>
      </c>
      <c r="C101" t="s">
        <v>557</v>
      </c>
      <c r="D101" t="s">
        <v>5761</v>
      </c>
      <c r="E101" t="s">
        <v>567</v>
      </c>
      <c r="F101" t="s">
        <v>5769</v>
      </c>
      <c r="G101">
        <v>10500000</v>
      </c>
      <c r="H101">
        <v>3547500</v>
      </c>
      <c r="I101">
        <v>0</v>
      </c>
      <c r="J101">
        <v>3547500</v>
      </c>
      <c r="K101" t="s">
        <v>5770</v>
      </c>
      <c r="L101">
        <v>6952500</v>
      </c>
      <c r="M101" t="s">
        <v>5771</v>
      </c>
      <c r="N101" t="s">
        <v>5772</v>
      </c>
      <c r="O101" t="s">
        <v>2218</v>
      </c>
      <c r="P101" t="s">
        <v>2221</v>
      </c>
    </row>
    <row r="102" spans="1:16" x14ac:dyDescent="0.3">
      <c r="A102" t="s">
        <v>494</v>
      </c>
      <c r="B102" t="s">
        <v>1700</v>
      </c>
      <c r="C102" t="s">
        <v>557</v>
      </c>
      <c r="D102" t="s">
        <v>5761</v>
      </c>
      <c r="E102" t="s">
        <v>567</v>
      </c>
      <c r="F102" t="s">
        <v>5773</v>
      </c>
      <c r="G102">
        <v>24150000</v>
      </c>
      <c r="H102">
        <v>5500000</v>
      </c>
      <c r="I102">
        <v>0</v>
      </c>
      <c r="J102">
        <v>5500000</v>
      </c>
      <c r="K102" t="s">
        <v>5774</v>
      </c>
      <c r="L102">
        <v>18650000</v>
      </c>
      <c r="M102" t="s">
        <v>5775</v>
      </c>
      <c r="N102" t="s">
        <v>5776</v>
      </c>
      <c r="O102" t="s">
        <v>2218</v>
      </c>
      <c r="P102" t="s">
        <v>2221</v>
      </c>
    </row>
    <row r="103" spans="1:16" x14ac:dyDescent="0.3">
      <c r="A103" t="s">
        <v>494</v>
      </c>
      <c r="B103" t="s">
        <v>1700</v>
      </c>
      <c r="C103" t="s">
        <v>557</v>
      </c>
      <c r="D103" t="s">
        <v>5761</v>
      </c>
      <c r="E103" t="s">
        <v>567</v>
      </c>
      <c r="F103" t="s">
        <v>5777</v>
      </c>
      <c r="G103">
        <v>25550000</v>
      </c>
      <c r="H103">
        <v>4349400</v>
      </c>
      <c r="I103">
        <v>0</v>
      </c>
      <c r="J103">
        <v>4349400</v>
      </c>
      <c r="K103" t="s">
        <v>5778</v>
      </c>
      <c r="L103">
        <v>21200600</v>
      </c>
      <c r="M103" t="s">
        <v>5779</v>
      </c>
      <c r="N103" t="s">
        <v>5780</v>
      </c>
      <c r="O103" t="s">
        <v>2218</v>
      </c>
      <c r="P103" t="s">
        <v>2221</v>
      </c>
    </row>
    <row r="104" spans="1:16" x14ac:dyDescent="0.3">
      <c r="A104" t="s">
        <v>494</v>
      </c>
      <c r="B104" t="s">
        <v>1700</v>
      </c>
      <c r="C104" t="s">
        <v>557</v>
      </c>
      <c r="D104" t="s">
        <v>5761</v>
      </c>
      <c r="E104" t="s">
        <v>567</v>
      </c>
      <c r="F104" t="s">
        <v>5781</v>
      </c>
      <c r="G104">
        <v>18200000</v>
      </c>
      <c r="H104">
        <v>3492900</v>
      </c>
      <c r="I104">
        <v>0</v>
      </c>
      <c r="J104">
        <v>3492900</v>
      </c>
      <c r="K104" t="s">
        <v>5782</v>
      </c>
      <c r="L104">
        <v>14707100</v>
      </c>
      <c r="M104" t="s">
        <v>5783</v>
      </c>
      <c r="N104" t="s">
        <v>5784</v>
      </c>
      <c r="O104" t="s">
        <v>2218</v>
      </c>
      <c r="P104" t="s">
        <v>2221</v>
      </c>
    </row>
    <row r="105" spans="1:16" x14ac:dyDescent="0.3">
      <c r="A105" t="s">
        <v>494</v>
      </c>
      <c r="B105" t="s">
        <v>1700</v>
      </c>
      <c r="C105" t="s">
        <v>557</v>
      </c>
      <c r="D105" t="s">
        <v>5761</v>
      </c>
      <c r="E105" t="s">
        <v>567</v>
      </c>
      <c r="F105" t="s">
        <v>5785</v>
      </c>
      <c r="G105">
        <v>295650000</v>
      </c>
      <c r="H105">
        <v>58531640</v>
      </c>
      <c r="I105">
        <v>0</v>
      </c>
      <c r="J105">
        <v>58531640</v>
      </c>
      <c r="K105" t="s">
        <v>5786</v>
      </c>
      <c r="L105">
        <v>237118360</v>
      </c>
      <c r="M105" t="s">
        <v>5787</v>
      </c>
      <c r="N105" t="s">
        <v>5788</v>
      </c>
      <c r="O105" t="s">
        <v>2218</v>
      </c>
      <c r="P105" t="s">
        <v>2221</v>
      </c>
    </row>
    <row r="106" spans="1:16" x14ac:dyDescent="0.3">
      <c r="A106" t="s">
        <v>494</v>
      </c>
      <c r="B106" t="s">
        <v>1700</v>
      </c>
      <c r="C106" t="s">
        <v>557</v>
      </c>
      <c r="D106" t="s">
        <v>5761</v>
      </c>
      <c r="E106" t="s">
        <v>567</v>
      </c>
      <c r="F106" t="s">
        <v>5789</v>
      </c>
      <c r="G106">
        <v>38730000</v>
      </c>
      <c r="H106">
        <v>9519000</v>
      </c>
      <c r="I106">
        <v>0</v>
      </c>
      <c r="J106">
        <v>9519000</v>
      </c>
      <c r="K106" t="s">
        <v>5790</v>
      </c>
      <c r="L106">
        <v>29211000</v>
      </c>
      <c r="M106" t="s">
        <v>5791</v>
      </c>
      <c r="N106" t="s">
        <v>5792</v>
      </c>
      <c r="O106" t="s">
        <v>2218</v>
      </c>
      <c r="P106" t="s">
        <v>2221</v>
      </c>
    </row>
    <row r="107" spans="1:16" x14ac:dyDescent="0.3">
      <c r="A107" t="s">
        <v>494</v>
      </c>
      <c r="B107" t="s">
        <v>1700</v>
      </c>
      <c r="C107" t="s">
        <v>557</v>
      </c>
      <c r="D107" t="s">
        <v>5793</v>
      </c>
      <c r="E107" t="s">
        <v>564</v>
      </c>
      <c r="F107" t="s">
        <v>5794</v>
      </c>
      <c r="G107">
        <v>60000000</v>
      </c>
      <c r="H107">
        <v>19800000</v>
      </c>
      <c r="I107">
        <v>0</v>
      </c>
      <c r="J107">
        <v>19800000</v>
      </c>
      <c r="K107" t="s">
        <v>5795</v>
      </c>
      <c r="L107">
        <v>40200000</v>
      </c>
      <c r="M107" t="s">
        <v>5796</v>
      </c>
      <c r="N107" t="s">
        <v>5797</v>
      </c>
      <c r="O107" t="s">
        <v>2207</v>
      </c>
      <c r="P107" t="s">
        <v>2213</v>
      </c>
    </row>
    <row r="108" spans="1:16" x14ac:dyDescent="0.3">
      <c r="A108" t="s">
        <v>494</v>
      </c>
      <c r="B108" t="s">
        <v>1700</v>
      </c>
      <c r="C108" t="s">
        <v>557</v>
      </c>
      <c r="D108" t="s">
        <v>5793</v>
      </c>
      <c r="E108" t="s">
        <v>563</v>
      </c>
      <c r="F108" t="s">
        <v>5798</v>
      </c>
      <c r="G108">
        <v>30000000</v>
      </c>
      <c r="H108">
        <v>2286050</v>
      </c>
      <c r="I108">
        <v>0</v>
      </c>
      <c r="J108">
        <v>2286050</v>
      </c>
      <c r="K108" t="s">
        <v>5799</v>
      </c>
      <c r="L108">
        <v>27713950</v>
      </c>
      <c r="M108" t="s">
        <v>5800</v>
      </c>
      <c r="N108" t="s">
        <v>5801</v>
      </c>
      <c r="O108" t="s">
        <v>2207</v>
      </c>
      <c r="P108" t="s">
        <v>2210</v>
      </c>
    </row>
    <row r="109" spans="1:16" x14ac:dyDescent="0.3">
      <c r="A109" t="s">
        <v>494</v>
      </c>
      <c r="B109" t="s">
        <v>1700</v>
      </c>
      <c r="C109" t="s">
        <v>557</v>
      </c>
      <c r="D109" t="s">
        <v>5700</v>
      </c>
      <c r="E109" t="s">
        <v>559</v>
      </c>
      <c r="F109" t="s">
        <v>5802</v>
      </c>
      <c r="G109">
        <v>33000000</v>
      </c>
      <c r="H109">
        <v>4800000</v>
      </c>
      <c r="I109">
        <v>0</v>
      </c>
      <c r="J109">
        <v>4800000</v>
      </c>
      <c r="K109" t="s">
        <v>5803</v>
      </c>
      <c r="L109">
        <v>28200000</v>
      </c>
      <c r="M109" t="s">
        <v>5804</v>
      </c>
      <c r="N109" t="s">
        <v>5805</v>
      </c>
      <c r="O109" t="s">
        <v>2170</v>
      </c>
      <c r="P109" t="s">
        <v>2172</v>
      </c>
    </row>
    <row r="110" spans="1:16" x14ac:dyDescent="0.3">
      <c r="A110" t="s">
        <v>494</v>
      </c>
      <c r="B110" t="s">
        <v>1700</v>
      </c>
      <c r="C110" t="s">
        <v>557</v>
      </c>
      <c r="D110" t="s">
        <v>5700</v>
      </c>
      <c r="E110" t="s">
        <v>559</v>
      </c>
      <c r="F110" t="s">
        <v>5806</v>
      </c>
      <c r="G110">
        <v>19200000</v>
      </c>
      <c r="H110">
        <v>3893490</v>
      </c>
      <c r="I110">
        <v>0</v>
      </c>
      <c r="J110">
        <v>3893490</v>
      </c>
      <c r="K110" t="s">
        <v>5807</v>
      </c>
      <c r="L110">
        <v>15306510</v>
      </c>
      <c r="M110" t="s">
        <v>5808</v>
      </c>
      <c r="N110" t="s">
        <v>5809</v>
      </c>
      <c r="O110" t="s">
        <v>2170</v>
      </c>
      <c r="P110" t="s">
        <v>2172</v>
      </c>
    </row>
    <row r="111" spans="1:16" x14ac:dyDescent="0.3">
      <c r="A111" t="s">
        <v>494</v>
      </c>
      <c r="B111" t="s">
        <v>1700</v>
      </c>
      <c r="C111" t="s">
        <v>557</v>
      </c>
      <c r="D111" t="s">
        <v>5700</v>
      </c>
      <c r="E111" t="s">
        <v>559</v>
      </c>
      <c r="F111" t="s">
        <v>5810</v>
      </c>
      <c r="G111">
        <v>9000000</v>
      </c>
      <c r="H111">
        <v>3024000</v>
      </c>
      <c r="I111">
        <v>0</v>
      </c>
      <c r="J111">
        <v>3024000</v>
      </c>
      <c r="K111" t="s">
        <v>5811</v>
      </c>
      <c r="L111">
        <v>5976000</v>
      </c>
      <c r="M111" t="s">
        <v>5812</v>
      </c>
      <c r="N111" t="s">
        <v>5813</v>
      </c>
      <c r="O111" t="s">
        <v>2170</v>
      </c>
      <c r="P111" t="s">
        <v>2172</v>
      </c>
    </row>
    <row r="112" spans="1:16" x14ac:dyDescent="0.3">
      <c r="A112" t="s">
        <v>494</v>
      </c>
      <c r="B112" t="s">
        <v>1700</v>
      </c>
      <c r="C112" t="s">
        <v>557</v>
      </c>
      <c r="D112" t="s">
        <v>5700</v>
      </c>
      <c r="E112" t="s">
        <v>559</v>
      </c>
      <c r="F112" t="s">
        <v>5814</v>
      </c>
      <c r="G112">
        <v>4800000</v>
      </c>
      <c r="H112">
        <v>1348390</v>
      </c>
      <c r="I112">
        <v>0</v>
      </c>
      <c r="J112">
        <v>1348390</v>
      </c>
      <c r="K112" t="s">
        <v>5815</v>
      </c>
      <c r="L112">
        <v>3451610</v>
      </c>
      <c r="M112" t="s">
        <v>5816</v>
      </c>
      <c r="N112" t="s">
        <v>5817</v>
      </c>
      <c r="O112" t="s">
        <v>2170</v>
      </c>
      <c r="P112" t="s">
        <v>2172</v>
      </c>
    </row>
    <row r="113" spans="1:16" x14ac:dyDescent="0.3">
      <c r="A113" t="s">
        <v>494</v>
      </c>
      <c r="B113" t="s">
        <v>1700</v>
      </c>
      <c r="C113" t="s">
        <v>557</v>
      </c>
      <c r="D113" t="s">
        <v>5700</v>
      </c>
      <c r="E113" t="s">
        <v>559</v>
      </c>
      <c r="F113" t="s">
        <v>5818</v>
      </c>
      <c r="G113">
        <v>69472000</v>
      </c>
      <c r="H113">
        <v>32064000</v>
      </c>
      <c r="I113">
        <v>0</v>
      </c>
      <c r="J113">
        <v>32064000</v>
      </c>
      <c r="K113" t="s">
        <v>5819</v>
      </c>
      <c r="L113">
        <v>37408000</v>
      </c>
      <c r="M113" t="s">
        <v>5820</v>
      </c>
      <c r="N113" t="s">
        <v>5821</v>
      </c>
      <c r="O113" t="s">
        <v>2170</v>
      </c>
      <c r="P113" t="s">
        <v>2172</v>
      </c>
    </row>
    <row r="114" spans="1:16" x14ac:dyDescent="0.3">
      <c r="A114" t="s">
        <v>494</v>
      </c>
      <c r="B114" t="s">
        <v>1700</v>
      </c>
      <c r="C114" t="s">
        <v>557</v>
      </c>
      <c r="D114" t="s">
        <v>5700</v>
      </c>
      <c r="E114" t="s">
        <v>559</v>
      </c>
      <c r="F114" t="s">
        <v>5822</v>
      </c>
      <c r="G114">
        <v>757848000</v>
      </c>
      <c r="H114">
        <v>349776000</v>
      </c>
      <c r="I114">
        <v>0</v>
      </c>
      <c r="J114">
        <v>349776000</v>
      </c>
      <c r="K114" t="s">
        <v>5819</v>
      </c>
      <c r="L114">
        <v>408072000</v>
      </c>
      <c r="M114" t="s">
        <v>5823</v>
      </c>
      <c r="N114" t="s">
        <v>5824</v>
      </c>
      <c r="O114" t="s">
        <v>2170</v>
      </c>
      <c r="P114" t="s">
        <v>2172</v>
      </c>
    </row>
    <row r="115" spans="1:16" x14ac:dyDescent="0.3">
      <c r="A115" t="s">
        <v>494</v>
      </c>
      <c r="B115" t="s">
        <v>1700</v>
      </c>
      <c r="C115" t="s">
        <v>557</v>
      </c>
      <c r="D115" t="s">
        <v>5700</v>
      </c>
      <c r="E115" t="s">
        <v>559</v>
      </c>
      <c r="F115" t="s">
        <v>5825</v>
      </c>
      <c r="G115">
        <v>40000000</v>
      </c>
      <c r="H115">
        <v>8309700</v>
      </c>
      <c r="I115">
        <v>0</v>
      </c>
      <c r="J115">
        <v>8309700</v>
      </c>
      <c r="K115" t="s">
        <v>5826</v>
      </c>
      <c r="L115">
        <v>31690300</v>
      </c>
      <c r="M115" t="s">
        <v>5827</v>
      </c>
      <c r="N115" t="s">
        <v>5828</v>
      </c>
      <c r="O115" t="s">
        <v>2170</v>
      </c>
      <c r="P115" t="s">
        <v>2172</v>
      </c>
    </row>
    <row r="116" spans="1:16" x14ac:dyDescent="0.3">
      <c r="A116" t="s">
        <v>494</v>
      </c>
      <c r="B116" t="s">
        <v>1700</v>
      </c>
      <c r="C116" t="s">
        <v>557</v>
      </c>
      <c r="D116" t="s">
        <v>5700</v>
      </c>
      <c r="E116" t="s">
        <v>559</v>
      </c>
      <c r="F116" t="s">
        <v>5829</v>
      </c>
      <c r="G116">
        <v>75900000</v>
      </c>
      <c r="H116">
        <v>19842571</v>
      </c>
      <c r="I116">
        <v>0</v>
      </c>
      <c r="J116">
        <v>19842571</v>
      </c>
      <c r="K116" t="s">
        <v>5830</v>
      </c>
      <c r="L116">
        <v>56057429</v>
      </c>
      <c r="M116" t="s">
        <v>5831</v>
      </c>
      <c r="N116" t="s">
        <v>5832</v>
      </c>
      <c r="O116" t="s">
        <v>2170</v>
      </c>
      <c r="P116" t="s">
        <v>2172</v>
      </c>
    </row>
    <row r="117" spans="1:16" x14ac:dyDescent="0.3">
      <c r="A117" t="s">
        <v>494</v>
      </c>
      <c r="B117" t="s">
        <v>3105</v>
      </c>
      <c r="C117" t="s">
        <v>833</v>
      </c>
      <c r="D117" t="s">
        <v>5500</v>
      </c>
      <c r="E117" t="s">
        <v>513</v>
      </c>
      <c r="F117" t="s">
        <v>5833</v>
      </c>
      <c r="G117">
        <v>20635000</v>
      </c>
      <c r="H117">
        <v>20634468</v>
      </c>
      <c r="I117">
        <v>0</v>
      </c>
      <c r="J117">
        <v>20634468</v>
      </c>
      <c r="K117" t="s">
        <v>5834</v>
      </c>
      <c r="L117">
        <v>532</v>
      </c>
      <c r="M117" t="s">
        <v>5835</v>
      </c>
      <c r="N117" t="s">
        <v>5836</v>
      </c>
      <c r="O117" t="s">
        <v>3349</v>
      </c>
      <c r="P117" t="s">
        <v>3361</v>
      </c>
    </row>
    <row r="118" spans="1:16" x14ac:dyDescent="0.3">
      <c r="A118" t="s">
        <v>494</v>
      </c>
      <c r="B118" t="s">
        <v>3105</v>
      </c>
      <c r="C118" t="s">
        <v>833</v>
      </c>
      <c r="D118" t="s">
        <v>5443</v>
      </c>
      <c r="E118" t="s">
        <v>513</v>
      </c>
      <c r="F118" t="s">
        <v>5837</v>
      </c>
      <c r="G118">
        <v>5350000</v>
      </c>
      <c r="H118">
        <v>2850000</v>
      </c>
      <c r="I118">
        <v>0</v>
      </c>
      <c r="J118">
        <v>2850000</v>
      </c>
      <c r="K118" t="s">
        <v>5838</v>
      </c>
      <c r="L118">
        <v>2500000</v>
      </c>
      <c r="M118" t="s">
        <v>5839</v>
      </c>
      <c r="N118" t="s">
        <v>5840</v>
      </c>
      <c r="O118" t="s">
        <v>3331</v>
      </c>
      <c r="P118" t="s">
        <v>3336</v>
      </c>
    </row>
    <row r="119" spans="1:16" x14ac:dyDescent="0.3">
      <c r="A119" t="s">
        <v>494</v>
      </c>
      <c r="B119" t="s">
        <v>3105</v>
      </c>
      <c r="C119" t="s">
        <v>833</v>
      </c>
      <c r="D119" t="s">
        <v>5456</v>
      </c>
      <c r="E119" t="s">
        <v>513</v>
      </c>
      <c r="F119" t="s">
        <v>5841</v>
      </c>
      <c r="G119">
        <v>8702000</v>
      </c>
      <c r="H119">
        <v>8701552</v>
      </c>
      <c r="I119">
        <v>0</v>
      </c>
      <c r="J119">
        <v>8701552</v>
      </c>
      <c r="K119" t="s">
        <v>5842</v>
      </c>
      <c r="L119">
        <v>448</v>
      </c>
      <c r="M119" t="s">
        <v>5843</v>
      </c>
      <c r="N119" t="s">
        <v>5840</v>
      </c>
      <c r="O119" t="s">
        <v>3320</v>
      </c>
      <c r="P119" t="s">
        <v>3326</v>
      </c>
    </row>
    <row r="120" spans="1:16" x14ac:dyDescent="0.3">
      <c r="A120" t="s">
        <v>494</v>
      </c>
      <c r="B120" t="s">
        <v>2785</v>
      </c>
      <c r="C120" t="s">
        <v>3090</v>
      </c>
      <c r="D120" t="s">
        <v>5535</v>
      </c>
      <c r="E120" t="s">
        <v>513</v>
      </c>
      <c r="F120" t="s">
        <v>5844</v>
      </c>
      <c r="G120">
        <v>30169000</v>
      </c>
      <c r="H120">
        <v>20138000</v>
      </c>
      <c r="I120">
        <v>0</v>
      </c>
      <c r="J120">
        <v>20138000</v>
      </c>
      <c r="K120" t="s">
        <v>5845</v>
      </c>
      <c r="L120">
        <v>10031000</v>
      </c>
      <c r="M120" t="s">
        <v>5846</v>
      </c>
      <c r="N120" t="s">
        <v>5847</v>
      </c>
      <c r="O120" t="s">
        <v>3092</v>
      </c>
      <c r="P120" t="s">
        <v>3102</v>
      </c>
    </row>
    <row r="121" spans="1:16" x14ac:dyDescent="0.3">
      <c r="A121" t="s">
        <v>494</v>
      </c>
      <c r="B121" t="s">
        <v>2785</v>
      </c>
      <c r="C121" t="s">
        <v>833</v>
      </c>
      <c r="D121" t="s">
        <v>5443</v>
      </c>
      <c r="E121" t="s">
        <v>533</v>
      </c>
      <c r="F121" t="s">
        <v>5848</v>
      </c>
      <c r="G121">
        <v>2000000</v>
      </c>
      <c r="H121">
        <v>603014</v>
      </c>
      <c r="I121">
        <v>0</v>
      </c>
      <c r="J121">
        <v>603014</v>
      </c>
      <c r="K121" t="s">
        <v>5849</v>
      </c>
      <c r="L121">
        <v>1396986</v>
      </c>
      <c r="M121" t="s">
        <v>5850</v>
      </c>
      <c r="N121" t="s">
        <v>5851</v>
      </c>
      <c r="O121" t="s">
        <v>3067</v>
      </c>
      <c r="P121" t="s">
        <v>3077</v>
      </c>
    </row>
    <row r="122" spans="1:16" x14ac:dyDescent="0.3">
      <c r="A122" t="s">
        <v>494</v>
      </c>
      <c r="B122" t="s">
        <v>2785</v>
      </c>
      <c r="C122" t="s">
        <v>833</v>
      </c>
      <c r="D122" t="s">
        <v>5456</v>
      </c>
      <c r="E122" t="s">
        <v>533</v>
      </c>
      <c r="F122" t="s">
        <v>5852</v>
      </c>
      <c r="G122">
        <v>2000000</v>
      </c>
      <c r="H122">
        <v>499528</v>
      </c>
      <c r="I122">
        <v>0</v>
      </c>
      <c r="J122">
        <v>499528</v>
      </c>
      <c r="K122" t="s">
        <v>5853</v>
      </c>
      <c r="L122">
        <v>1500472</v>
      </c>
      <c r="M122" t="s">
        <v>5854</v>
      </c>
      <c r="N122" t="s">
        <v>5851</v>
      </c>
      <c r="O122" t="s">
        <v>3054</v>
      </c>
      <c r="P122" t="s">
        <v>3061</v>
      </c>
    </row>
    <row r="123" spans="1:16" x14ac:dyDescent="0.3">
      <c r="A123" t="s">
        <v>494</v>
      </c>
      <c r="B123" t="s">
        <v>2469</v>
      </c>
      <c r="C123" t="s">
        <v>833</v>
      </c>
      <c r="D123" t="s">
        <v>5511</v>
      </c>
      <c r="E123" t="s">
        <v>513</v>
      </c>
      <c r="F123" t="s">
        <v>5855</v>
      </c>
      <c r="G123">
        <v>41908000</v>
      </c>
      <c r="H123">
        <v>41907800</v>
      </c>
      <c r="I123">
        <v>0</v>
      </c>
      <c r="J123">
        <v>41907800</v>
      </c>
      <c r="K123" t="s">
        <v>5856</v>
      </c>
      <c r="L123">
        <v>200</v>
      </c>
      <c r="M123" t="s">
        <v>5857</v>
      </c>
      <c r="N123" t="s">
        <v>5858</v>
      </c>
      <c r="O123" t="s">
        <v>2771</v>
      </c>
      <c r="P123" t="s">
        <v>2781</v>
      </c>
    </row>
    <row r="124" spans="1:16" x14ac:dyDescent="0.3">
      <c r="A124" t="s">
        <v>494</v>
      </c>
      <c r="B124" t="s">
        <v>2469</v>
      </c>
      <c r="C124" t="s">
        <v>833</v>
      </c>
      <c r="D124" t="s">
        <v>5443</v>
      </c>
      <c r="E124" t="s">
        <v>513</v>
      </c>
      <c r="F124" t="s">
        <v>5859</v>
      </c>
      <c r="G124">
        <v>45000000</v>
      </c>
      <c r="H124">
        <v>4429000</v>
      </c>
      <c r="I124">
        <v>0</v>
      </c>
      <c r="J124">
        <v>4429000</v>
      </c>
      <c r="K124" t="s">
        <v>5860</v>
      </c>
      <c r="L124">
        <v>40571000</v>
      </c>
      <c r="M124" t="s">
        <v>5861</v>
      </c>
      <c r="N124" t="s">
        <v>5862</v>
      </c>
      <c r="O124" t="s">
        <v>2756</v>
      </c>
      <c r="P124" t="s">
        <v>2768</v>
      </c>
    </row>
    <row r="125" spans="1:16" x14ac:dyDescent="0.3">
      <c r="A125" t="s">
        <v>494</v>
      </c>
      <c r="B125" t="s">
        <v>2469</v>
      </c>
      <c r="C125" t="s">
        <v>833</v>
      </c>
      <c r="D125" t="s">
        <v>5456</v>
      </c>
      <c r="E125" t="s">
        <v>513</v>
      </c>
      <c r="F125" t="s">
        <v>5863</v>
      </c>
      <c r="G125">
        <v>5164000</v>
      </c>
      <c r="H125">
        <v>5163500</v>
      </c>
      <c r="I125">
        <v>0</v>
      </c>
      <c r="J125">
        <v>5163500</v>
      </c>
      <c r="K125" t="s">
        <v>5864</v>
      </c>
      <c r="L125">
        <v>500</v>
      </c>
      <c r="M125" t="s">
        <v>5865</v>
      </c>
      <c r="N125" t="s">
        <v>5866</v>
      </c>
      <c r="O125" t="s">
        <v>2741</v>
      </c>
      <c r="P125" t="s">
        <v>2753</v>
      </c>
    </row>
    <row r="126" spans="1:16" x14ac:dyDescent="0.3">
      <c r="A126" t="s">
        <v>494</v>
      </c>
      <c r="B126" t="s">
        <v>2469</v>
      </c>
      <c r="C126" t="s">
        <v>833</v>
      </c>
      <c r="D126" t="s">
        <v>5456</v>
      </c>
      <c r="E126" t="s">
        <v>533</v>
      </c>
      <c r="F126" t="s">
        <v>5867</v>
      </c>
      <c r="G126">
        <v>1000000</v>
      </c>
      <c r="H126">
        <v>702895</v>
      </c>
      <c r="I126">
        <v>0</v>
      </c>
      <c r="J126">
        <v>702895</v>
      </c>
      <c r="K126" t="s">
        <v>5868</v>
      </c>
      <c r="L126">
        <v>297105</v>
      </c>
      <c r="M126" t="s">
        <v>5869</v>
      </c>
      <c r="N126" t="s">
        <v>5870</v>
      </c>
      <c r="O126" t="s">
        <v>2741</v>
      </c>
      <c r="P126" t="s">
        <v>2747</v>
      </c>
    </row>
    <row r="127" spans="1:16" x14ac:dyDescent="0.3">
      <c r="A127" t="s">
        <v>494</v>
      </c>
      <c r="B127" t="s">
        <v>2272</v>
      </c>
      <c r="C127" t="s">
        <v>833</v>
      </c>
      <c r="D127" t="s">
        <v>5456</v>
      </c>
      <c r="E127" t="s">
        <v>528</v>
      </c>
      <c r="F127" t="s">
        <v>5871</v>
      </c>
      <c r="G127">
        <v>540000000</v>
      </c>
      <c r="H127">
        <v>540000000</v>
      </c>
      <c r="I127">
        <v>0</v>
      </c>
      <c r="J127">
        <v>540000000</v>
      </c>
      <c r="K127" t="s">
        <v>5537</v>
      </c>
      <c r="L127">
        <v>0</v>
      </c>
      <c r="M127" t="s">
        <v>5872</v>
      </c>
      <c r="N127" t="s">
        <v>5873</v>
      </c>
      <c r="O127" t="s">
        <v>2291</v>
      </c>
      <c r="P127" t="s">
        <v>2293</v>
      </c>
    </row>
    <row r="128" spans="1:16" x14ac:dyDescent="0.3">
      <c r="A128" t="s">
        <v>494</v>
      </c>
      <c r="B128" t="s">
        <v>1269</v>
      </c>
      <c r="C128" t="s">
        <v>833</v>
      </c>
      <c r="D128" t="s">
        <v>5582</v>
      </c>
      <c r="E128" t="s">
        <v>513</v>
      </c>
      <c r="F128" t="s">
        <v>5874</v>
      </c>
      <c r="G128">
        <v>25062000</v>
      </c>
      <c r="H128">
        <v>25062000</v>
      </c>
      <c r="I128">
        <v>0</v>
      </c>
      <c r="J128">
        <v>25062000</v>
      </c>
      <c r="K128" t="s">
        <v>5537</v>
      </c>
      <c r="L128">
        <v>0</v>
      </c>
      <c r="M128" t="s">
        <v>5875</v>
      </c>
      <c r="N128" t="s">
        <v>5876</v>
      </c>
      <c r="O128" t="s">
        <v>1536</v>
      </c>
      <c r="P128" t="s">
        <v>1553</v>
      </c>
    </row>
    <row r="129" spans="1:16" x14ac:dyDescent="0.3">
      <c r="A129" t="s">
        <v>494</v>
      </c>
      <c r="B129" t="s">
        <v>1269</v>
      </c>
      <c r="C129" t="s">
        <v>833</v>
      </c>
      <c r="D129" t="s">
        <v>5582</v>
      </c>
      <c r="E129" t="s">
        <v>516</v>
      </c>
      <c r="F129" t="s">
        <v>5877</v>
      </c>
      <c r="G129">
        <v>40000000</v>
      </c>
      <c r="H129">
        <v>14000000</v>
      </c>
      <c r="I129">
        <v>0</v>
      </c>
      <c r="J129">
        <v>14000000</v>
      </c>
      <c r="K129" t="s">
        <v>5878</v>
      </c>
      <c r="L129">
        <v>26000000</v>
      </c>
      <c r="M129" t="s">
        <v>5879</v>
      </c>
      <c r="N129" t="s">
        <v>5880</v>
      </c>
      <c r="O129" t="s">
        <v>1536</v>
      </c>
      <c r="P129" t="s">
        <v>1551</v>
      </c>
    </row>
    <row r="130" spans="1:16" x14ac:dyDescent="0.3">
      <c r="A130" t="s">
        <v>494</v>
      </c>
      <c r="B130" t="s">
        <v>1269</v>
      </c>
      <c r="C130" t="s">
        <v>833</v>
      </c>
      <c r="D130" t="s">
        <v>5582</v>
      </c>
      <c r="E130" t="s">
        <v>533</v>
      </c>
      <c r="F130" t="s">
        <v>5881</v>
      </c>
      <c r="G130">
        <v>3000000</v>
      </c>
      <c r="H130">
        <v>620000</v>
      </c>
      <c r="I130">
        <v>0</v>
      </c>
      <c r="J130">
        <v>620000</v>
      </c>
      <c r="K130" t="s">
        <v>5882</v>
      </c>
      <c r="L130">
        <v>2380000</v>
      </c>
      <c r="M130" t="s">
        <v>5883</v>
      </c>
      <c r="N130" t="s">
        <v>5870</v>
      </c>
      <c r="O130" t="s">
        <v>1536</v>
      </c>
      <c r="P130" t="s">
        <v>1549</v>
      </c>
    </row>
    <row r="131" spans="1:16" x14ac:dyDescent="0.3">
      <c r="A131" t="s">
        <v>494</v>
      </c>
      <c r="B131" t="s">
        <v>1269</v>
      </c>
      <c r="C131" t="s">
        <v>833</v>
      </c>
      <c r="D131" t="s">
        <v>5474</v>
      </c>
      <c r="E131" t="s">
        <v>516</v>
      </c>
      <c r="F131" t="s">
        <v>5884</v>
      </c>
      <c r="G131">
        <v>9000000</v>
      </c>
      <c r="H131">
        <v>4800000</v>
      </c>
      <c r="I131">
        <v>0</v>
      </c>
      <c r="J131">
        <v>4800000</v>
      </c>
      <c r="K131" t="s">
        <v>5885</v>
      </c>
      <c r="L131">
        <v>4200000</v>
      </c>
      <c r="M131" t="s">
        <v>5886</v>
      </c>
      <c r="N131" t="s">
        <v>5880</v>
      </c>
      <c r="O131" t="s">
        <v>1490</v>
      </c>
      <c r="P131" t="s">
        <v>1498</v>
      </c>
    </row>
    <row r="132" spans="1:16" x14ac:dyDescent="0.3">
      <c r="A132" t="s">
        <v>494</v>
      </c>
      <c r="B132" t="s">
        <v>1269</v>
      </c>
      <c r="C132" t="s">
        <v>833</v>
      </c>
      <c r="D132" t="s">
        <v>5474</v>
      </c>
      <c r="E132" t="s">
        <v>533</v>
      </c>
      <c r="F132" t="s">
        <v>5887</v>
      </c>
      <c r="G132">
        <v>1192000</v>
      </c>
      <c r="H132">
        <v>1191418</v>
      </c>
      <c r="I132">
        <v>0</v>
      </c>
      <c r="J132">
        <v>1191418</v>
      </c>
      <c r="K132" t="s">
        <v>5888</v>
      </c>
      <c r="L132">
        <v>582</v>
      </c>
      <c r="M132" t="s">
        <v>5889</v>
      </c>
      <c r="N132" t="s">
        <v>5870</v>
      </c>
      <c r="O132" t="s">
        <v>1490</v>
      </c>
      <c r="P132" t="s">
        <v>1496</v>
      </c>
    </row>
    <row r="133" spans="1:16" x14ac:dyDescent="0.3">
      <c r="A133" t="s">
        <v>494</v>
      </c>
      <c r="B133" t="s">
        <v>1269</v>
      </c>
      <c r="C133" t="s">
        <v>833</v>
      </c>
      <c r="D133" t="s">
        <v>5461</v>
      </c>
      <c r="E133" t="s">
        <v>533</v>
      </c>
      <c r="F133" t="s">
        <v>5890</v>
      </c>
      <c r="G133">
        <v>1193000</v>
      </c>
      <c r="H133">
        <v>1192458</v>
      </c>
      <c r="I133">
        <v>0</v>
      </c>
      <c r="J133">
        <v>1192458</v>
      </c>
      <c r="K133" t="s">
        <v>5891</v>
      </c>
      <c r="L133">
        <v>542</v>
      </c>
      <c r="M133" t="s">
        <v>5892</v>
      </c>
      <c r="N133" t="s">
        <v>5893</v>
      </c>
      <c r="O133" t="s">
        <v>1469</v>
      </c>
      <c r="P133" t="s">
        <v>1474</v>
      </c>
    </row>
    <row r="134" spans="1:16" x14ac:dyDescent="0.3">
      <c r="A134" t="s">
        <v>494</v>
      </c>
      <c r="B134" t="s">
        <v>1269</v>
      </c>
      <c r="C134" t="s">
        <v>833</v>
      </c>
      <c r="D134" t="s">
        <v>5461</v>
      </c>
      <c r="E134" t="s">
        <v>533</v>
      </c>
      <c r="F134" t="s">
        <v>5894</v>
      </c>
      <c r="G134">
        <v>3105000</v>
      </c>
      <c r="H134">
        <v>3105000</v>
      </c>
      <c r="I134">
        <v>0</v>
      </c>
      <c r="J134">
        <v>3105000</v>
      </c>
      <c r="K134" t="s">
        <v>5537</v>
      </c>
      <c r="L134">
        <v>0</v>
      </c>
      <c r="M134" t="s">
        <v>5895</v>
      </c>
      <c r="N134" t="s">
        <v>5896</v>
      </c>
      <c r="O134" t="s">
        <v>1469</v>
      </c>
      <c r="P134" t="s">
        <v>1474</v>
      </c>
    </row>
    <row r="135" spans="1:16" x14ac:dyDescent="0.3">
      <c r="A135" t="s">
        <v>494</v>
      </c>
      <c r="B135" t="s">
        <v>1269</v>
      </c>
      <c r="C135" t="s">
        <v>833</v>
      </c>
      <c r="D135" t="s">
        <v>5492</v>
      </c>
      <c r="E135" t="s">
        <v>513</v>
      </c>
      <c r="F135" t="s">
        <v>5897</v>
      </c>
      <c r="G135">
        <v>21851000</v>
      </c>
      <c r="H135">
        <v>21850700</v>
      </c>
      <c r="I135">
        <v>0</v>
      </c>
      <c r="J135">
        <v>21850700</v>
      </c>
      <c r="K135" t="s">
        <v>5898</v>
      </c>
      <c r="L135">
        <v>300</v>
      </c>
      <c r="M135" t="s">
        <v>5899</v>
      </c>
      <c r="N135" t="s">
        <v>5900</v>
      </c>
      <c r="O135" t="s">
        <v>1448</v>
      </c>
      <c r="P135" t="s">
        <v>1464</v>
      </c>
    </row>
    <row r="136" spans="1:16" x14ac:dyDescent="0.3">
      <c r="A136" t="s">
        <v>494</v>
      </c>
      <c r="B136" t="s">
        <v>1269</v>
      </c>
      <c r="C136" t="s">
        <v>833</v>
      </c>
      <c r="D136" t="s">
        <v>5492</v>
      </c>
      <c r="E136" t="s">
        <v>518</v>
      </c>
      <c r="F136" t="s">
        <v>5901</v>
      </c>
      <c r="G136">
        <v>4246000</v>
      </c>
      <c r="H136">
        <v>4246000</v>
      </c>
      <c r="I136">
        <v>0</v>
      </c>
      <c r="J136">
        <v>4246000</v>
      </c>
      <c r="K136" t="s">
        <v>5537</v>
      </c>
      <c r="L136">
        <v>0</v>
      </c>
      <c r="M136" t="s">
        <v>5902</v>
      </c>
      <c r="N136" t="s">
        <v>5903</v>
      </c>
      <c r="O136" t="s">
        <v>1448</v>
      </c>
      <c r="P136" t="s">
        <v>1462</v>
      </c>
    </row>
    <row r="137" spans="1:16" x14ac:dyDescent="0.3">
      <c r="A137" t="s">
        <v>494</v>
      </c>
      <c r="B137" t="s">
        <v>1269</v>
      </c>
      <c r="C137" t="s">
        <v>833</v>
      </c>
      <c r="D137" t="s">
        <v>5492</v>
      </c>
      <c r="E137" t="s">
        <v>515</v>
      </c>
      <c r="F137" t="s">
        <v>5904</v>
      </c>
      <c r="G137">
        <v>800000</v>
      </c>
      <c r="H137">
        <v>400000</v>
      </c>
      <c r="I137">
        <v>0</v>
      </c>
      <c r="J137">
        <v>400000</v>
      </c>
      <c r="K137" t="s">
        <v>5541</v>
      </c>
      <c r="L137">
        <v>400000</v>
      </c>
      <c r="M137" t="s">
        <v>5905</v>
      </c>
      <c r="N137" t="s">
        <v>5906</v>
      </c>
      <c r="O137" t="s">
        <v>1448</v>
      </c>
      <c r="P137" t="s">
        <v>1455</v>
      </c>
    </row>
    <row r="138" spans="1:16" x14ac:dyDescent="0.3">
      <c r="A138" t="s">
        <v>494</v>
      </c>
      <c r="B138" t="s">
        <v>1269</v>
      </c>
      <c r="C138" t="s">
        <v>833</v>
      </c>
      <c r="D138" t="s">
        <v>5492</v>
      </c>
      <c r="E138" t="s">
        <v>515</v>
      </c>
      <c r="F138" t="s">
        <v>5907</v>
      </c>
      <c r="G138">
        <v>24334000</v>
      </c>
      <c r="H138">
        <v>20564280</v>
      </c>
      <c r="I138">
        <v>0</v>
      </c>
      <c r="J138">
        <v>20564280</v>
      </c>
      <c r="K138" t="s">
        <v>5908</v>
      </c>
      <c r="L138">
        <v>3769720</v>
      </c>
      <c r="M138" t="s">
        <v>5909</v>
      </c>
      <c r="N138" t="s">
        <v>5910</v>
      </c>
      <c r="O138" t="s">
        <v>1448</v>
      </c>
      <c r="P138" t="s">
        <v>1455</v>
      </c>
    </row>
    <row r="139" spans="1:16" x14ac:dyDescent="0.3">
      <c r="A139" t="s">
        <v>494</v>
      </c>
      <c r="B139" t="s">
        <v>1269</v>
      </c>
      <c r="C139" t="s">
        <v>833</v>
      </c>
      <c r="D139" t="s">
        <v>5492</v>
      </c>
      <c r="E139" t="s">
        <v>515</v>
      </c>
      <c r="F139" t="s">
        <v>5911</v>
      </c>
      <c r="G139">
        <v>57400000</v>
      </c>
      <c r="H139">
        <v>46200000</v>
      </c>
      <c r="I139">
        <v>0</v>
      </c>
      <c r="J139">
        <v>46200000</v>
      </c>
      <c r="K139" t="s">
        <v>5912</v>
      </c>
      <c r="L139">
        <v>11200000</v>
      </c>
      <c r="M139" t="s">
        <v>5913</v>
      </c>
      <c r="N139" t="s">
        <v>5914</v>
      </c>
      <c r="O139" t="s">
        <v>1448</v>
      </c>
      <c r="P139" t="s">
        <v>1455</v>
      </c>
    </row>
    <row r="140" spans="1:16" x14ac:dyDescent="0.3">
      <c r="A140" t="s">
        <v>494</v>
      </c>
      <c r="B140" t="s">
        <v>1269</v>
      </c>
      <c r="C140" t="s">
        <v>833</v>
      </c>
      <c r="D140" t="s">
        <v>5500</v>
      </c>
      <c r="E140" t="s">
        <v>513</v>
      </c>
      <c r="F140" t="s">
        <v>5915</v>
      </c>
      <c r="G140">
        <v>47693000</v>
      </c>
      <c r="H140">
        <v>27681738</v>
      </c>
      <c r="I140">
        <v>0</v>
      </c>
      <c r="J140">
        <v>27681738</v>
      </c>
      <c r="K140" t="s">
        <v>5916</v>
      </c>
      <c r="L140">
        <v>20011262</v>
      </c>
      <c r="M140" t="s">
        <v>5917</v>
      </c>
      <c r="N140" t="s">
        <v>151</v>
      </c>
      <c r="O140" t="s">
        <v>1437</v>
      </c>
      <c r="P140" t="s">
        <v>1443</v>
      </c>
    </row>
    <row r="141" spans="1:16" x14ac:dyDescent="0.3">
      <c r="A141" t="s">
        <v>494</v>
      </c>
      <c r="B141" t="s">
        <v>1269</v>
      </c>
      <c r="C141" t="s">
        <v>833</v>
      </c>
      <c r="D141" t="s">
        <v>5511</v>
      </c>
      <c r="E141" t="s">
        <v>507</v>
      </c>
      <c r="F141" t="s">
        <v>5918</v>
      </c>
      <c r="G141">
        <v>2250000</v>
      </c>
      <c r="H141">
        <v>600000</v>
      </c>
      <c r="I141">
        <v>0</v>
      </c>
      <c r="J141">
        <v>600000</v>
      </c>
      <c r="K141" t="s">
        <v>5919</v>
      </c>
      <c r="L141">
        <v>1650000</v>
      </c>
      <c r="M141" t="s">
        <v>5920</v>
      </c>
      <c r="N141" t="s">
        <v>5921</v>
      </c>
      <c r="O141" t="s">
        <v>1417</v>
      </c>
      <c r="P141" t="s">
        <v>1434</v>
      </c>
    </row>
    <row r="142" spans="1:16" x14ac:dyDescent="0.3">
      <c r="A142" t="s">
        <v>494</v>
      </c>
      <c r="B142" t="s">
        <v>1269</v>
      </c>
      <c r="C142" t="s">
        <v>833</v>
      </c>
      <c r="D142" t="s">
        <v>5511</v>
      </c>
      <c r="E142" t="s">
        <v>513</v>
      </c>
      <c r="F142" t="s">
        <v>5922</v>
      </c>
      <c r="G142">
        <v>18000000</v>
      </c>
      <c r="H142">
        <v>8310000</v>
      </c>
      <c r="I142">
        <v>0</v>
      </c>
      <c r="J142">
        <v>8310000</v>
      </c>
      <c r="K142" t="s">
        <v>5923</v>
      </c>
      <c r="L142">
        <v>9690000</v>
      </c>
      <c r="M142" t="s">
        <v>5924</v>
      </c>
      <c r="N142" t="s">
        <v>5925</v>
      </c>
      <c r="O142" t="s">
        <v>1417</v>
      </c>
      <c r="P142" t="s">
        <v>1431</v>
      </c>
    </row>
    <row r="143" spans="1:16" x14ac:dyDescent="0.3">
      <c r="A143" t="s">
        <v>494</v>
      </c>
      <c r="B143" t="s">
        <v>1269</v>
      </c>
      <c r="C143" t="s">
        <v>833</v>
      </c>
      <c r="D143" t="s">
        <v>5443</v>
      </c>
      <c r="E143" t="s">
        <v>513</v>
      </c>
      <c r="F143" t="s">
        <v>5926</v>
      </c>
      <c r="G143">
        <v>180375000</v>
      </c>
      <c r="H143">
        <v>113862760</v>
      </c>
      <c r="I143">
        <v>0</v>
      </c>
      <c r="J143">
        <v>113862760</v>
      </c>
      <c r="K143" t="s">
        <v>5927</v>
      </c>
      <c r="L143">
        <v>66512240</v>
      </c>
      <c r="M143" t="s">
        <v>5928</v>
      </c>
      <c r="N143" t="s">
        <v>5929</v>
      </c>
      <c r="O143" t="s">
        <v>1403</v>
      </c>
      <c r="P143" t="s">
        <v>1412</v>
      </c>
    </row>
    <row r="144" spans="1:16" x14ac:dyDescent="0.3">
      <c r="A144" t="s">
        <v>494</v>
      </c>
      <c r="B144" t="s">
        <v>1269</v>
      </c>
      <c r="C144" t="s">
        <v>833</v>
      </c>
      <c r="D144" t="s">
        <v>5443</v>
      </c>
      <c r="E144" t="s">
        <v>513</v>
      </c>
      <c r="F144" t="s">
        <v>5930</v>
      </c>
      <c r="G144">
        <v>193259000</v>
      </c>
      <c r="H144">
        <v>46717701</v>
      </c>
      <c r="I144">
        <v>0</v>
      </c>
      <c r="J144">
        <v>46717701</v>
      </c>
      <c r="K144" t="s">
        <v>5931</v>
      </c>
      <c r="L144">
        <v>146541299</v>
      </c>
      <c r="M144" t="s">
        <v>5932</v>
      </c>
      <c r="N144" t="s">
        <v>5933</v>
      </c>
      <c r="O144" t="s">
        <v>1403</v>
      </c>
      <c r="P144" t="s">
        <v>1412</v>
      </c>
    </row>
    <row r="145" spans="1:16" x14ac:dyDescent="0.3">
      <c r="A145" t="s">
        <v>494</v>
      </c>
      <c r="B145" t="s">
        <v>1269</v>
      </c>
      <c r="C145" t="s">
        <v>833</v>
      </c>
      <c r="D145" t="s">
        <v>5443</v>
      </c>
      <c r="E145" t="s">
        <v>518</v>
      </c>
      <c r="F145" t="s">
        <v>5934</v>
      </c>
      <c r="G145">
        <v>2031000</v>
      </c>
      <c r="H145">
        <v>2031000</v>
      </c>
      <c r="I145">
        <v>0</v>
      </c>
      <c r="J145">
        <v>2031000</v>
      </c>
      <c r="K145" t="s">
        <v>5537</v>
      </c>
      <c r="L145">
        <v>0</v>
      </c>
      <c r="M145" t="s">
        <v>5935</v>
      </c>
      <c r="N145" t="s">
        <v>5903</v>
      </c>
      <c r="O145" t="s">
        <v>1403</v>
      </c>
      <c r="P145" t="s">
        <v>1409</v>
      </c>
    </row>
    <row r="146" spans="1:16" x14ac:dyDescent="0.3">
      <c r="A146" t="s">
        <v>494</v>
      </c>
      <c r="B146" t="s">
        <v>1269</v>
      </c>
      <c r="C146" t="s">
        <v>833</v>
      </c>
      <c r="D146" t="s">
        <v>5456</v>
      </c>
      <c r="E146" t="s">
        <v>507</v>
      </c>
      <c r="F146" t="s">
        <v>5936</v>
      </c>
      <c r="G146">
        <v>750000</v>
      </c>
      <c r="H146">
        <v>750000</v>
      </c>
      <c r="I146">
        <v>0</v>
      </c>
      <c r="J146">
        <v>750000</v>
      </c>
      <c r="K146" t="s">
        <v>5537</v>
      </c>
      <c r="L146">
        <v>0</v>
      </c>
      <c r="M146" t="s">
        <v>5937</v>
      </c>
      <c r="N146" t="s">
        <v>5938</v>
      </c>
      <c r="O146" t="s">
        <v>1390</v>
      </c>
      <c r="P146" t="s">
        <v>1400</v>
      </c>
    </row>
    <row r="147" spans="1:16" x14ac:dyDescent="0.3">
      <c r="A147" t="s">
        <v>494</v>
      </c>
      <c r="B147" t="s">
        <v>1269</v>
      </c>
      <c r="C147" t="s">
        <v>833</v>
      </c>
      <c r="D147" t="s">
        <v>5456</v>
      </c>
      <c r="E147" t="s">
        <v>513</v>
      </c>
      <c r="F147" t="s">
        <v>5939</v>
      </c>
      <c r="G147">
        <v>12989000</v>
      </c>
      <c r="H147">
        <v>11338500</v>
      </c>
      <c r="I147">
        <v>0</v>
      </c>
      <c r="J147">
        <v>11338500</v>
      </c>
      <c r="K147" t="s">
        <v>5940</v>
      </c>
      <c r="L147">
        <v>1650500</v>
      </c>
      <c r="M147" t="s">
        <v>5941</v>
      </c>
      <c r="N147" t="s">
        <v>148</v>
      </c>
      <c r="O147" t="s">
        <v>1390</v>
      </c>
      <c r="P147" t="s">
        <v>1397</v>
      </c>
    </row>
    <row r="148" spans="1:16" x14ac:dyDescent="0.3">
      <c r="A148" t="s">
        <v>494</v>
      </c>
      <c r="B148" t="s">
        <v>1036</v>
      </c>
      <c r="C148" t="s">
        <v>1185</v>
      </c>
      <c r="D148" t="s">
        <v>5668</v>
      </c>
      <c r="E148" t="s">
        <v>513</v>
      </c>
      <c r="F148" t="s">
        <v>5942</v>
      </c>
      <c r="G148">
        <v>90946000</v>
      </c>
      <c r="H148">
        <v>18370600</v>
      </c>
      <c r="I148">
        <v>0</v>
      </c>
      <c r="J148">
        <v>18370600</v>
      </c>
      <c r="K148" t="s">
        <v>5943</v>
      </c>
      <c r="L148">
        <v>72575400</v>
      </c>
      <c r="M148" t="s">
        <v>5944</v>
      </c>
      <c r="N148" t="s">
        <v>5945</v>
      </c>
      <c r="O148" t="s">
        <v>1187</v>
      </c>
      <c r="P148" t="s">
        <v>1200</v>
      </c>
    </row>
    <row r="149" spans="1:16" x14ac:dyDescent="0.3">
      <c r="A149" t="s">
        <v>494</v>
      </c>
      <c r="B149" t="s">
        <v>823</v>
      </c>
      <c r="C149" t="s">
        <v>833</v>
      </c>
      <c r="D149" t="s">
        <v>5456</v>
      </c>
      <c r="E149" t="s">
        <v>528</v>
      </c>
      <c r="F149" t="s">
        <v>5946</v>
      </c>
      <c r="G149">
        <v>114200000</v>
      </c>
      <c r="H149">
        <v>114200000</v>
      </c>
      <c r="I149">
        <v>0</v>
      </c>
      <c r="J149">
        <v>114200000</v>
      </c>
      <c r="K149" t="s">
        <v>5537</v>
      </c>
      <c r="L149">
        <v>0</v>
      </c>
      <c r="M149" t="s">
        <v>5947</v>
      </c>
      <c r="N149" t="s">
        <v>5948</v>
      </c>
      <c r="O149" t="s">
        <v>835</v>
      </c>
      <c r="P149" t="s">
        <v>837</v>
      </c>
    </row>
    <row r="150" spans="1:16" x14ac:dyDescent="0.3">
      <c r="A150" t="s">
        <v>495</v>
      </c>
      <c r="B150" t="s">
        <v>3476</v>
      </c>
      <c r="C150" t="s">
        <v>3090</v>
      </c>
      <c r="D150" t="s">
        <v>5535</v>
      </c>
      <c r="E150" t="s">
        <v>537</v>
      </c>
      <c r="F150" t="s">
        <v>5949</v>
      </c>
      <c r="G150">
        <v>18000000</v>
      </c>
      <c r="H150">
        <v>2875000</v>
      </c>
      <c r="I150">
        <v>0</v>
      </c>
      <c r="J150">
        <v>2875000</v>
      </c>
      <c r="K150" t="s">
        <v>5950</v>
      </c>
      <c r="L150">
        <v>15125000</v>
      </c>
      <c r="M150" t="s">
        <v>5951</v>
      </c>
      <c r="N150" t="s">
        <v>5447</v>
      </c>
      <c r="O150" t="s">
        <v>3539</v>
      </c>
      <c r="P150" t="s">
        <v>3543</v>
      </c>
    </row>
    <row r="151" spans="1:16" x14ac:dyDescent="0.3">
      <c r="A151" t="s">
        <v>495</v>
      </c>
      <c r="B151" t="s">
        <v>3476</v>
      </c>
      <c r="C151" t="s">
        <v>3090</v>
      </c>
      <c r="D151" t="s">
        <v>5535</v>
      </c>
      <c r="E151" t="s">
        <v>537</v>
      </c>
      <c r="F151" t="s">
        <v>5952</v>
      </c>
      <c r="G151">
        <v>12000000</v>
      </c>
      <c r="H151">
        <v>1970000</v>
      </c>
      <c r="I151">
        <v>0</v>
      </c>
      <c r="J151">
        <v>1970000</v>
      </c>
      <c r="K151" t="s">
        <v>5953</v>
      </c>
      <c r="L151">
        <v>10030000</v>
      </c>
      <c r="M151" t="s">
        <v>5954</v>
      </c>
      <c r="N151" t="s">
        <v>5499</v>
      </c>
      <c r="O151" t="s">
        <v>3539</v>
      </c>
      <c r="P151" t="s">
        <v>3543</v>
      </c>
    </row>
    <row r="152" spans="1:16" x14ac:dyDescent="0.3">
      <c r="A152" t="s">
        <v>495</v>
      </c>
      <c r="B152" t="s">
        <v>3476</v>
      </c>
      <c r="C152" t="s">
        <v>3090</v>
      </c>
      <c r="D152" t="s">
        <v>5535</v>
      </c>
      <c r="E152" t="s">
        <v>503</v>
      </c>
      <c r="F152" t="s">
        <v>5955</v>
      </c>
      <c r="G152">
        <v>18000000</v>
      </c>
      <c r="H152">
        <v>2961000</v>
      </c>
      <c r="I152">
        <v>0</v>
      </c>
      <c r="J152">
        <v>2961000</v>
      </c>
      <c r="K152" t="s">
        <v>5956</v>
      </c>
      <c r="L152">
        <v>15039000</v>
      </c>
      <c r="M152" t="s">
        <v>5957</v>
      </c>
      <c r="N152" t="s">
        <v>5455</v>
      </c>
      <c r="O152" t="s">
        <v>3539</v>
      </c>
      <c r="P152" t="s">
        <v>3540</v>
      </c>
    </row>
    <row r="153" spans="1:16" x14ac:dyDescent="0.3">
      <c r="A153" t="s">
        <v>495</v>
      </c>
      <c r="B153" t="s">
        <v>3476</v>
      </c>
      <c r="C153" t="s">
        <v>833</v>
      </c>
      <c r="D153" t="s">
        <v>5443</v>
      </c>
      <c r="E153" t="s">
        <v>513</v>
      </c>
      <c r="F153" t="s">
        <v>5958</v>
      </c>
      <c r="G153">
        <v>156000000</v>
      </c>
      <c r="H153">
        <v>42723206</v>
      </c>
      <c r="I153">
        <v>0</v>
      </c>
      <c r="J153">
        <v>42723206</v>
      </c>
      <c r="K153" t="s">
        <v>5959</v>
      </c>
      <c r="L153">
        <v>113276794</v>
      </c>
      <c r="M153" t="s">
        <v>5960</v>
      </c>
      <c r="N153" t="s">
        <v>5460</v>
      </c>
      <c r="O153" t="s">
        <v>3505</v>
      </c>
      <c r="P153" t="s">
        <v>3519</v>
      </c>
    </row>
    <row r="154" spans="1:16" x14ac:dyDescent="0.3">
      <c r="A154" t="s">
        <v>495</v>
      </c>
      <c r="B154" t="s">
        <v>3476</v>
      </c>
      <c r="C154" t="s">
        <v>833</v>
      </c>
      <c r="D154" t="s">
        <v>5443</v>
      </c>
      <c r="E154" t="s">
        <v>537</v>
      </c>
      <c r="F154" t="s">
        <v>5961</v>
      </c>
      <c r="G154">
        <v>12000000</v>
      </c>
      <c r="H154">
        <v>1910000</v>
      </c>
      <c r="I154">
        <v>0</v>
      </c>
      <c r="J154">
        <v>1910000</v>
      </c>
      <c r="K154" t="s">
        <v>5962</v>
      </c>
      <c r="L154">
        <v>10090000</v>
      </c>
      <c r="M154" t="s">
        <v>5963</v>
      </c>
      <c r="N154" t="s">
        <v>5499</v>
      </c>
      <c r="O154" t="s">
        <v>3505</v>
      </c>
      <c r="P154" t="s">
        <v>3514</v>
      </c>
    </row>
    <row r="155" spans="1:16" x14ac:dyDescent="0.3">
      <c r="A155" t="s">
        <v>495</v>
      </c>
      <c r="B155" t="s">
        <v>3476</v>
      </c>
      <c r="C155" t="s">
        <v>833</v>
      </c>
      <c r="D155" t="s">
        <v>5456</v>
      </c>
      <c r="E155" t="s">
        <v>537</v>
      </c>
      <c r="F155" t="s">
        <v>5964</v>
      </c>
      <c r="G155">
        <v>15000000</v>
      </c>
      <c r="H155">
        <v>2920000</v>
      </c>
      <c r="I155">
        <v>0</v>
      </c>
      <c r="J155">
        <v>2920000</v>
      </c>
      <c r="K155" t="s">
        <v>5965</v>
      </c>
      <c r="L155">
        <v>12080000</v>
      </c>
      <c r="M155" t="s">
        <v>5966</v>
      </c>
      <c r="N155" t="s">
        <v>5447</v>
      </c>
      <c r="O155" t="s">
        <v>3479</v>
      </c>
      <c r="P155" t="s">
        <v>3492</v>
      </c>
    </row>
    <row r="156" spans="1:16" x14ac:dyDescent="0.3">
      <c r="A156" t="s">
        <v>495</v>
      </c>
      <c r="B156" t="s">
        <v>3476</v>
      </c>
      <c r="C156" t="s">
        <v>833</v>
      </c>
      <c r="D156" t="s">
        <v>5456</v>
      </c>
      <c r="E156" t="s">
        <v>537</v>
      </c>
      <c r="F156" t="s">
        <v>5967</v>
      </c>
      <c r="G156">
        <v>10000000</v>
      </c>
      <c r="H156">
        <v>1935000</v>
      </c>
      <c r="I156">
        <v>0</v>
      </c>
      <c r="J156">
        <v>1935000</v>
      </c>
      <c r="K156" t="s">
        <v>5968</v>
      </c>
      <c r="L156">
        <v>8065000</v>
      </c>
      <c r="M156" t="s">
        <v>5969</v>
      </c>
      <c r="N156" t="s">
        <v>5499</v>
      </c>
      <c r="O156" t="s">
        <v>3479</v>
      </c>
      <c r="P156" t="s">
        <v>3492</v>
      </c>
    </row>
    <row r="157" spans="1:16" x14ac:dyDescent="0.3">
      <c r="A157" t="s">
        <v>419</v>
      </c>
      <c r="B157" t="s">
        <v>616</v>
      </c>
      <c r="C157" t="s">
        <v>526</v>
      </c>
      <c r="D157" t="s">
        <v>5970</v>
      </c>
      <c r="E157" t="s">
        <v>513</v>
      </c>
      <c r="F157" t="s">
        <v>5971</v>
      </c>
      <c r="G157">
        <v>97416000</v>
      </c>
      <c r="H157">
        <v>57918610</v>
      </c>
      <c r="I157">
        <v>0</v>
      </c>
      <c r="J157">
        <v>57918610</v>
      </c>
      <c r="K157" t="s">
        <v>5972</v>
      </c>
      <c r="L157">
        <v>39497390</v>
      </c>
      <c r="M157" t="s">
        <v>5973</v>
      </c>
      <c r="N157" t="s">
        <v>5974</v>
      </c>
      <c r="O157" t="s">
        <v>485</v>
      </c>
      <c r="P157" t="s">
        <v>816</v>
      </c>
    </row>
    <row r="158" spans="1:16" x14ac:dyDescent="0.3">
      <c r="A158" t="s">
        <v>419</v>
      </c>
      <c r="B158" t="s">
        <v>616</v>
      </c>
      <c r="C158" t="s">
        <v>526</v>
      </c>
      <c r="D158" t="s">
        <v>5970</v>
      </c>
      <c r="E158" t="s">
        <v>516</v>
      </c>
      <c r="F158" t="s">
        <v>5975</v>
      </c>
      <c r="G158">
        <v>10000000</v>
      </c>
      <c r="H158">
        <v>7200000</v>
      </c>
      <c r="I158">
        <v>0</v>
      </c>
      <c r="J158">
        <v>7200000</v>
      </c>
      <c r="K158" t="s">
        <v>5976</v>
      </c>
      <c r="L158">
        <v>2800000</v>
      </c>
      <c r="M158" t="s">
        <v>5977</v>
      </c>
      <c r="N158" t="s">
        <v>5978</v>
      </c>
      <c r="O158" t="s">
        <v>485</v>
      </c>
      <c r="P158" t="s">
        <v>492</v>
      </c>
    </row>
    <row r="159" spans="1:16" x14ac:dyDescent="0.3">
      <c r="A159" t="s">
        <v>419</v>
      </c>
      <c r="B159" t="s">
        <v>616</v>
      </c>
      <c r="C159" t="s">
        <v>526</v>
      </c>
      <c r="D159" t="s">
        <v>5970</v>
      </c>
      <c r="E159" t="s">
        <v>503</v>
      </c>
      <c r="F159" t="s">
        <v>5979</v>
      </c>
      <c r="G159">
        <v>3000000</v>
      </c>
      <c r="H159">
        <v>2995000</v>
      </c>
      <c r="I159">
        <v>0</v>
      </c>
      <c r="J159">
        <v>2995000</v>
      </c>
      <c r="K159" t="s">
        <v>5980</v>
      </c>
      <c r="L159">
        <v>5000</v>
      </c>
      <c r="M159" t="s">
        <v>5981</v>
      </c>
      <c r="N159" t="s">
        <v>5499</v>
      </c>
      <c r="O159" t="s">
        <v>485</v>
      </c>
      <c r="P159" t="s">
        <v>486</v>
      </c>
    </row>
    <row r="160" spans="1:16" x14ac:dyDescent="0.3">
      <c r="A160" t="s">
        <v>419</v>
      </c>
      <c r="B160" t="s">
        <v>616</v>
      </c>
      <c r="C160" t="s">
        <v>526</v>
      </c>
      <c r="D160" t="s">
        <v>5970</v>
      </c>
      <c r="E160" t="s">
        <v>503</v>
      </c>
      <c r="F160" t="s">
        <v>5982</v>
      </c>
      <c r="G160">
        <v>2000000</v>
      </c>
      <c r="H160">
        <v>1996500</v>
      </c>
      <c r="I160">
        <v>0</v>
      </c>
      <c r="J160">
        <v>1996500</v>
      </c>
      <c r="K160" t="s">
        <v>5983</v>
      </c>
      <c r="L160">
        <v>3500</v>
      </c>
      <c r="M160" t="s">
        <v>5984</v>
      </c>
      <c r="N160" t="s">
        <v>5447</v>
      </c>
      <c r="O160" t="s">
        <v>485</v>
      </c>
      <c r="P160" t="s">
        <v>486</v>
      </c>
    </row>
    <row r="161" spans="1:16" x14ac:dyDescent="0.3">
      <c r="A161" t="s">
        <v>419</v>
      </c>
      <c r="B161" t="s">
        <v>616</v>
      </c>
      <c r="C161" t="s">
        <v>526</v>
      </c>
      <c r="D161" t="s">
        <v>5970</v>
      </c>
      <c r="E161" t="s">
        <v>503</v>
      </c>
      <c r="F161" t="s">
        <v>5985</v>
      </c>
      <c r="G161">
        <v>5900000</v>
      </c>
      <c r="H161">
        <v>1500000</v>
      </c>
      <c r="I161">
        <v>0</v>
      </c>
      <c r="J161">
        <v>1500000</v>
      </c>
      <c r="K161" t="s">
        <v>5986</v>
      </c>
      <c r="L161">
        <v>4400000</v>
      </c>
      <c r="M161" t="s">
        <v>5987</v>
      </c>
      <c r="N161" t="s">
        <v>5988</v>
      </c>
      <c r="O161" t="s">
        <v>485</v>
      </c>
      <c r="P161" t="s">
        <v>486</v>
      </c>
    </row>
    <row r="162" spans="1:16" x14ac:dyDescent="0.3">
      <c r="A162" t="s">
        <v>419</v>
      </c>
      <c r="B162" t="s">
        <v>616</v>
      </c>
      <c r="C162" t="s">
        <v>526</v>
      </c>
      <c r="D162" t="s">
        <v>5970</v>
      </c>
      <c r="E162" t="s">
        <v>503</v>
      </c>
      <c r="F162" t="s">
        <v>5989</v>
      </c>
      <c r="G162">
        <v>3000000</v>
      </c>
      <c r="H162">
        <v>2999250</v>
      </c>
      <c r="I162">
        <v>0</v>
      </c>
      <c r="J162">
        <v>2999250</v>
      </c>
      <c r="K162" t="s">
        <v>5990</v>
      </c>
      <c r="L162">
        <v>750</v>
      </c>
      <c r="M162" t="s">
        <v>5991</v>
      </c>
      <c r="N162" t="s">
        <v>5534</v>
      </c>
      <c r="O162" t="s">
        <v>485</v>
      </c>
      <c r="P162" t="s">
        <v>486</v>
      </c>
    </row>
    <row r="163" spans="1:16" x14ac:dyDescent="0.3">
      <c r="A163" t="s">
        <v>419</v>
      </c>
      <c r="B163" t="s">
        <v>616</v>
      </c>
      <c r="C163" t="s">
        <v>523</v>
      </c>
      <c r="D163" t="s">
        <v>5483</v>
      </c>
      <c r="E163" t="s">
        <v>518</v>
      </c>
      <c r="F163" t="s">
        <v>5992</v>
      </c>
      <c r="G163">
        <v>2000000</v>
      </c>
      <c r="H163">
        <v>365000</v>
      </c>
      <c r="I163">
        <v>0</v>
      </c>
      <c r="J163">
        <v>365000</v>
      </c>
      <c r="K163" t="s">
        <v>5993</v>
      </c>
      <c r="L163">
        <v>1635000</v>
      </c>
      <c r="M163" t="s">
        <v>5994</v>
      </c>
      <c r="N163" t="s">
        <v>5995</v>
      </c>
      <c r="O163" t="s">
        <v>469</v>
      </c>
      <c r="P163" t="s">
        <v>480</v>
      </c>
    </row>
    <row r="164" spans="1:16" x14ac:dyDescent="0.3">
      <c r="A164" t="s">
        <v>419</v>
      </c>
      <c r="B164" t="s">
        <v>616</v>
      </c>
      <c r="C164" t="s">
        <v>523</v>
      </c>
      <c r="D164" t="s">
        <v>5483</v>
      </c>
      <c r="E164" t="s">
        <v>516</v>
      </c>
      <c r="F164" t="s">
        <v>5996</v>
      </c>
      <c r="G164">
        <v>16200000</v>
      </c>
      <c r="H164">
        <v>6300000</v>
      </c>
      <c r="I164">
        <v>0</v>
      </c>
      <c r="J164">
        <v>6300000</v>
      </c>
      <c r="K164" t="s">
        <v>5997</v>
      </c>
      <c r="L164">
        <v>9900000</v>
      </c>
      <c r="M164" t="s">
        <v>5998</v>
      </c>
      <c r="N164" t="s">
        <v>5978</v>
      </c>
      <c r="O164" t="s">
        <v>469</v>
      </c>
      <c r="P164" t="s">
        <v>478</v>
      </c>
    </row>
    <row r="165" spans="1:16" x14ac:dyDescent="0.3">
      <c r="A165" t="s">
        <v>419</v>
      </c>
      <c r="B165" t="s">
        <v>616</v>
      </c>
      <c r="C165" t="s">
        <v>523</v>
      </c>
      <c r="D165" t="s">
        <v>5483</v>
      </c>
      <c r="E165" t="s">
        <v>537</v>
      </c>
      <c r="F165" t="s">
        <v>5999</v>
      </c>
      <c r="G165">
        <v>9000000</v>
      </c>
      <c r="H165">
        <v>1470000</v>
      </c>
      <c r="I165">
        <v>0</v>
      </c>
      <c r="J165">
        <v>1470000</v>
      </c>
      <c r="K165" t="s">
        <v>6000</v>
      </c>
      <c r="L165">
        <v>7530000</v>
      </c>
      <c r="M165" t="s">
        <v>6001</v>
      </c>
      <c r="N165" t="s">
        <v>5499</v>
      </c>
      <c r="O165" t="s">
        <v>469</v>
      </c>
      <c r="P165" t="s">
        <v>475</v>
      </c>
    </row>
    <row r="166" spans="1:16" x14ac:dyDescent="0.3">
      <c r="A166" t="s">
        <v>419</v>
      </c>
      <c r="B166" t="s">
        <v>616</v>
      </c>
      <c r="C166" t="s">
        <v>523</v>
      </c>
      <c r="D166" t="s">
        <v>5483</v>
      </c>
      <c r="E166" t="s">
        <v>537</v>
      </c>
      <c r="F166" t="s">
        <v>6002</v>
      </c>
      <c r="G166">
        <v>6000000</v>
      </c>
      <c r="H166">
        <v>983500</v>
      </c>
      <c r="I166">
        <v>0</v>
      </c>
      <c r="J166">
        <v>983500</v>
      </c>
      <c r="K166" t="s">
        <v>6003</v>
      </c>
      <c r="L166">
        <v>5016500</v>
      </c>
      <c r="M166" t="s">
        <v>6004</v>
      </c>
      <c r="N166" t="s">
        <v>5447</v>
      </c>
      <c r="O166" t="s">
        <v>469</v>
      </c>
      <c r="P166" t="s">
        <v>475</v>
      </c>
    </row>
    <row r="167" spans="1:16" x14ac:dyDescent="0.3">
      <c r="A167" t="s">
        <v>419</v>
      </c>
      <c r="B167" t="s">
        <v>616</v>
      </c>
      <c r="C167" t="s">
        <v>523</v>
      </c>
      <c r="D167" t="s">
        <v>5483</v>
      </c>
      <c r="E167" t="s">
        <v>533</v>
      </c>
      <c r="F167" t="s">
        <v>6005</v>
      </c>
      <c r="G167">
        <v>4000000</v>
      </c>
      <c r="H167">
        <v>3960000</v>
      </c>
      <c r="I167">
        <v>0</v>
      </c>
      <c r="J167">
        <v>3960000</v>
      </c>
      <c r="K167" t="s">
        <v>6006</v>
      </c>
      <c r="L167">
        <v>40000</v>
      </c>
      <c r="M167" t="s">
        <v>6007</v>
      </c>
      <c r="N167" t="s">
        <v>6008</v>
      </c>
      <c r="O167" t="s">
        <v>469</v>
      </c>
      <c r="P167" t="s">
        <v>473</v>
      </c>
    </row>
    <row r="168" spans="1:16" x14ac:dyDescent="0.3">
      <c r="A168" t="s">
        <v>419</v>
      </c>
      <c r="B168" t="s">
        <v>616</v>
      </c>
      <c r="C168" t="s">
        <v>523</v>
      </c>
      <c r="D168" t="s">
        <v>5483</v>
      </c>
      <c r="E168" t="s">
        <v>533</v>
      </c>
      <c r="F168" t="s">
        <v>6009</v>
      </c>
      <c r="G168">
        <v>1000000</v>
      </c>
      <c r="H168">
        <v>302850</v>
      </c>
      <c r="I168">
        <v>0</v>
      </c>
      <c r="J168">
        <v>302850</v>
      </c>
      <c r="K168" t="s">
        <v>6010</v>
      </c>
      <c r="L168">
        <v>697150</v>
      </c>
      <c r="M168" t="s">
        <v>6011</v>
      </c>
      <c r="N168" t="s">
        <v>5870</v>
      </c>
      <c r="O168" t="s">
        <v>469</v>
      </c>
      <c r="P168" t="s">
        <v>473</v>
      </c>
    </row>
    <row r="169" spans="1:16" x14ac:dyDescent="0.3">
      <c r="A169" t="s">
        <v>419</v>
      </c>
      <c r="B169" t="s">
        <v>616</v>
      </c>
      <c r="C169" t="s">
        <v>523</v>
      </c>
      <c r="D169" t="s">
        <v>5483</v>
      </c>
      <c r="E169" t="s">
        <v>503</v>
      </c>
      <c r="F169" t="s">
        <v>6012</v>
      </c>
      <c r="G169">
        <v>6000000</v>
      </c>
      <c r="H169">
        <v>1468550</v>
      </c>
      <c r="I169">
        <v>0</v>
      </c>
      <c r="J169">
        <v>1468550</v>
      </c>
      <c r="K169" t="s">
        <v>6013</v>
      </c>
      <c r="L169">
        <v>4531450</v>
      </c>
      <c r="M169" t="s">
        <v>6014</v>
      </c>
      <c r="N169" t="s">
        <v>5534</v>
      </c>
      <c r="O169" t="s">
        <v>469</v>
      </c>
      <c r="P169" t="s">
        <v>470</v>
      </c>
    </row>
    <row r="170" spans="1:16" x14ac:dyDescent="0.3">
      <c r="A170" t="s">
        <v>419</v>
      </c>
      <c r="B170" t="s">
        <v>616</v>
      </c>
      <c r="C170" t="s">
        <v>523</v>
      </c>
      <c r="D170" t="s">
        <v>5483</v>
      </c>
      <c r="E170" t="s">
        <v>503</v>
      </c>
      <c r="F170" t="s">
        <v>6015</v>
      </c>
      <c r="G170">
        <v>15456000</v>
      </c>
      <c r="H170">
        <v>8970000</v>
      </c>
      <c r="I170">
        <v>0</v>
      </c>
      <c r="J170">
        <v>8970000</v>
      </c>
      <c r="K170" t="s">
        <v>6016</v>
      </c>
      <c r="L170">
        <v>6486000</v>
      </c>
      <c r="M170" t="s">
        <v>6017</v>
      </c>
      <c r="N170" t="s">
        <v>5672</v>
      </c>
      <c r="O170" t="s">
        <v>469</v>
      </c>
      <c r="P170" t="s">
        <v>470</v>
      </c>
    </row>
    <row r="171" spans="1:16" x14ac:dyDescent="0.3">
      <c r="A171" t="s">
        <v>419</v>
      </c>
      <c r="B171" t="s">
        <v>616</v>
      </c>
      <c r="C171" t="s">
        <v>523</v>
      </c>
      <c r="D171" t="s">
        <v>6018</v>
      </c>
      <c r="E171" t="s">
        <v>513</v>
      </c>
      <c r="F171" t="s">
        <v>6019</v>
      </c>
      <c r="G171">
        <v>253324000</v>
      </c>
      <c r="H171">
        <v>33228650</v>
      </c>
      <c r="I171">
        <v>0</v>
      </c>
      <c r="J171">
        <v>33228650</v>
      </c>
      <c r="K171" t="s">
        <v>6020</v>
      </c>
      <c r="L171">
        <v>220095350</v>
      </c>
      <c r="M171" t="s">
        <v>6021</v>
      </c>
      <c r="N171" t="s">
        <v>6022</v>
      </c>
      <c r="O171" t="s">
        <v>451</v>
      </c>
      <c r="P171" t="s">
        <v>465</v>
      </c>
    </row>
    <row r="172" spans="1:16" x14ac:dyDescent="0.3">
      <c r="A172" t="s">
        <v>419</v>
      </c>
      <c r="B172" t="s">
        <v>616</v>
      </c>
      <c r="C172" t="s">
        <v>523</v>
      </c>
      <c r="D172" t="s">
        <v>6018</v>
      </c>
      <c r="E172" t="s">
        <v>516</v>
      </c>
      <c r="F172" t="s">
        <v>6023</v>
      </c>
      <c r="G172">
        <v>25200000</v>
      </c>
      <c r="H172">
        <v>9000000</v>
      </c>
      <c r="I172">
        <v>0</v>
      </c>
      <c r="J172">
        <v>9000000</v>
      </c>
      <c r="K172" t="s">
        <v>6024</v>
      </c>
      <c r="L172">
        <v>16200000</v>
      </c>
      <c r="M172" t="s">
        <v>6025</v>
      </c>
      <c r="N172" t="s">
        <v>5978</v>
      </c>
      <c r="O172" t="s">
        <v>451</v>
      </c>
      <c r="P172" t="s">
        <v>461</v>
      </c>
    </row>
    <row r="173" spans="1:16" x14ac:dyDescent="0.3">
      <c r="A173" t="s">
        <v>419</v>
      </c>
      <c r="B173" t="s">
        <v>616</v>
      </c>
      <c r="C173" t="s">
        <v>523</v>
      </c>
      <c r="D173" t="s">
        <v>6018</v>
      </c>
      <c r="E173" t="s">
        <v>537</v>
      </c>
      <c r="F173" t="s">
        <v>6026</v>
      </c>
      <c r="G173">
        <v>18000000</v>
      </c>
      <c r="H173">
        <v>5615000</v>
      </c>
      <c r="I173">
        <v>0</v>
      </c>
      <c r="J173">
        <v>5615000</v>
      </c>
      <c r="K173" t="s">
        <v>6027</v>
      </c>
      <c r="L173">
        <v>12385000</v>
      </c>
      <c r="M173" t="s">
        <v>6028</v>
      </c>
      <c r="N173" t="s">
        <v>5499</v>
      </c>
      <c r="O173" t="s">
        <v>451</v>
      </c>
      <c r="P173" t="s">
        <v>458</v>
      </c>
    </row>
    <row r="174" spans="1:16" x14ac:dyDescent="0.3">
      <c r="A174" t="s">
        <v>419</v>
      </c>
      <c r="B174" t="s">
        <v>616</v>
      </c>
      <c r="C174" t="s">
        <v>523</v>
      </c>
      <c r="D174" t="s">
        <v>6018</v>
      </c>
      <c r="E174" t="s">
        <v>537</v>
      </c>
      <c r="F174" t="s">
        <v>6029</v>
      </c>
      <c r="G174">
        <v>12000000</v>
      </c>
      <c r="H174">
        <v>3922000</v>
      </c>
      <c r="I174">
        <v>0</v>
      </c>
      <c r="J174">
        <v>3922000</v>
      </c>
      <c r="K174" t="s">
        <v>6030</v>
      </c>
      <c r="L174">
        <v>8078000</v>
      </c>
      <c r="M174" t="s">
        <v>6031</v>
      </c>
      <c r="N174" t="s">
        <v>5447</v>
      </c>
      <c r="O174" t="s">
        <v>451</v>
      </c>
      <c r="P174" t="s">
        <v>458</v>
      </c>
    </row>
    <row r="175" spans="1:16" x14ac:dyDescent="0.3">
      <c r="A175" t="s">
        <v>419</v>
      </c>
      <c r="B175" t="s">
        <v>616</v>
      </c>
      <c r="C175" t="s">
        <v>523</v>
      </c>
      <c r="D175" t="s">
        <v>6018</v>
      </c>
      <c r="E175" t="s">
        <v>533</v>
      </c>
      <c r="F175" t="s">
        <v>6032</v>
      </c>
      <c r="G175">
        <v>1000000</v>
      </c>
      <c r="H175">
        <v>963000</v>
      </c>
      <c r="I175">
        <v>0</v>
      </c>
      <c r="J175">
        <v>963000</v>
      </c>
      <c r="K175" t="s">
        <v>6033</v>
      </c>
      <c r="L175">
        <v>37000</v>
      </c>
      <c r="M175" t="s">
        <v>6034</v>
      </c>
      <c r="N175" t="s">
        <v>5870</v>
      </c>
      <c r="O175" t="s">
        <v>451</v>
      </c>
      <c r="P175" t="s">
        <v>455</v>
      </c>
    </row>
    <row r="176" spans="1:16" x14ac:dyDescent="0.3">
      <c r="A176" t="s">
        <v>419</v>
      </c>
      <c r="B176" t="s">
        <v>616</v>
      </c>
      <c r="C176" t="s">
        <v>523</v>
      </c>
      <c r="D176" t="s">
        <v>6018</v>
      </c>
      <c r="E176" t="s">
        <v>503</v>
      </c>
      <c r="F176" t="s">
        <v>6035</v>
      </c>
      <c r="G176">
        <v>6900000</v>
      </c>
      <c r="H176">
        <v>440000</v>
      </c>
      <c r="I176">
        <v>0</v>
      </c>
      <c r="J176">
        <v>440000</v>
      </c>
      <c r="K176" t="s">
        <v>6036</v>
      </c>
      <c r="L176">
        <v>6460000</v>
      </c>
      <c r="M176" t="s">
        <v>6037</v>
      </c>
      <c r="N176" t="s">
        <v>5672</v>
      </c>
      <c r="O176" t="s">
        <v>451</v>
      </c>
      <c r="P176" t="s">
        <v>452</v>
      </c>
    </row>
    <row r="177" spans="1:16" x14ac:dyDescent="0.3">
      <c r="A177" t="s">
        <v>419</v>
      </c>
      <c r="B177" t="s">
        <v>616</v>
      </c>
      <c r="C177" t="s">
        <v>523</v>
      </c>
      <c r="D177" t="s">
        <v>6018</v>
      </c>
      <c r="E177" t="s">
        <v>503</v>
      </c>
      <c r="F177" t="s">
        <v>6038</v>
      </c>
      <c r="G177">
        <v>18000000</v>
      </c>
      <c r="H177">
        <v>5755000</v>
      </c>
      <c r="I177">
        <v>0</v>
      </c>
      <c r="J177">
        <v>5755000</v>
      </c>
      <c r="K177" t="s">
        <v>6039</v>
      </c>
      <c r="L177">
        <v>12245000</v>
      </c>
      <c r="M177" t="s">
        <v>6040</v>
      </c>
      <c r="N177" t="s">
        <v>5534</v>
      </c>
      <c r="O177" t="s">
        <v>451</v>
      </c>
      <c r="P177" t="s">
        <v>452</v>
      </c>
    </row>
    <row r="178" spans="1:16" x14ac:dyDescent="0.3">
      <c r="A178" t="s">
        <v>419</v>
      </c>
      <c r="B178" t="s">
        <v>616</v>
      </c>
      <c r="C178" t="s">
        <v>520</v>
      </c>
      <c r="D178" t="s">
        <v>5488</v>
      </c>
      <c r="E178" t="s">
        <v>503</v>
      </c>
      <c r="F178" t="s">
        <v>6041</v>
      </c>
      <c r="G178">
        <v>3000000</v>
      </c>
      <c r="H178">
        <v>1470000</v>
      </c>
      <c r="I178">
        <v>0</v>
      </c>
      <c r="J178">
        <v>1470000</v>
      </c>
      <c r="K178" t="s">
        <v>6042</v>
      </c>
      <c r="L178">
        <v>1530000</v>
      </c>
      <c r="M178" t="s">
        <v>6043</v>
      </c>
      <c r="N178" t="s">
        <v>5499</v>
      </c>
      <c r="O178" t="s">
        <v>440</v>
      </c>
      <c r="P178" t="s">
        <v>441</v>
      </c>
    </row>
    <row r="179" spans="1:16" x14ac:dyDescent="0.3">
      <c r="A179" t="s">
        <v>419</v>
      </c>
      <c r="B179" t="s">
        <v>616</v>
      </c>
      <c r="C179" t="s">
        <v>520</v>
      </c>
      <c r="D179" t="s">
        <v>5488</v>
      </c>
      <c r="E179" t="s">
        <v>503</v>
      </c>
      <c r="F179" t="s">
        <v>6044</v>
      </c>
      <c r="G179">
        <v>2000000</v>
      </c>
      <c r="H179">
        <v>990000</v>
      </c>
      <c r="I179">
        <v>0</v>
      </c>
      <c r="J179">
        <v>990000</v>
      </c>
      <c r="K179" t="s">
        <v>6045</v>
      </c>
      <c r="L179">
        <v>1010000</v>
      </c>
      <c r="M179" t="s">
        <v>6046</v>
      </c>
      <c r="N179" t="s">
        <v>5447</v>
      </c>
      <c r="O179" t="s">
        <v>440</v>
      </c>
      <c r="P179" t="s">
        <v>441</v>
      </c>
    </row>
    <row r="180" spans="1:16" x14ac:dyDescent="0.3">
      <c r="A180" t="s">
        <v>419</v>
      </c>
      <c r="B180" t="s">
        <v>616</v>
      </c>
      <c r="C180" t="s">
        <v>520</v>
      </c>
      <c r="D180" t="s">
        <v>5488</v>
      </c>
      <c r="E180" t="s">
        <v>503</v>
      </c>
      <c r="F180" t="s">
        <v>6047</v>
      </c>
      <c r="G180">
        <v>3750000</v>
      </c>
      <c r="H180">
        <v>660000</v>
      </c>
      <c r="I180">
        <v>0</v>
      </c>
      <c r="J180">
        <v>660000</v>
      </c>
      <c r="K180" t="s">
        <v>6048</v>
      </c>
      <c r="L180">
        <v>3090000</v>
      </c>
      <c r="M180" t="s">
        <v>6049</v>
      </c>
      <c r="N180" t="s">
        <v>5473</v>
      </c>
      <c r="O180" t="s">
        <v>440</v>
      </c>
      <c r="P180" t="s">
        <v>441</v>
      </c>
    </row>
    <row r="181" spans="1:16" x14ac:dyDescent="0.3">
      <c r="A181" t="s">
        <v>419</v>
      </c>
      <c r="B181" t="s">
        <v>616</v>
      </c>
      <c r="C181" t="s">
        <v>502</v>
      </c>
      <c r="D181" t="s">
        <v>6050</v>
      </c>
      <c r="E181" t="s">
        <v>513</v>
      </c>
      <c r="F181" t="s">
        <v>6051</v>
      </c>
      <c r="G181">
        <v>17465000</v>
      </c>
      <c r="H181">
        <v>16620000</v>
      </c>
      <c r="I181">
        <v>0</v>
      </c>
      <c r="J181">
        <v>16620000</v>
      </c>
      <c r="K181" t="s">
        <v>6052</v>
      </c>
      <c r="L181">
        <v>845000</v>
      </c>
      <c r="M181" t="s">
        <v>6053</v>
      </c>
      <c r="N181" t="s">
        <v>6054</v>
      </c>
      <c r="O181" t="s">
        <v>431</v>
      </c>
      <c r="P181" t="s">
        <v>437</v>
      </c>
    </row>
    <row r="182" spans="1:16" x14ac:dyDescent="0.3">
      <c r="A182" t="s">
        <v>419</v>
      </c>
      <c r="B182" t="s">
        <v>616</v>
      </c>
      <c r="C182" t="s">
        <v>502</v>
      </c>
      <c r="D182" t="s">
        <v>6050</v>
      </c>
      <c r="E182" t="s">
        <v>516</v>
      </c>
      <c r="F182" t="s">
        <v>6055</v>
      </c>
      <c r="G182">
        <v>4000000</v>
      </c>
      <c r="H182">
        <v>900000</v>
      </c>
      <c r="I182">
        <v>0</v>
      </c>
      <c r="J182">
        <v>900000</v>
      </c>
      <c r="K182" t="s">
        <v>6056</v>
      </c>
      <c r="L182">
        <v>3100000</v>
      </c>
      <c r="M182" t="s">
        <v>6057</v>
      </c>
      <c r="N182" t="s">
        <v>5978</v>
      </c>
      <c r="O182" t="s">
        <v>431</v>
      </c>
      <c r="P182" t="s">
        <v>777</v>
      </c>
    </row>
    <row r="183" spans="1:16" x14ac:dyDescent="0.3">
      <c r="A183" t="s">
        <v>419</v>
      </c>
      <c r="B183" t="s">
        <v>616</v>
      </c>
      <c r="C183" t="s">
        <v>502</v>
      </c>
      <c r="D183" t="s">
        <v>6050</v>
      </c>
      <c r="E183" t="s">
        <v>503</v>
      </c>
      <c r="F183" t="s">
        <v>6058</v>
      </c>
      <c r="G183">
        <v>4500000</v>
      </c>
      <c r="H183">
        <v>1480000</v>
      </c>
      <c r="I183">
        <v>0</v>
      </c>
      <c r="J183">
        <v>1480000</v>
      </c>
      <c r="K183" t="s">
        <v>6059</v>
      </c>
      <c r="L183">
        <v>3020000</v>
      </c>
      <c r="M183" t="s">
        <v>6060</v>
      </c>
      <c r="N183" t="s">
        <v>5499</v>
      </c>
      <c r="O183" t="s">
        <v>431</v>
      </c>
      <c r="P183" t="s">
        <v>432</v>
      </c>
    </row>
    <row r="184" spans="1:16" x14ac:dyDescent="0.3">
      <c r="A184" t="s">
        <v>419</v>
      </c>
      <c r="B184" t="s">
        <v>616</v>
      </c>
      <c r="C184" t="s">
        <v>502</v>
      </c>
      <c r="D184" t="s">
        <v>6050</v>
      </c>
      <c r="E184" t="s">
        <v>503</v>
      </c>
      <c r="F184" t="s">
        <v>6061</v>
      </c>
      <c r="G184">
        <v>3000000</v>
      </c>
      <c r="H184">
        <v>997000</v>
      </c>
      <c r="I184">
        <v>0</v>
      </c>
      <c r="J184">
        <v>997000</v>
      </c>
      <c r="K184" t="s">
        <v>6062</v>
      </c>
      <c r="L184">
        <v>2003000</v>
      </c>
      <c r="M184" t="s">
        <v>6063</v>
      </c>
      <c r="N184" t="s">
        <v>5447</v>
      </c>
      <c r="O184" t="s">
        <v>431</v>
      </c>
      <c r="P184" t="s">
        <v>432</v>
      </c>
    </row>
    <row r="185" spans="1:16" x14ac:dyDescent="0.3">
      <c r="A185" t="s">
        <v>419</v>
      </c>
      <c r="B185" t="s">
        <v>616</v>
      </c>
      <c r="C185" t="s">
        <v>502</v>
      </c>
      <c r="D185" t="s">
        <v>6050</v>
      </c>
      <c r="E185" t="s">
        <v>503</v>
      </c>
      <c r="F185" t="s">
        <v>6064</v>
      </c>
      <c r="G185">
        <v>9000000</v>
      </c>
      <c r="H185">
        <v>1564000</v>
      </c>
      <c r="I185">
        <v>0</v>
      </c>
      <c r="J185">
        <v>1564000</v>
      </c>
      <c r="K185" t="s">
        <v>6065</v>
      </c>
      <c r="L185">
        <v>7436000</v>
      </c>
      <c r="M185" t="s">
        <v>6066</v>
      </c>
      <c r="N185" t="s">
        <v>5473</v>
      </c>
      <c r="O185" t="s">
        <v>431</v>
      </c>
      <c r="P185" t="s">
        <v>432</v>
      </c>
    </row>
    <row r="186" spans="1:16" x14ac:dyDescent="0.3">
      <c r="A186" t="s">
        <v>419</v>
      </c>
      <c r="B186" t="s">
        <v>616</v>
      </c>
      <c r="C186" t="s">
        <v>502</v>
      </c>
      <c r="D186" t="s">
        <v>6067</v>
      </c>
      <c r="E186" t="s">
        <v>513</v>
      </c>
      <c r="F186" t="s">
        <v>6068</v>
      </c>
      <c r="G186">
        <v>43260000</v>
      </c>
      <c r="H186">
        <v>24466000</v>
      </c>
      <c r="I186">
        <v>0</v>
      </c>
      <c r="J186">
        <v>24466000</v>
      </c>
      <c r="K186" t="s">
        <v>6069</v>
      </c>
      <c r="L186">
        <v>18794000</v>
      </c>
      <c r="M186" t="s">
        <v>6070</v>
      </c>
      <c r="N186" t="s">
        <v>6071</v>
      </c>
      <c r="O186" t="s">
        <v>423</v>
      </c>
      <c r="P186" t="s">
        <v>429</v>
      </c>
    </row>
    <row r="187" spans="1:16" x14ac:dyDescent="0.3">
      <c r="A187" t="s">
        <v>419</v>
      </c>
      <c r="B187" t="s">
        <v>616</v>
      </c>
      <c r="C187" t="s">
        <v>502</v>
      </c>
      <c r="D187" t="s">
        <v>6067</v>
      </c>
      <c r="E187" t="s">
        <v>516</v>
      </c>
      <c r="F187" t="s">
        <v>6072</v>
      </c>
      <c r="G187">
        <v>20000000</v>
      </c>
      <c r="H187">
        <v>900000</v>
      </c>
      <c r="I187">
        <v>0</v>
      </c>
      <c r="J187">
        <v>900000</v>
      </c>
      <c r="K187" t="s">
        <v>6073</v>
      </c>
      <c r="L187">
        <v>19100000</v>
      </c>
      <c r="M187" t="s">
        <v>6074</v>
      </c>
      <c r="N187" t="s">
        <v>5978</v>
      </c>
      <c r="O187" t="s">
        <v>423</v>
      </c>
      <c r="P187" t="s">
        <v>772</v>
      </c>
    </row>
    <row r="188" spans="1:16" x14ac:dyDescent="0.3">
      <c r="A188" t="s">
        <v>419</v>
      </c>
      <c r="B188" t="s">
        <v>616</v>
      </c>
      <c r="C188" t="s">
        <v>502</v>
      </c>
      <c r="D188" t="s">
        <v>6067</v>
      </c>
      <c r="E188" t="s">
        <v>503</v>
      </c>
      <c r="F188" t="s">
        <v>6075</v>
      </c>
      <c r="G188">
        <v>4500000</v>
      </c>
      <c r="H188">
        <v>1485000</v>
      </c>
      <c r="I188">
        <v>0</v>
      </c>
      <c r="J188">
        <v>1485000</v>
      </c>
      <c r="K188" t="s">
        <v>5795</v>
      </c>
      <c r="L188">
        <v>3015000</v>
      </c>
      <c r="M188" t="s">
        <v>6076</v>
      </c>
      <c r="N188" t="s">
        <v>5499</v>
      </c>
      <c r="O188" t="s">
        <v>423</v>
      </c>
      <c r="P188" t="s">
        <v>424</v>
      </c>
    </row>
    <row r="189" spans="1:16" x14ac:dyDescent="0.3">
      <c r="A189" t="s">
        <v>419</v>
      </c>
      <c r="B189" t="s">
        <v>616</v>
      </c>
      <c r="C189" t="s">
        <v>502</v>
      </c>
      <c r="D189" t="s">
        <v>6067</v>
      </c>
      <c r="E189" t="s">
        <v>503</v>
      </c>
      <c r="F189" t="s">
        <v>6077</v>
      </c>
      <c r="G189">
        <v>3000000</v>
      </c>
      <c r="H189">
        <v>990000</v>
      </c>
      <c r="I189">
        <v>0</v>
      </c>
      <c r="J189">
        <v>990000</v>
      </c>
      <c r="K189" t="s">
        <v>5795</v>
      </c>
      <c r="L189">
        <v>2010000</v>
      </c>
      <c r="M189" t="s">
        <v>6078</v>
      </c>
      <c r="N189" t="s">
        <v>5447</v>
      </c>
      <c r="O189" t="s">
        <v>423</v>
      </c>
      <c r="P189" t="s">
        <v>424</v>
      </c>
    </row>
    <row r="190" spans="1:16" x14ac:dyDescent="0.3">
      <c r="A190" t="s">
        <v>419</v>
      </c>
      <c r="B190" t="s">
        <v>616</v>
      </c>
      <c r="C190" t="s">
        <v>502</v>
      </c>
      <c r="D190" t="s">
        <v>6067</v>
      </c>
      <c r="E190" t="s">
        <v>503</v>
      </c>
      <c r="F190" t="s">
        <v>6079</v>
      </c>
      <c r="G190">
        <v>9375000</v>
      </c>
      <c r="H190">
        <v>3106000</v>
      </c>
      <c r="I190">
        <v>0</v>
      </c>
      <c r="J190">
        <v>3106000</v>
      </c>
      <c r="K190" t="s">
        <v>6080</v>
      </c>
      <c r="L190">
        <v>6269000</v>
      </c>
      <c r="M190" t="s">
        <v>6081</v>
      </c>
      <c r="N190" t="s">
        <v>5473</v>
      </c>
      <c r="O190" t="s">
        <v>423</v>
      </c>
      <c r="P190" t="s">
        <v>424</v>
      </c>
    </row>
    <row r="191" spans="1:16" x14ac:dyDescent="0.3">
      <c r="A191" t="s">
        <v>495</v>
      </c>
      <c r="B191" t="s">
        <v>3476</v>
      </c>
      <c r="C191" t="s">
        <v>3090</v>
      </c>
      <c r="D191" t="s">
        <v>5535</v>
      </c>
      <c r="E191" t="s">
        <v>513</v>
      </c>
      <c r="F191" t="s">
        <v>6082</v>
      </c>
      <c r="G191">
        <v>54200000</v>
      </c>
      <c r="H191">
        <v>0</v>
      </c>
      <c r="I191">
        <v>0</v>
      </c>
      <c r="J191">
        <v>0</v>
      </c>
      <c r="K191" t="s">
        <v>6083</v>
      </c>
      <c r="L191">
        <v>54200000</v>
      </c>
      <c r="M191" t="s">
        <v>6084</v>
      </c>
      <c r="N191" t="s">
        <v>6085</v>
      </c>
      <c r="O191" t="s">
        <v>3539</v>
      </c>
      <c r="P191" t="s">
        <v>3546</v>
      </c>
    </row>
    <row r="192" spans="1:16" x14ac:dyDescent="0.3">
      <c r="A192" t="s">
        <v>495</v>
      </c>
      <c r="B192" t="s">
        <v>3476</v>
      </c>
      <c r="C192" t="s">
        <v>3090</v>
      </c>
      <c r="D192" t="s">
        <v>5535</v>
      </c>
      <c r="E192" t="s">
        <v>503</v>
      </c>
      <c r="F192" t="s">
        <v>6086</v>
      </c>
      <c r="G192">
        <v>7000000</v>
      </c>
      <c r="H192">
        <v>0</v>
      </c>
      <c r="I192">
        <v>0</v>
      </c>
      <c r="J192">
        <v>0</v>
      </c>
      <c r="K192" t="s">
        <v>6083</v>
      </c>
      <c r="L192">
        <v>7000000</v>
      </c>
      <c r="M192" t="s">
        <v>6087</v>
      </c>
      <c r="N192" t="s">
        <v>5473</v>
      </c>
      <c r="O192" t="s">
        <v>3539</v>
      </c>
      <c r="P192" t="s">
        <v>3540</v>
      </c>
    </row>
    <row r="193" spans="1:16" x14ac:dyDescent="0.3">
      <c r="A193" t="s">
        <v>495</v>
      </c>
      <c r="B193" t="s">
        <v>3476</v>
      </c>
      <c r="C193" t="s">
        <v>833</v>
      </c>
      <c r="D193" t="s">
        <v>5511</v>
      </c>
      <c r="E193" t="s">
        <v>1150</v>
      </c>
      <c r="F193" t="s">
        <v>6088</v>
      </c>
      <c r="G193">
        <v>142041000</v>
      </c>
      <c r="H193">
        <v>0</v>
      </c>
      <c r="I193">
        <v>0</v>
      </c>
      <c r="J193">
        <v>0</v>
      </c>
      <c r="K193" t="s">
        <v>6083</v>
      </c>
      <c r="L193">
        <v>142041000</v>
      </c>
      <c r="M193" t="s">
        <v>6089</v>
      </c>
      <c r="N193" t="s">
        <v>6090</v>
      </c>
      <c r="O193" t="s">
        <v>3522</v>
      </c>
      <c r="P193" t="s">
        <v>3530</v>
      </c>
    </row>
    <row r="194" spans="1:16" x14ac:dyDescent="0.3">
      <c r="A194" t="s">
        <v>495</v>
      </c>
      <c r="B194" t="s">
        <v>3476</v>
      </c>
      <c r="C194" t="s">
        <v>833</v>
      </c>
      <c r="D194" t="s">
        <v>5511</v>
      </c>
      <c r="E194" t="s">
        <v>533</v>
      </c>
      <c r="F194" t="s">
        <v>6091</v>
      </c>
      <c r="G194">
        <v>20000000</v>
      </c>
      <c r="H194">
        <v>0</v>
      </c>
      <c r="I194">
        <v>0</v>
      </c>
      <c r="J194">
        <v>0</v>
      </c>
      <c r="K194" t="s">
        <v>6083</v>
      </c>
      <c r="L194">
        <v>20000000</v>
      </c>
      <c r="M194" t="s">
        <v>6092</v>
      </c>
      <c r="N194" t="s">
        <v>6093</v>
      </c>
      <c r="O194" t="s">
        <v>3522</v>
      </c>
      <c r="P194" t="s">
        <v>3527</v>
      </c>
    </row>
    <row r="195" spans="1:16" x14ac:dyDescent="0.3">
      <c r="A195" t="s">
        <v>495</v>
      </c>
      <c r="B195" t="s">
        <v>3476</v>
      </c>
      <c r="C195" t="s">
        <v>833</v>
      </c>
      <c r="D195" t="s">
        <v>5511</v>
      </c>
      <c r="E195" t="s">
        <v>503</v>
      </c>
      <c r="F195" t="s">
        <v>6094</v>
      </c>
      <c r="G195">
        <v>4500000</v>
      </c>
      <c r="H195">
        <v>0</v>
      </c>
      <c r="I195">
        <v>0</v>
      </c>
      <c r="J195">
        <v>0</v>
      </c>
      <c r="K195" t="s">
        <v>6083</v>
      </c>
      <c r="L195">
        <v>4500000</v>
      </c>
      <c r="M195" t="s">
        <v>6095</v>
      </c>
      <c r="N195" t="s">
        <v>5447</v>
      </c>
      <c r="O195" t="s">
        <v>3522</v>
      </c>
      <c r="P195" t="s">
        <v>3523</v>
      </c>
    </row>
    <row r="196" spans="1:16" x14ac:dyDescent="0.3">
      <c r="A196" t="s">
        <v>495</v>
      </c>
      <c r="B196" t="s">
        <v>3476</v>
      </c>
      <c r="C196" t="s">
        <v>833</v>
      </c>
      <c r="D196" t="s">
        <v>5511</v>
      </c>
      <c r="E196" t="s">
        <v>503</v>
      </c>
      <c r="F196" t="s">
        <v>6096</v>
      </c>
      <c r="G196">
        <v>3000000</v>
      </c>
      <c r="H196">
        <v>0</v>
      </c>
      <c r="I196">
        <v>0</v>
      </c>
      <c r="J196">
        <v>0</v>
      </c>
      <c r="K196" t="s">
        <v>6083</v>
      </c>
      <c r="L196">
        <v>3000000</v>
      </c>
      <c r="M196" t="s">
        <v>6097</v>
      </c>
      <c r="N196" t="s">
        <v>5499</v>
      </c>
      <c r="O196" t="s">
        <v>3522</v>
      </c>
      <c r="P196" t="s">
        <v>3523</v>
      </c>
    </row>
    <row r="197" spans="1:16" x14ac:dyDescent="0.3">
      <c r="A197" t="s">
        <v>495</v>
      </c>
      <c r="B197" t="s">
        <v>3476</v>
      </c>
      <c r="C197" t="s">
        <v>833</v>
      </c>
      <c r="D197" t="s">
        <v>5511</v>
      </c>
      <c r="E197" t="s">
        <v>503</v>
      </c>
      <c r="F197" t="s">
        <v>6098</v>
      </c>
      <c r="G197">
        <v>4500000</v>
      </c>
      <c r="H197">
        <v>0</v>
      </c>
      <c r="I197">
        <v>0</v>
      </c>
      <c r="J197">
        <v>0</v>
      </c>
      <c r="K197" t="s">
        <v>6083</v>
      </c>
      <c r="L197">
        <v>4500000</v>
      </c>
      <c r="M197" t="s">
        <v>6099</v>
      </c>
      <c r="N197" t="s">
        <v>5455</v>
      </c>
      <c r="O197" t="s">
        <v>3522</v>
      </c>
      <c r="P197" t="s">
        <v>3523</v>
      </c>
    </row>
    <row r="198" spans="1:16" x14ac:dyDescent="0.3">
      <c r="A198" t="s">
        <v>495</v>
      </c>
      <c r="B198" t="s">
        <v>3476</v>
      </c>
      <c r="C198" t="s">
        <v>833</v>
      </c>
      <c r="D198" t="s">
        <v>5443</v>
      </c>
      <c r="E198" t="s">
        <v>513</v>
      </c>
      <c r="F198" t="s">
        <v>6100</v>
      </c>
      <c r="G198">
        <v>60000000</v>
      </c>
      <c r="H198">
        <v>0</v>
      </c>
      <c r="I198">
        <v>0</v>
      </c>
      <c r="J198">
        <v>0</v>
      </c>
      <c r="K198" t="s">
        <v>6083</v>
      </c>
      <c r="L198">
        <v>60000000</v>
      </c>
      <c r="M198" t="s">
        <v>6101</v>
      </c>
      <c r="N198" t="s">
        <v>6102</v>
      </c>
      <c r="O198" t="s">
        <v>3505</v>
      </c>
      <c r="P198" t="s">
        <v>3519</v>
      </c>
    </row>
    <row r="199" spans="1:16" x14ac:dyDescent="0.3">
      <c r="A199" t="s">
        <v>495</v>
      </c>
      <c r="B199" t="s">
        <v>3476</v>
      </c>
      <c r="C199" t="s">
        <v>833</v>
      </c>
      <c r="D199" t="s">
        <v>5443</v>
      </c>
      <c r="E199" t="s">
        <v>516</v>
      </c>
      <c r="F199" t="s">
        <v>6103</v>
      </c>
      <c r="G199">
        <v>6000000</v>
      </c>
      <c r="H199">
        <v>0</v>
      </c>
      <c r="I199">
        <v>0</v>
      </c>
      <c r="J199">
        <v>0</v>
      </c>
      <c r="K199" t="s">
        <v>6083</v>
      </c>
      <c r="L199">
        <v>6000000</v>
      </c>
      <c r="M199" t="s">
        <v>6104</v>
      </c>
      <c r="N199" t="s">
        <v>5978</v>
      </c>
      <c r="O199" t="s">
        <v>3505</v>
      </c>
      <c r="P199" t="s">
        <v>3517</v>
      </c>
    </row>
    <row r="200" spans="1:16" x14ac:dyDescent="0.3">
      <c r="A200" t="s">
        <v>495</v>
      </c>
      <c r="B200" t="s">
        <v>3476</v>
      </c>
      <c r="C200" t="s">
        <v>833</v>
      </c>
      <c r="D200" t="s">
        <v>5443</v>
      </c>
      <c r="E200" t="s">
        <v>533</v>
      </c>
      <c r="F200" t="s">
        <v>6105</v>
      </c>
      <c r="G200">
        <v>7500000</v>
      </c>
      <c r="H200">
        <v>0</v>
      </c>
      <c r="I200">
        <v>0</v>
      </c>
      <c r="J200">
        <v>0</v>
      </c>
      <c r="K200" t="s">
        <v>6083</v>
      </c>
      <c r="L200">
        <v>7500000</v>
      </c>
      <c r="M200" t="s">
        <v>6106</v>
      </c>
      <c r="N200" t="s">
        <v>6107</v>
      </c>
      <c r="O200" t="s">
        <v>3505</v>
      </c>
      <c r="P200" t="s">
        <v>3509</v>
      </c>
    </row>
    <row r="201" spans="1:16" x14ac:dyDescent="0.3">
      <c r="A201" t="s">
        <v>495</v>
      </c>
      <c r="B201" t="s">
        <v>3476</v>
      </c>
      <c r="C201" t="s">
        <v>833</v>
      </c>
      <c r="D201" t="s">
        <v>5443</v>
      </c>
      <c r="E201" t="s">
        <v>533</v>
      </c>
      <c r="F201" t="s">
        <v>6108</v>
      </c>
      <c r="G201">
        <v>750000</v>
      </c>
      <c r="H201">
        <v>0</v>
      </c>
      <c r="I201">
        <v>0</v>
      </c>
      <c r="J201">
        <v>0</v>
      </c>
      <c r="K201" t="s">
        <v>6083</v>
      </c>
      <c r="L201">
        <v>750000</v>
      </c>
      <c r="M201" t="s">
        <v>6109</v>
      </c>
      <c r="N201" t="s">
        <v>5870</v>
      </c>
      <c r="O201" t="s">
        <v>3505</v>
      </c>
      <c r="P201" t="s">
        <v>3509</v>
      </c>
    </row>
    <row r="202" spans="1:16" x14ac:dyDescent="0.3">
      <c r="A202" t="s">
        <v>495</v>
      </c>
      <c r="B202" t="s">
        <v>3476</v>
      </c>
      <c r="C202" t="s">
        <v>833</v>
      </c>
      <c r="D202" t="s">
        <v>5443</v>
      </c>
      <c r="E202" t="s">
        <v>503</v>
      </c>
      <c r="F202" t="s">
        <v>6110</v>
      </c>
      <c r="G202">
        <v>7000000</v>
      </c>
      <c r="H202">
        <v>0</v>
      </c>
      <c r="I202">
        <v>0</v>
      </c>
      <c r="J202">
        <v>0</v>
      </c>
      <c r="K202" t="s">
        <v>6083</v>
      </c>
      <c r="L202">
        <v>7000000</v>
      </c>
      <c r="M202" t="s">
        <v>6111</v>
      </c>
      <c r="N202" t="s">
        <v>5473</v>
      </c>
      <c r="O202" t="s">
        <v>3505</v>
      </c>
      <c r="P202" t="s">
        <v>3506</v>
      </c>
    </row>
    <row r="203" spans="1:16" x14ac:dyDescent="0.3">
      <c r="A203" t="s">
        <v>495</v>
      </c>
      <c r="B203" t="s">
        <v>3476</v>
      </c>
      <c r="C203" t="s">
        <v>833</v>
      </c>
      <c r="D203" t="s">
        <v>5456</v>
      </c>
      <c r="E203" t="s">
        <v>513</v>
      </c>
      <c r="F203" t="s">
        <v>6112</v>
      </c>
      <c r="G203">
        <v>60000000</v>
      </c>
      <c r="H203">
        <v>0</v>
      </c>
      <c r="I203">
        <v>0</v>
      </c>
      <c r="J203">
        <v>0</v>
      </c>
      <c r="K203" t="s">
        <v>6083</v>
      </c>
      <c r="L203">
        <v>60000000</v>
      </c>
      <c r="M203" t="s">
        <v>6113</v>
      </c>
      <c r="N203" t="s">
        <v>6102</v>
      </c>
      <c r="O203" t="s">
        <v>3479</v>
      </c>
      <c r="P203" t="s">
        <v>3500</v>
      </c>
    </row>
    <row r="204" spans="1:16" x14ac:dyDescent="0.3">
      <c r="A204" t="s">
        <v>495</v>
      </c>
      <c r="B204" t="s">
        <v>3476</v>
      </c>
      <c r="C204" t="s">
        <v>833</v>
      </c>
      <c r="D204" t="s">
        <v>5456</v>
      </c>
      <c r="E204" t="s">
        <v>517</v>
      </c>
      <c r="F204" t="s">
        <v>6114</v>
      </c>
      <c r="G204">
        <v>102600000</v>
      </c>
      <c r="H204">
        <v>0</v>
      </c>
      <c r="I204">
        <v>0</v>
      </c>
      <c r="J204">
        <v>0</v>
      </c>
      <c r="K204" t="s">
        <v>6083</v>
      </c>
      <c r="L204">
        <v>102600000</v>
      </c>
      <c r="M204" t="s">
        <v>6115</v>
      </c>
      <c r="N204" t="s">
        <v>6116</v>
      </c>
      <c r="O204" t="s">
        <v>3479</v>
      </c>
      <c r="P204" t="s">
        <v>3497</v>
      </c>
    </row>
    <row r="205" spans="1:16" x14ac:dyDescent="0.3">
      <c r="A205" t="s">
        <v>495</v>
      </c>
      <c r="B205" t="s">
        <v>3476</v>
      </c>
      <c r="C205" t="s">
        <v>833</v>
      </c>
      <c r="D205" t="s">
        <v>5456</v>
      </c>
      <c r="E205" t="s">
        <v>516</v>
      </c>
      <c r="F205" t="s">
        <v>6117</v>
      </c>
      <c r="G205">
        <v>15000000</v>
      </c>
      <c r="H205">
        <v>0</v>
      </c>
      <c r="I205">
        <v>0</v>
      </c>
      <c r="J205">
        <v>0</v>
      </c>
      <c r="K205" t="s">
        <v>6083</v>
      </c>
      <c r="L205">
        <v>15000000</v>
      </c>
      <c r="M205" t="s">
        <v>6118</v>
      </c>
      <c r="N205" t="s">
        <v>5978</v>
      </c>
      <c r="O205" t="s">
        <v>3479</v>
      </c>
      <c r="P205" t="s">
        <v>3495</v>
      </c>
    </row>
    <row r="206" spans="1:16" x14ac:dyDescent="0.3">
      <c r="A206" t="s">
        <v>495</v>
      </c>
      <c r="B206" t="s">
        <v>3476</v>
      </c>
      <c r="C206" t="s">
        <v>833</v>
      </c>
      <c r="D206" t="s">
        <v>5456</v>
      </c>
      <c r="E206" t="s">
        <v>533</v>
      </c>
      <c r="F206" t="s">
        <v>6119</v>
      </c>
      <c r="G206">
        <v>250000</v>
      </c>
      <c r="H206">
        <v>0</v>
      </c>
      <c r="I206">
        <v>0</v>
      </c>
      <c r="J206">
        <v>0</v>
      </c>
      <c r="K206" t="s">
        <v>6083</v>
      </c>
      <c r="L206">
        <v>250000</v>
      </c>
      <c r="M206" t="s">
        <v>6120</v>
      </c>
      <c r="N206" t="s">
        <v>5870</v>
      </c>
      <c r="O206" t="s">
        <v>3479</v>
      </c>
      <c r="P206" t="s">
        <v>3488</v>
      </c>
    </row>
    <row r="207" spans="1:16" x14ac:dyDescent="0.3">
      <c r="A207" t="s">
        <v>495</v>
      </c>
      <c r="B207" t="s">
        <v>3476</v>
      </c>
      <c r="C207" t="s">
        <v>833</v>
      </c>
      <c r="D207" t="s">
        <v>5456</v>
      </c>
      <c r="E207" t="s">
        <v>533</v>
      </c>
      <c r="F207" t="s">
        <v>6121</v>
      </c>
      <c r="G207">
        <v>1333614000</v>
      </c>
      <c r="H207">
        <v>0</v>
      </c>
      <c r="I207">
        <v>0</v>
      </c>
      <c r="J207">
        <v>0</v>
      </c>
      <c r="K207" t="s">
        <v>6083</v>
      </c>
      <c r="L207">
        <v>1333614000</v>
      </c>
      <c r="M207" t="s">
        <v>6122</v>
      </c>
      <c r="N207" t="s">
        <v>5451</v>
      </c>
      <c r="O207" t="s">
        <v>3479</v>
      </c>
      <c r="P207" t="s">
        <v>3488</v>
      </c>
    </row>
    <row r="208" spans="1:16" x14ac:dyDescent="0.3">
      <c r="A208" t="s">
        <v>495</v>
      </c>
      <c r="B208" t="s">
        <v>3476</v>
      </c>
      <c r="C208" t="s">
        <v>833</v>
      </c>
      <c r="D208" t="s">
        <v>5456</v>
      </c>
      <c r="E208" t="s">
        <v>503</v>
      </c>
      <c r="F208" t="s">
        <v>6123</v>
      </c>
      <c r="G208">
        <v>22500000</v>
      </c>
      <c r="H208">
        <v>0</v>
      </c>
      <c r="I208">
        <v>0</v>
      </c>
      <c r="J208">
        <v>0</v>
      </c>
      <c r="K208" t="s">
        <v>6083</v>
      </c>
      <c r="L208">
        <v>22500000</v>
      </c>
      <c r="M208" t="s">
        <v>6124</v>
      </c>
      <c r="N208" t="s">
        <v>6125</v>
      </c>
      <c r="O208" t="s">
        <v>3479</v>
      </c>
      <c r="P208" t="s">
        <v>3480</v>
      </c>
    </row>
    <row r="209" spans="1:16" x14ac:dyDescent="0.3">
      <c r="A209" t="s">
        <v>495</v>
      </c>
      <c r="B209" t="s">
        <v>3476</v>
      </c>
      <c r="C209" t="s">
        <v>833</v>
      </c>
      <c r="D209" t="s">
        <v>5456</v>
      </c>
      <c r="E209" t="s">
        <v>503</v>
      </c>
      <c r="F209" t="s">
        <v>6126</v>
      </c>
      <c r="G209">
        <v>33600000</v>
      </c>
      <c r="H209">
        <v>0</v>
      </c>
      <c r="I209">
        <v>0</v>
      </c>
      <c r="J209">
        <v>0</v>
      </c>
      <c r="K209" t="s">
        <v>6083</v>
      </c>
      <c r="L209">
        <v>33600000</v>
      </c>
      <c r="M209" t="s">
        <v>6127</v>
      </c>
      <c r="N209" t="s">
        <v>6128</v>
      </c>
      <c r="O209" t="s">
        <v>3479</v>
      </c>
      <c r="P209" t="s">
        <v>3480</v>
      </c>
    </row>
    <row r="210" spans="1:16" x14ac:dyDescent="0.3">
      <c r="A210" t="s">
        <v>495</v>
      </c>
      <c r="B210" t="s">
        <v>3476</v>
      </c>
      <c r="C210" t="s">
        <v>833</v>
      </c>
      <c r="D210" t="s">
        <v>5456</v>
      </c>
      <c r="E210" t="s">
        <v>503</v>
      </c>
      <c r="F210" t="s">
        <v>6129</v>
      </c>
      <c r="G210">
        <v>15000000</v>
      </c>
      <c r="H210">
        <v>0</v>
      </c>
      <c r="I210">
        <v>0</v>
      </c>
      <c r="J210">
        <v>0</v>
      </c>
      <c r="K210" t="s">
        <v>6083</v>
      </c>
      <c r="L210">
        <v>15000000</v>
      </c>
      <c r="M210" t="s">
        <v>6130</v>
      </c>
      <c r="N210" t="s">
        <v>5455</v>
      </c>
      <c r="O210" t="s">
        <v>3479</v>
      </c>
      <c r="P210" t="s">
        <v>3480</v>
      </c>
    </row>
    <row r="211" spans="1:16" x14ac:dyDescent="0.3">
      <c r="A211" t="s">
        <v>495</v>
      </c>
      <c r="B211" t="s">
        <v>3476</v>
      </c>
      <c r="C211" t="s">
        <v>833</v>
      </c>
      <c r="D211" t="s">
        <v>5456</v>
      </c>
      <c r="E211" t="s">
        <v>503</v>
      </c>
      <c r="F211" t="s">
        <v>6131</v>
      </c>
      <c r="G211">
        <v>28000000</v>
      </c>
      <c r="H211">
        <v>0</v>
      </c>
      <c r="I211">
        <v>0</v>
      </c>
      <c r="J211">
        <v>0</v>
      </c>
      <c r="K211" t="s">
        <v>6083</v>
      </c>
      <c r="L211">
        <v>28000000</v>
      </c>
      <c r="M211" t="s">
        <v>6132</v>
      </c>
      <c r="N211" t="s">
        <v>5473</v>
      </c>
      <c r="O211" t="s">
        <v>3479</v>
      </c>
      <c r="P211" t="s">
        <v>3480</v>
      </c>
    </row>
    <row r="212" spans="1:16" x14ac:dyDescent="0.3">
      <c r="A212" t="s">
        <v>494</v>
      </c>
      <c r="B212" t="s">
        <v>3105</v>
      </c>
      <c r="C212" t="s">
        <v>833</v>
      </c>
      <c r="D212" t="s">
        <v>5461</v>
      </c>
      <c r="E212" t="s">
        <v>503</v>
      </c>
      <c r="F212" t="s">
        <v>6133</v>
      </c>
      <c r="G212">
        <v>4800000</v>
      </c>
      <c r="H212">
        <v>0</v>
      </c>
      <c r="I212">
        <v>0</v>
      </c>
      <c r="J212">
        <v>0</v>
      </c>
      <c r="K212" t="s">
        <v>6083</v>
      </c>
      <c r="L212">
        <v>4800000</v>
      </c>
      <c r="M212" t="s">
        <v>6134</v>
      </c>
      <c r="N212" t="s">
        <v>6135</v>
      </c>
      <c r="O212" t="s">
        <v>3377</v>
      </c>
      <c r="P212" t="s">
        <v>3378</v>
      </c>
    </row>
    <row r="213" spans="1:16" x14ac:dyDescent="0.3">
      <c r="A213" t="s">
        <v>494</v>
      </c>
      <c r="B213" t="s">
        <v>2785</v>
      </c>
      <c r="C213" t="s">
        <v>3090</v>
      </c>
      <c r="D213" t="s">
        <v>5535</v>
      </c>
      <c r="E213" t="s">
        <v>533</v>
      </c>
      <c r="F213" t="s">
        <v>6136</v>
      </c>
      <c r="G213">
        <v>2000000</v>
      </c>
      <c r="H213">
        <v>0</v>
      </c>
      <c r="I213">
        <v>0</v>
      </c>
      <c r="J213">
        <v>0</v>
      </c>
      <c r="K213" t="s">
        <v>6083</v>
      </c>
      <c r="L213">
        <v>2000000</v>
      </c>
      <c r="M213" t="s">
        <v>6137</v>
      </c>
      <c r="N213" t="s">
        <v>5851</v>
      </c>
      <c r="O213" t="s">
        <v>3092</v>
      </c>
      <c r="P213" t="s">
        <v>3100</v>
      </c>
    </row>
    <row r="214" spans="1:16" x14ac:dyDescent="0.3">
      <c r="A214" t="s">
        <v>494</v>
      </c>
      <c r="B214" t="s">
        <v>2785</v>
      </c>
      <c r="C214" t="s">
        <v>833</v>
      </c>
      <c r="D214" t="s">
        <v>5456</v>
      </c>
      <c r="E214" t="s">
        <v>513</v>
      </c>
      <c r="F214" t="s">
        <v>6138</v>
      </c>
      <c r="G214">
        <v>18539000</v>
      </c>
      <c r="H214">
        <v>0</v>
      </c>
      <c r="I214">
        <v>0</v>
      </c>
      <c r="J214">
        <v>0</v>
      </c>
      <c r="K214" t="s">
        <v>6083</v>
      </c>
      <c r="L214">
        <v>18539000</v>
      </c>
      <c r="M214" t="s">
        <v>6139</v>
      </c>
      <c r="N214" t="s">
        <v>6140</v>
      </c>
      <c r="O214" t="s">
        <v>3054</v>
      </c>
      <c r="P214" t="s">
        <v>3064</v>
      </c>
    </row>
    <row r="215" spans="1:16" x14ac:dyDescent="0.3">
      <c r="A215" t="s">
        <v>494</v>
      </c>
      <c r="B215" t="s">
        <v>2785</v>
      </c>
      <c r="C215" t="s">
        <v>833</v>
      </c>
      <c r="D215" t="s">
        <v>5456</v>
      </c>
      <c r="E215" t="s">
        <v>503</v>
      </c>
      <c r="F215" t="s">
        <v>6141</v>
      </c>
      <c r="G215">
        <v>4500000</v>
      </c>
      <c r="H215">
        <v>0</v>
      </c>
      <c r="I215">
        <v>0</v>
      </c>
      <c r="J215">
        <v>0</v>
      </c>
      <c r="K215" t="s">
        <v>6083</v>
      </c>
      <c r="L215">
        <v>4500000</v>
      </c>
      <c r="M215" t="s">
        <v>6142</v>
      </c>
      <c r="N215" t="s">
        <v>5534</v>
      </c>
      <c r="O215" t="s">
        <v>3054</v>
      </c>
      <c r="P215" t="s">
        <v>3055</v>
      </c>
    </row>
    <row r="216" spans="1:16" x14ac:dyDescent="0.3">
      <c r="A216" t="s">
        <v>494</v>
      </c>
      <c r="B216" t="s">
        <v>2469</v>
      </c>
      <c r="C216" t="s">
        <v>833</v>
      </c>
      <c r="D216" t="s">
        <v>5443</v>
      </c>
      <c r="E216" t="s">
        <v>533</v>
      </c>
      <c r="F216" t="s">
        <v>6143</v>
      </c>
      <c r="G216">
        <v>1000000</v>
      </c>
      <c r="H216">
        <v>0</v>
      </c>
      <c r="I216">
        <v>0</v>
      </c>
      <c r="J216">
        <v>0</v>
      </c>
      <c r="K216" t="s">
        <v>6083</v>
      </c>
      <c r="L216">
        <v>1000000</v>
      </c>
      <c r="M216" t="s">
        <v>6144</v>
      </c>
      <c r="N216" t="s">
        <v>5870</v>
      </c>
      <c r="O216" t="s">
        <v>2756</v>
      </c>
      <c r="P216" t="s">
        <v>2761</v>
      </c>
    </row>
    <row r="217" spans="1:16" x14ac:dyDescent="0.3">
      <c r="A217" t="s">
        <v>494</v>
      </c>
      <c r="B217" t="s">
        <v>1700</v>
      </c>
      <c r="C217" t="s">
        <v>557</v>
      </c>
      <c r="D217" t="s">
        <v>5734</v>
      </c>
      <c r="E217" t="s">
        <v>570</v>
      </c>
      <c r="F217" t="s">
        <v>6145</v>
      </c>
      <c r="G217">
        <v>300000</v>
      </c>
      <c r="H217">
        <v>0</v>
      </c>
      <c r="I217">
        <v>0</v>
      </c>
      <c r="J217">
        <v>0</v>
      </c>
      <c r="K217" t="s">
        <v>6083</v>
      </c>
      <c r="L217">
        <v>300000</v>
      </c>
      <c r="M217" t="s">
        <v>6146</v>
      </c>
      <c r="N217" t="s">
        <v>6147</v>
      </c>
      <c r="O217" t="s">
        <v>2238</v>
      </c>
      <c r="P217" t="s">
        <v>2247</v>
      </c>
    </row>
    <row r="218" spans="1:16" x14ac:dyDescent="0.3">
      <c r="A218" t="s">
        <v>494</v>
      </c>
      <c r="B218" t="s">
        <v>1700</v>
      </c>
      <c r="C218" t="s">
        <v>557</v>
      </c>
      <c r="D218" t="s">
        <v>5734</v>
      </c>
      <c r="E218" t="s">
        <v>570</v>
      </c>
      <c r="F218" t="s">
        <v>6148</v>
      </c>
      <c r="G218">
        <v>400000</v>
      </c>
      <c r="H218">
        <v>0</v>
      </c>
      <c r="I218">
        <v>0</v>
      </c>
      <c r="J218">
        <v>0</v>
      </c>
      <c r="K218" t="s">
        <v>6083</v>
      </c>
      <c r="L218">
        <v>400000</v>
      </c>
      <c r="M218" t="s">
        <v>6149</v>
      </c>
      <c r="N218" t="s">
        <v>6150</v>
      </c>
      <c r="O218" t="s">
        <v>2238</v>
      </c>
      <c r="P218" t="s">
        <v>2247</v>
      </c>
    </row>
    <row r="219" spans="1:16" x14ac:dyDescent="0.3">
      <c r="A219" t="s">
        <v>494</v>
      </c>
      <c r="B219" t="s">
        <v>1700</v>
      </c>
      <c r="C219" t="s">
        <v>557</v>
      </c>
      <c r="D219" t="s">
        <v>5734</v>
      </c>
      <c r="E219" t="s">
        <v>570</v>
      </c>
      <c r="F219" t="s">
        <v>6151</v>
      </c>
      <c r="G219">
        <v>900000</v>
      </c>
      <c r="H219">
        <v>0</v>
      </c>
      <c r="I219">
        <v>0</v>
      </c>
      <c r="J219">
        <v>0</v>
      </c>
      <c r="K219" t="s">
        <v>6083</v>
      </c>
      <c r="L219">
        <v>900000</v>
      </c>
      <c r="M219" t="s">
        <v>6152</v>
      </c>
      <c r="N219" t="s">
        <v>6153</v>
      </c>
      <c r="O219" t="s">
        <v>2238</v>
      </c>
      <c r="P219" t="s">
        <v>2247</v>
      </c>
    </row>
    <row r="220" spans="1:16" x14ac:dyDescent="0.3">
      <c r="A220" t="s">
        <v>494</v>
      </c>
      <c r="B220" t="s">
        <v>1700</v>
      </c>
      <c r="C220" t="s">
        <v>557</v>
      </c>
      <c r="D220" t="s">
        <v>5734</v>
      </c>
      <c r="E220" t="s">
        <v>559</v>
      </c>
      <c r="F220" t="s">
        <v>6154</v>
      </c>
      <c r="G220">
        <v>15340000</v>
      </c>
      <c r="H220">
        <v>0</v>
      </c>
      <c r="I220">
        <v>0</v>
      </c>
      <c r="J220">
        <v>0</v>
      </c>
      <c r="K220" t="s">
        <v>6083</v>
      </c>
      <c r="L220">
        <v>15340000</v>
      </c>
      <c r="M220" t="s">
        <v>6155</v>
      </c>
      <c r="N220" t="s">
        <v>6156</v>
      </c>
      <c r="O220" t="s">
        <v>2238</v>
      </c>
      <c r="P220" t="s">
        <v>2241</v>
      </c>
    </row>
    <row r="221" spans="1:16" x14ac:dyDescent="0.3">
      <c r="A221" t="s">
        <v>494</v>
      </c>
      <c r="B221" t="s">
        <v>1700</v>
      </c>
      <c r="C221" t="s">
        <v>557</v>
      </c>
      <c r="D221" t="s">
        <v>5761</v>
      </c>
      <c r="E221" t="s">
        <v>567</v>
      </c>
      <c r="F221" t="s">
        <v>6157</v>
      </c>
      <c r="G221">
        <v>52250000</v>
      </c>
      <c r="H221">
        <v>0</v>
      </c>
      <c r="I221">
        <v>0</v>
      </c>
      <c r="J221">
        <v>0</v>
      </c>
      <c r="K221" t="s">
        <v>6083</v>
      </c>
      <c r="L221">
        <v>52250000</v>
      </c>
      <c r="M221" t="s">
        <v>6158</v>
      </c>
      <c r="N221" t="s">
        <v>6159</v>
      </c>
      <c r="O221" t="s">
        <v>2218</v>
      </c>
      <c r="P221" t="s">
        <v>2221</v>
      </c>
    </row>
    <row r="222" spans="1:16" x14ac:dyDescent="0.3">
      <c r="A222" t="s">
        <v>494</v>
      </c>
      <c r="B222" t="s">
        <v>1700</v>
      </c>
      <c r="C222" t="s">
        <v>557</v>
      </c>
      <c r="D222" t="s">
        <v>5761</v>
      </c>
      <c r="E222" t="s">
        <v>567</v>
      </c>
      <c r="F222" t="s">
        <v>6160</v>
      </c>
      <c r="G222">
        <v>29200000</v>
      </c>
      <c r="H222">
        <v>0</v>
      </c>
      <c r="I222">
        <v>0</v>
      </c>
      <c r="J222">
        <v>0</v>
      </c>
      <c r="K222" t="s">
        <v>6083</v>
      </c>
      <c r="L222">
        <v>29200000</v>
      </c>
      <c r="M222" t="s">
        <v>6161</v>
      </c>
      <c r="N222" t="s">
        <v>6162</v>
      </c>
      <c r="O222" t="s">
        <v>2218</v>
      </c>
      <c r="P222" t="s">
        <v>2221</v>
      </c>
    </row>
    <row r="223" spans="1:16" x14ac:dyDescent="0.3">
      <c r="A223" t="s">
        <v>494</v>
      </c>
      <c r="B223" t="s">
        <v>1700</v>
      </c>
      <c r="C223" t="s">
        <v>557</v>
      </c>
      <c r="D223" t="s">
        <v>5793</v>
      </c>
      <c r="E223" t="s">
        <v>564</v>
      </c>
      <c r="F223" t="s">
        <v>6163</v>
      </c>
      <c r="G223">
        <v>58852000</v>
      </c>
      <c r="H223">
        <v>0</v>
      </c>
      <c r="I223">
        <v>0</v>
      </c>
      <c r="J223">
        <v>0</v>
      </c>
      <c r="K223" t="s">
        <v>6083</v>
      </c>
      <c r="L223">
        <v>58852000</v>
      </c>
      <c r="M223" t="s">
        <v>6164</v>
      </c>
      <c r="N223" t="s">
        <v>6165</v>
      </c>
      <c r="O223" t="s">
        <v>2207</v>
      </c>
      <c r="P223" t="s">
        <v>2213</v>
      </c>
    </row>
    <row r="224" spans="1:16" x14ac:dyDescent="0.3">
      <c r="A224" t="s">
        <v>494</v>
      </c>
      <c r="B224" t="s">
        <v>1700</v>
      </c>
      <c r="C224" t="s">
        <v>557</v>
      </c>
      <c r="D224" t="s">
        <v>5700</v>
      </c>
      <c r="E224" t="s">
        <v>537</v>
      </c>
      <c r="F224" t="s">
        <v>6166</v>
      </c>
      <c r="G224">
        <v>20000000</v>
      </c>
      <c r="H224">
        <v>0</v>
      </c>
      <c r="I224">
        <v>0</v>
      </c>
      <c r="J224">
        <v>0</v>
      </c>
      <c r="K224" t="s">
        <v>6083</v>
      </c>
      <c r="L224">
        <v>20000000</v>
      </c>
      <c r="M224" t="s">
        <v>6167</v>
      </c>
      <c r="N224" t="s">
        <v>6168</v>
      </c>
      <c r="O224" t="s">
        <v>2170</v>
      </c>
      <c r="P224" t="s">
        <v>2189</v>
      </c>
    </row>
    <row r="225" spans="1:16" x14ac:dyDescent="0.3">
      <c r="A225" t="s">
        <v>494</v>
      </c>
      <c r="B225" t="s">
        <v>1700</v>
      </c>
      <c r="C225" t="s">
        <v>557</v>
      </c>
      <c r="D225" t="s">
        <v>5700</v>
      </c>
      <c r="E225" t="s">
        <v>559</v>
      </c>
      <c r="F225" t="s">
        <v>6169</v>
      </c>
      <c r="G225">
        <v>67000000</v>
      </c>
      <c r="H225">
        <v>0</v>
      </c>
      <c r="I225">
        <v>0</v>
      </c>
      <c r="J225">
        <v>0</v>
      </c>
      <c r="K225" t="s">
        <v>6083</v>
      </c>
      <c r="L225">
        <v>67000000</v>
      </c>
      <c r="M225" t="s">
        <v>6170</v>
      </c>
      <c r="N225" t="s">
        <v>6171</v>
      </c>
      <c r="O225" t="s">
        <v>2170</v>
      </c>
      <c r="P225" t="s">
        <v>2172</v>
      </c>
    </row>
    <row r="226" spans="1:16" x14ac:dyDescent="0.3">
      <c r="A226" t="s">
        <v>494</v>
      </c>
      <c r="B226" t="s">
        <v>1269</v>
      </c>
      <c r="C226" t="s">
        <v>833</v>
      </c>
      <c r="D226" t="s">
        <v>5582</v>
      </c>
      <c r="E226" t="s">
        <v>533</v>
      </c>
      <c r="F226" t="s">
        <v>6172</v>
      </c>
      <c r="G226">
        <v>24651000</v>
      </c>
      <c r="H226">
        <v>0</v>
      </c>
      <c r="I226">
        <v>0</v>
      </c>
      <c r="J226">
        <v>0</v>
      </c>
      <c r="K226" t="s">
        <v>6083</v>
      </c>
      <c r="L226">
        <v>24651000</v>
      </c>
      <c r="M226" t="s">
        <v>6173</v>
      </c>
      <c r="N226" t="s">
        <v>6174</v>
      </c>
      <c r="O226" t="s">
        <v>1536</v>
      </c>
      <c r="P226" t="s">
        <v>1549</v>
      </c>
    </row>
    <row r="227" spans="1:16" x14ac:dyDescent="0.3">
      <c r="A227" t="s">
        <v>494</v>
      </c>
      <c r="B227" t="s">
        <v>1269</v>
      </c>
      <c r="C227" t="s">
        <v>833</v>
      </c>
      <c r="D227" t="s">
        <v>5582</v>
      </c>
      <c r="E227" t="s">
        <v>503</v>
      </c>
      <c r="F227" t="s">
        <v>6175</v>
      </c>
      <c r="G227">
        <v>2500000</v>
      </c>
      <c r="H227">
        <v>0</v>
      </c>
      <c r="I227">
        <v>0</v>
      </c>
      <c r="J227">
        <v>0</v>
      </c>
      <c r="K227" t="s">
        <v>6083</v>
      </c>
      <c r="L227">
        <v>2500000</v>
      </c>
      <c r="M227" t="s">
        <v>6176</v>
      </c>
      <c r="N227" t="s">
        <v>6177</v>
      </c>
      <c r="O227" t="s">
        <v>1536</v>
      </c>
      <c r="P227" t="s">
        <v>1538</v>
      </c>
    </row>
    <row r="228" spans="1:16" x14ac:dyDescent="0.3">
      <c r="A228" t="s">
        <v>494</v>
      </c>
      <c r="B228" t="s">
        <v>1269</v>
      </c>
      <c r="C228" t="s">
        <v>833</v>
      </c>
      <c r="D228" t="s">
        <v>5582</v>
      </c>
      <c r="E228" t="s">
        <v>503</v>
      </c>
      <c r="F228" t="s">
        <v>6178</v>
      </c>
      <c r="G228">
        <v>2000000</v>
      </c>
      <c r="H228">
        <v>0</v>
      </c>
      <c r="I228">
        <v>0</v>
      </c>
      <c r="J228">
        <v>0</v>
      </c>
      <c r="K228" t="s">
        <v>6083</v>
      </c>
      <c r="L228">
        <v>2000000</v>
      </c>
      <c r="M228" t="s">
        <v>6179</v>
      </c>
      <c r="N228" t="s">
        <v>5534</v>
      </c>
      <c r="O228" t="s">
        <v>1536</v>
      </c>
      <c r="P228" t="s">
        <v>1538</v>
      </c>
    </row>
    <row r="229" spans="1:16" x14ac:dyDescent="0.3">
      <c r="A229" t="s">
        <v>494</v>
      </c>
      <c r="B229" t="s">
        <v>1269</v>
      </c>
      <c r="C229" t="s">
        <v>833</v>
      </c>
      <c r="D229" t="s">
        <v>5492</v>
      </c>
      <c r="E229" t="s">
        <v>517</v>
      </c>
      <c r="F229" t="s">
        <v>6180</v>
      </c>
      <c r="G229">
        <v>1606000</v>
      </c>
      <c r="H229">
        <v>0</v>
      </c>
      <c r="I229">
        <v>0</v>
      </c>
      <c r="J229">
        <v>0</v>
      </c>
      <c r="K229" t="s">
        <v>6083</v>
      </c>
      <c r="L229">
        <v>1606000</v>
      </c>
      <c r="M229" t="s">
        <v>6181</v>
      </c>
      <c r="N229" t="s">
        <v>6182</v>
      </c>
      <c r="O229" t="s">
        <v>1448</v>
      </c>
      <c r="P229" t="s">
        <v>4836</v>
      </c>
    </row>
    <row r="230" spans="1:16" x14ac:dyDescent="0.3">
      <c r="A230" t="s">
        <v>494</v>
      </c>
      <c r="B230" t="s">
        <v>1269</v>
      </c>
      <c r="C230" t="s">
        <v>833</v>
      </c>
      <c r="D230" t="s">
        <v>5511</v>
      </c>
      <c r="E230" t="s">
        <v>564</v>
      </c>
      <c r="F230" t="s">
        <v>6183</v>
      </c>
      <c r="G230">
        <v>3000000</v>
      </c>
      <c r="H230">
        <v>0</v>
      </c>
      <c r="I230">
        <v>0</v>
      </c>
      <c r="J230">
        <v>0</v>
      </c>
      <c r="K230" t="s">
        <v>6083</v>
      </c>
      <c r="L230">
        <v>3000000</v>
      </c>
      <c r="M230" t="s">
        <v>6184</v>
      </c>
      <c r="N230" t="s">
        <v>6185</v>
      </c>
      <c r="O230" t="s">
        <v>1417</v>
      </c>
      <c r="P230" t="s">
        <v>1428</v>
      </c>
    </row>
    <row r="231" spans="1:16" x14ac:dyDescent="0.3">
      <c r="A231" t="s">
        <v>419</v>
      </c>
      <c r="B231" t="s">
        <v>616</v>
      </c>
      <c r="C231" t="s">
        <v>526</v>
      </c>
      <c r="D231" t="s">
        <v>5970</v>
      </c>
      <c r="E231" t="s">
        <v>518</v>
      </c>
      <c r="F231" t="s">
        <v>6186</v>
      </c>
      <c r="G231">
        <v>5000000</v>
      </c>
      <c r="H231">
        <v>0</v>
      </c>
      <c r="I231">
        <v>0</v>
      </c>
      <c r="J231">
        <v>0</v>
      </c>
      <c r="K231" t="s">
        <v>6083</v>
      </c>
      <c r="L231">
        <v>5000000</v>
      </c>
      <c r="M231" t="s">
        <v>6187</v>
      </c>
      <c r="N231" t="s">
        <v>6188</v>
      </c>
      <c r="O231" t="s">
        <v>485</v>
      </c>
      <c r="P231" t="s">
        <v>813</v>
      </c>
    </row>
    <row r="232" spans="1:16" x14ac:dyDescent="0.3">
      <c r="A232" t="s">
        <v>419</v>
      </c>
      <c r="B232" t="s">
        <v>616</v>
      </c>
      <c r="C232" t="s">
        <v>526</v>
      </c>
      <c r="D232" t="s">
        <v>5970</v>
      </c>
      <c r="E232" t="s">
        <v>533</v>
      </c>
      <c r="F232" t="s">
        <v>6189</v>
      </c>
      <c r="G232">
        <v>8784000</v>
      </c>
      <c r="H232">
        <v>0</v>
      </c>
      <c r="I232">
        <v>0</v>
      </c>
      <c r="J232">
        <v>0</v>
      </c>
      <c r="K232" t="s">
        <v>6083</v>
      </c>
      <c r="L232">
        <v>8784000</v>
      </c>
      <c r="M232" t="s">
        <v>6190</v>
      </c>
      <c r="N232" t="s">
        <v>6191</v>
      </c>
      <c r="O232" t="s">
        <v>485</v>
      </c>
      <c r="P232" t="s">
        <v>490</v>
      </c>
    </row>
    <row r="233" spans="1:16" x14ac:dyDescent="0.3">
      <c r="A233" t="s">
        <v>419</v>
      </c>
      <c r="B233" t="s">
        <v>616</v>
      </c>
      <c r="C233" t="s">
        <v>523</v>
      </c>
      <c r="D233" t="s">
        <v>6192</v>
      </c>
      <c r="E233" t="s">
        <v>513</v>
      </c>
      <c r="F233" t="s">
        <v>6193</v>
      </c>
      <c r="G233">
        <v>23030000</v>
      </c>
      <c r="H233">
        <v>0</v>
      </c>
      <c r="I233">
        <v>0</v>
      </c>
      <c r="J233">
        <v>0</v>
      </c>
      <c r="K233" t="s">
        <v>6083</v>
      </c>
      <c r="L233">
        <v>23030000</v>
      </c>
      <c r="M233" t="s">
        <v>6194</v>
      </c>
      <c r="N233" t="s">
        <v>6195</v>
      </c>
      <c r="O233" t="s">
        <v>794</v>
      </c>
      <c r="P233" t="s">
        <v>805</v>
      </c>
    </row>
    <row r="234" spans="1:16" x14ac:dyDescent="0.3">
      <c r="A234" t="s">
        <v>419</v>
      </c>
      <c r="B234" t="s">
        <v>616</v>
      </c>
      <c r="C234" t="s">
        <v>523</v>
      </c>
      <c r="D234" t="s">
        <v>6192</v>
      </c>
      <c r="E234" t="s">
        <v>516</v>
      </c>
      <c r="F234" t="s">
        <v>6196</v>
      </c>
      <c r="G234">
        <v>7200000</v>
      </c>
      <c r="H234">
        <v>0</v>
      </c>
      <c r="I234">
        <v>0</v>
      </c>
      <c r="J234">
        <v>0</v>
      </c>
      <c r="K234" t="s">
        <v>6083</v>
      </c>
      <c r="L234">
        <v>7200000</v>
      </c>
      <c r="M234" t="s">
        <v>6197</v>
      </c>
      <c r="N234" t="s">
        <v>5978</v>
      </c>
      <c r="O234" t="s">
        <v>794</v>
      </c>
      <c r="P234" t="s">
        <v>803</v>
      </c>
    </row>
    <row r="235" spans="1:16" x14ac:dyDescent="0.3">
      <c r="A235" t="s">
        <v>419</v>
      </c>
      <c r="B235" t="s">
        <v>616</v>
      </c>
      <c r="C235" t="s">
        <v>523</v>
      </c>
      <c r="D235" t="s">
        <v>6192</v>
      </c>
      <c r="E235" t="s">
        <v>533</v>
      </c>
      <c r="F235" t="s">
        <v>6198</v>
      </c>
      <c r="G235">
        <v>500000</v>
      </c>
      <c r="H235">
        <v>0</v>
      </c>
      <c r="I235">
        <v>0</v>
      </c>
      <c r="J235">
        <v>0</v>
      </c>
      <c r="K235" t="s">
        <v>6083</v>
      </c>
      <c r="L235">
        <v>500000</v>
      </c>
      <c r="M235" t="s">
        <v>6199</v>
      </c>
      <c r="N235" t="s">
        <v>5870</v>
      </c>
      <c r="O235" t="s">
        <v>794</v>
      </c>
      <c r="P235" t="s">
        <v>801</v>
      </c>
    </row>
    <row r="236" spans="1:16" x14ac:dyDescent="0.3">
      <c r="A236" t="s">
        <v>419</v>
      </c>
      <c r="B236" t="s">
        <v>616</v>
      </c>
      <c r="C236" t="s">
        <v>523</v>
      </c>
      <c r="D236" t="s">
        <v>6192</v>
      </c>
      <c r="E236" t="s">
        <v>503</v>
      </c>
      <c r="F236" t="s">
        <v>6200</v>
      </c>
      <c r="G236">
        <v>6000000</v>
      </c>
      <c r="H236">
        <v>0</v>
      </c>
      <c r="I236">
        <v>0</v>
      </c>
      <c r="J236">
        <v>0</v>
      </c>
      <c r="K236" t="s">
        <v>6083</v>
      </c>
      <c r="L236">
        <v>6000000</v>
      </c>
      <c r="M236" t="s">
        <v>6201</v>
      </c>
      <c r="N236" t="s">
        <v>5534</v>
      </c>
      <c r="O236" t="s">
        <v>794</v>
      </c>
      <c r="P236" t="s">
        <v>796</v>
      </c>
    </row>
    <row r="237" spans="1:16" x14ac:dyDescent="0.3">
      <c r="A237" t="s">
        <v>419</v>
      </c>
      <c r="B237" t="s">
        <v>616</v>
      </c>
      <c r="C237" t="s">
        <v>523</v>
      </c>
      <c r="D237" t="s">
        <v>6192</v>
      </c>
      <c r="E237" t="s">
        <v>503</v>
      </c>
      <c r="F237" t="s">
        <v>6202</v>
      </c>
      <c r="G237">
        <v>4830000</v>
      </c>
      <c r="H237">
        <v>0</v>
      </c>
      <c r="I237">
        <v>0</v>
      </c>
      <c r="J237">
        <v>0</v>
      </c>
      <c r="K237" t="s">
        <v>6083</v>
      </c>
      <c r="L237">
        <v>4830000</v>
      </c>
      <c r="M237" t="s">
        <v>6203</v>
      </c>
      <c r="N237" t="s">
        <v>5672</v>
      </c>
      <c r="O237" t="s">
        <v>794</v>
      </c>
      <c r="P237" t="s">
        <v>796</v>
      </c>
    </row>
    <row r="238" spans="1:16" x14ac:dyDescent="0.3">
      <c r="A238" t="s">
        <v>419</v>
      </c>
      <c r="B238" t="s">
        <v>616</v>
      </c>
      <c r="C238" t="s">
        <v>523</v>
      </c>
      <c r="D238" t="s">
        <v>6192</v>
      </c>
      <c r="E238" t="s">
        <v>503</v>
      </c>
      <c r="F238" t="s">
        <v>6204</v>
      </c>
      <c r="G238">
        <v>6000000</v>
      </c>
      <c r="H238">
        <v>0</v>
      </c>
      <c r="I238">
        <v>0</v>
      </c>
      <c r="J238">
        <v>0</v>
      </c>
      <c r="K238" t="s">
        <v>6083</v>
      </c>
      <c r="L238">
        <v>6000000</v>
      </c>
      <c r="M238" t="s">
        <v>6205</v>
      </c>
      <c r="N238" t="s">
        <v>5499</v>
      </c>
      <c r="O238" t="s">
        <v>794</v>
      </c>
      <c r="P238" t="s">
        <v>796</v>
      </c>
    </row>
    <row r="239" spans="1:16" x14ac:dyDescent="0.3">
      <c r="A239" t="s">
        <v>419</v>
      </c>
      <c r="B239" t="s">
        <v>616</v>
      </c>
      <c r="C239" t="s">
        <v>523</v>
      </c>
      <c r="D239" t="s">
        <v>6192</v>
      </c>
      <c r="E239" t="s">
        <v>503</v>
      </c>
      <c r="F239" t="s">
        <v>6206</v>
      </c>
      <c r="G239">
        <v>4000000</v>
      </c>
      <c r="H239">
        <v>0</v>
      </c>
      <c r="I239">
        <v>0</v>
      </c>
      <c r="J239">
        <v>0</v>
      </c>
      <c r="K239" t="s">
        <v>6083</v>
      </c>
      <c r="L239">
        <v>4000000</v>
      </c>
      <c r="M239" t="s">
        <v>6207</v>
      </c>
      <c r="N239" t="s">
        <v>5447</v>
      </c>
      <c r="O239" t="s">
        <v>794</v>
      </c>
      <c r="P239" t="s">
        <v>796</v>
      </c>
    </row>
    <row r="240" spans="1:16" x14ac:dyDescent="0.3">
      <c r="A240" t="s">
        <v>419</v>
      </c>
      <c r="B240" t="s">
        <v>616</v>
      </c>
      <c r="C240" t="s">
        <v>523</v>
      </c>
      <c r="D240" t="s">
        <v>5483</v>
      </c>
      <c r="E240" t="s">
        <v>503</v>
      </c>
      <c r="F240" t="s">
        <v>6208</v>
      </c>
      <c r="G240">
        <v>50000000</v>
      </c>
      <c r="H240">
        <v>0</v>
      </c>
      <c r="I240">
        <v>0</v>
      </c>
      <c r="J240">
        <v>0</v>
      </c>
      <c r="K240" t="s">
        <v>6083</v>
      </c>
      <c r="L240">
        <v>50000000</v>
      </c>
      <c r="M240" t="s">
        <v>6209</v>
      </c>
      <c r="N240" t="s">
        <v>6210</v>
      </c>
      <c r="O240" t="s">
        <v>469</v>
      </c>
      <c r="P240" t="s">
        <v>470</v>
      </c>
    </row>
    <row r="241" spans="1:16" x14ac:dyDescent="0.3">
      <c r="A241" t="s">
        <v>419</v>
      </c>
      <c r="B241" t="s">
        <v>616</v>
      </c>
      <c r="C241" t="s">
        <v>523</v>
      </c>
      <c r="D241" t="s">
        <v>6018</v>
      </c>
      <c r="E241" t="s">
        <v>507</v>
      </c>
      <c r="F241" t="s">
        <v>6211</v>
      </c>
      <c r="G241">
        <v>1500000</v>
      </c>
      <c r="H241">
        <v>0</v>
      </c>
      <c r="I241">
        <v>0</v>
      </c>
      <c r="J241">
        <v>0</v>
      </c>
      <c r="K241" t="s">
        <v>6083</v>
      </c>
      <c r="L241">
        <v>1500000</v>
      </c>
      <c r="M241" t="s">
        <v>6212</v>
      </c>
      <c r="N241" t="s">
        <v>6213</v>
      </c>
      <c r="O241" t="s">
        <v>451</v>
      </c>
      <c r="P241" t="s">
        <v>467</v>
      </c>
    </row>
    <row r="242" spans="1:16" x14ac:dyDescent="0.3">
      <c r="A242" t="s">
        <v>419</v>
      </c>
      <c r="B242" t="s">
        <v>616</v>
      </c>
      <c r="C242" t="s">
        <v>523</v>
      </c>
      <c r="D242" t="s">
        <v>6018</v>
      </c>
      <c r="E242" t="s">
        <v>518</v>
      </c>
      <c r="F242" t="s">
        <v>6214</v>
      </c>
      <c r="G242">
        <v>6000000</v>
      </c>
      <c r="H242">
        <v>0</v>
      </c>
      <c r="I242">
        <v>0</v>
      </c>
      <c r="J242">
        <v>0</v>
      </c>
      <c r="K242" t="s">
        <v>6083</v>
      </c>
      <c r="L242">
        <v>6000000</v>
      </c>
      <c r="M242" t="s">
        <v>6215</v>
      </c>
      <c r="N242" t="s">
        <v>5995</v>
      </c>
      <c r="O242" t="s">
        <v>451</v>
      </c>
      <c r="P242" t="s">
        <v>463</v>
      </c>
    </row>
    <row r="243" spans="1:16" x14ac:dyDescent="0.3">
      <c r="A243" t="s">
        <v>419</v>
      </c>
      <c r="B243" t="s">
        <v>616</v>
      </c>
      <c r="C243" t="s">
        <v>523</v>
      </c>
      <c r="D243" t="s">
        <v>6018</v>
      </c>
      <c r="E243" t="s">
        <v>533</v>
      </c>
      <c r="F243" t="s">
        <v>6216</v>
      </c>
      <c r="G243">
        <v>5000000</v>
      </c>
      <c r="H243">
        <v>0</v>
      </c>
      <c r="I243">
        <v>0</v>
      </c>
      <c r="J243">
        <v>0</v>
      </c>
      <c r="K243" t="s">
        <v>6083</v>
      </c>
      <c r="L243">
        <v>5000000</v>
      </c>
      <c r="M243" t="s">
        <v>6217</v>
      </c>
      <c r="N243" t="s">
        <v>6008</v>
      </c>
      <c r="O243" t="s">
        <v>451</v>
      </c>
      <c r="P243" t="s">
        <v>455</v>
      </c>
    </row>
    <row r="244" spans="1:16" x14ac:dyDescent="0.3">
      <c r="A244" t="s">
        <v>419</v>
      </c>
      <c r="B244" t="s">
        <v>616</v>
      </c>
      <c r="C244" t="s">
        <v>523</v>
      </c>
      <c r="D244" t="s">
        <v>6018</v>
      </c>
      <c r="E244" t="s">
        <v>503</v>
      </c>
      <c r="F244" t="s">
        <v>6218</v>
      </c>
      <c r="G244">
        <v>40000000</v>
      </c>
      <c r="H244">
        <v>0</v>
      </c>
      <c r="I244">
        <v>0</v>
      </c>
      <c r="J244">
        <v>0</v>
      </c>
      <c r="K244" t="s">
        <v>6083</v>
      </c>
      <c r="L244">
        <v>40000000</v>
      </c>
      <c r="M244" t="s">
        <v>6219</v>
      </c>
      <c r="N244" t="s">
        <v>6220</v>
      </c>
      <c r="O244" t="s">
        <v>451</v>
      </c>
      <c r="P244" t="s">
        <v>452</v>
      </c>
    </row>
    <row r="245" spans="1:16" x14ac:dyDescent="0.3">
      <c r="A245" t="s">
        <v>419</v>
      </c>
      <c r="B245" t="s">
        <v>616</v>
      </c>
      <c r="C245" t="s">
        <v>520</v>
      </c>
      <c r="D245" t="s">
        <v>5488</v>
      </c>
      <c r="E245" t="s">
        <v>503</v>
      </c>
      <c r="F245" t="s">
        <v>6221</v>
      </c>
      <c r="G245">
        <v>5750000</v>
      </c>
      <c r="H245">
        <v>0</v>
      </c>
      <c r="I245">
        <v>0</v>
      </c>
      <c r="J245">
        <v>0</v>
      </c>
      <c r="K245" t="s">
        <v>6083</v>
      </c>
      <c r="L245">
        <v>5750000</v>
      </c>
      <c r="M245" t="s">
        <v>6222</v>
      </c>
      <c r="N245" t="s">
        <v>6223</v>
      </c>
      <c r="O245" t="s">
        <v>440</v>
      </c>
      <c r="P245" t="s">
        <v>441</v>
      </c>
    </row>
    <row r="246" spans="1:16" x14ac:dyDescent="0.3">
      <c r="A246" t="s">
        <v>419</v>
      </c>
      <c r="B246" t="s">
        <v>616</v>
      </c>
      <c r="C246" t="s">
        <v>520</v>
      </c>
      <c r="D246" t="s">
        <v>5488</v>
      </c>
      <c r="E246" t="s">
        <v>503</v>
      </c>
      <c r="F246" t="s">
        <v>6224</v>
      </c>
      <c r="G246">
        <v>5750000</v>
      </c>
      <c r="H246">
        <v>0</v>
      </c>
      <c r="I246">
        <v>0</v>
      </c>
      <c r="J246">
        <v>0</v>
      </c>
      <c r="K246" t="s">
        <v>6083</v>
      </c>
      <c r="L246">
        <v>5750000</v>
      </c>
      <c r="M246" t="s">
        <v>6225</v>
      </c>
      <c r="N246" t="s">
        <v>6226</v>
      </c>
      <c r="O246" t="s">
        <v>440</v>
      </c>
      <c r="P246" t="s">
        <v>441</v>
      </c>
    </row>
    <row r="247" spans="1:16" x14ac:dyDescent="0.3">
      <c r="A247" t="s">
        <v>419</v>
      </c>
      <c r="B247" t="s">
        <v>616</v>
      </c>
      <c r="C247" t="s">
        <v>520</v>
      </c>
      <c r="D247" t="s">
        <v>5488</v>
      </c>
      <c r="E247" t="s">
        <v>503</v>
      </c>
      <c r="F247" t="s">
        <v>6227</v>
      </c>
      <c r="G247">
        <v>1000000</v>
      </c>
      <c r="H247">
        <v>0</v>
      </c>
      <c r="I247">
        <v>0</v>
      </c>
      <c r="J247">
        <v>0</v>
      </c>
      <c r="K247" t="s">
        <v>6083</v>
      </c>
      <c r="L247">
        <v>1000000</v>
      </c>
      <c r="M247" t="s">
        <v>6228</v>
      </c>
      <c r="N247" t="s">
        <v>5534</v>
      </c>
      <c r="O247" t="s">
        <v>440</v>
      </c>
      <c r="P247" t="s">
        <v>441</v>
      </c>
    </row>
    <row r="248" spans="1:16" x14ac:dyDescent="0.3">
      <c r="A248" t="s">
        <v>419</v>
      </c>
      <c r="B248" t="s">
        <v>616</v>
      </c>
      <c r="C248" t="s">
        <v>502</v>
      </c>
      <c r="D248" t="s">
        <v>6050</v>
      </c>
      <c r="E248" t="s">
        <v>503</v>
      </c>
      <c r="F248" t="s">
        <v>6229</v>
      </c>
      <c r="G248">
        <v>3000000</v>
      </c>
      <c r="H248">
        <v>0</v>
      </c>
      <c r="I248">
        <v>0</v>
      </c>
      <c r="J248">
        <v>0</v>
      </c>
      <c r="K248" t="s">
        <v>6083</v>
      </c>
      <c r="L248">
        <v>3000000</v>
      </c>
      <c r="M248" t="s">
        <v>6230</v>
      </c>
      <c r="N248" t="s">
        <v>5534</v>
      </c>
      <c r="O248" t="s">
        <v>431</v>
      </c>
      <c r="P248" t="s">
        <v>432</v>
      </c>
    </row>
    <row r="249" spans="1:16" x14ac:dyDescent="0.3">
      <c r="A249" t="s">
        <v>419</v>
      </c>
      <c r="B249" t="s">
        <v>616</v>
      </c>
      <c r="C249" t="s">
        <v>502</v>
      </c>
      <c r="D249" t="s">
        <v>6067</v>
      </c>
      <c r="E249" t="s">
        <v>503</v>
      </c>
      <c r="F249" t="s">
        <v>6231</v>
      </c>
      <c r="G249">
        <v>3000000</v>
      </c>
      <c r="H249">
        <v>0</v>
      </c>
      <c r="I249">
        <v>0</v>
      </c>
      <c r="J249">
        <v>0</v>
      </c>
      <c r="K249" t="s">
        <v>6083</v>
      </c>
      <c r="L249">
        <v>3000000</v>
      </c>
      <c r="M249" t="s">
        <v>6232</v>
      </c>
      <c r="N249" t="s">
        <v>5534</v>
      </c>
      <c r="O249" t="s">
        <v>423</v>
      </c>
      <c r="P249" t="s">
        <v>424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63</vt:i4>
      </vt:variant>
    </vt:vector>
  </HeadingPairs>
  <TitlesOfParts>
    <vt:vector size="81"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Sheet2</vt:lpstr>
      <vt:lpstr>PERSUBBID</vt:lpstr>
      <vt:lpstr>TANPA GAJI</vt:lpstr>
      <vt:lpstr>PERSUBBID GAJI</vt:lpstr>
      <vt:lpstr>DENGAN GAJI</vt:lpstr>
      <vt:lpstr>Sheet2 (2)</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2022-06-15T06:28:04Z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